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726"/>
  <workbookPr codeName="ThisWorkbook"/>
  <mc:AlternateContent xmlns:mc="http://schemas.openxmlformats.org/markup-compatibility/2006">
    <mc:Choice Requires="x15">
      <x15ac:absPath xmlns:x15ac="http://schemas.microsoft.com/office/spreadsheetml/2010/11/ac" url="Y:\12.ปี 2567\01. รายงานแผนงาน-ผลงาน ปี 67\2.ข้อมูล Export จาก Google Sheet\13. 15 มิ.ย. 67\"/>
    </mc:Choice>
  </mc:AlternateContent>
  <xr:revisionPtr revIDLastSave="0" documentId="13_ncr:1_{508EDCEC-76C4-4A01-9053-66D603CE13CA}" xr6:coauthVersionLast="47" xr6:coauthVersionMax="47" xr10:uidLastSave="{00000000-0000-0000-0000-000000000000}"/>
  <bookViews>
    <workbookView xWindow="-120" yWindow="-120" windowWidth="24240" windowHeight="13020" firstSheet="5" activeTab="14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  <definedName name="ๆ203">สงขลา!$A$1:$H$1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L22" i="15" l="1"/>
  <c r="M22" i="15"/>
  <c r="M19" i="15" s="1"/>
  <c r="N22" i="15"/>
  <c r="O22" i="15"/>
  <c r="Q22" i="15"/>
  <c r="T22" i="15" s="1"/>
  <c r="R22" i="15"/>
  <c r="S22" i="15"/>
  <c r="S19" i="15" s="1"/>
  <c r="U22" i="15"/>
  <c r="L25" i="15"/>
  <c r="O25" i="15" s="1"/>
  <c r="M25" i="15"/>
  <c r="P25" i="15" s="1"/>
  <c r="N25" i="15"/>
  <c r="Q25" i="15"/>
  <c r="T25" i="15" s="1"/>
  <c r="R25" i="15"/>
  <c r="U25" i="15" s="1"/>
  <c r="S25" i="15"/>
  <c r="S44" i="15"/>
  <c r="L45" i="15"/>
  <c r="O45" i="15" s="1"/>
  <c r="M45" i="15"/>
  <c r="P45" i="15" s="1"/>
  <c r="N45" i="15"/>
  <c r="Q45" i="15"/>
  <c r="R45" i="15"/>
  <c r="S45" i="15"/>
  <c r="Q46" i="15"/>
  <c r="T46" i="15" s="1"/>
  <c r="R46" i="15"/>
  <c r="S46" i="15"/>
  <c r="U46" i="15"/>
  <c r="Q47" i="15"/>
  <c r="T47" i="15" s="1"/>
  <c r="R47" i="15"/>
  <c r="U47" i="15" s="1"/>
  <c r="S47" i="15"/>
  <c r="O48" i="15"/>
  <c r="P48" i="15"/>
  <c r="T48" i="15"/>
  <c r="U48" i="15"/>
  <c r="L49" i="15"/>
  <c r="M49" i="15"/>
  <c r="N49" i="15"/>
  <c r="T49" i="15"/>
  <c r="U49" i="15"/>
  <c r="Q50" i="15"/>
  <c r="T50" i="15" s="1"/>
  <c r="R50" i="15"/>
  <c r="U50" i="15" s="1"/>
  <c r="S50" i="15"/>
  <c r="O51" i="15"/>
  <c r="P51" i="15"/>
  <c r="T51" i="15"/>
  <c r="U51" i="15"/>
  <c r="L52" i="15"/>
  <c r="O52" i="15" s="1"/>
  <c r="M52" i="15"/>
  <c r="P52" i="15" s="1"/>
  <c r="N52" i="15"/>
  <c r="T52" i="15"/>
  <c r="U52" i="15"/>
  <c r="L60" i="15"/>
  <c r="O60" i="15" s="1"/>
  <c r="M60" i="15"/>
  <c r="P60" i="15" s="1"/>
  <c r="N60" i="15"/>
  <c r="Q60" i="15"/>
  <c r="Q59" i="15" s="1"/>
  <c r="T59" i="15" s="1"/>
  <c r="R60" i="15"/>
  <c r="R59" i="15" s="1"/>
  <c r="U59" i="15" s="1"/>
  <c r="S60" i="15"/>
  <c r="U60" i="15"/>
  <c r="Q61" i="15"/>
  <c r="T61" i="15" s="1"/>
  <c r="R61" i="15"/>
  <c r="S61" i="15"/>
  <c r="U61" i="15"/>
  <c r="Q62" i="15"/>
  <c r="R62" i="15"/>
  <c r="U62" i="15" s="1"/>
  <c r="S62" i="15"/>
  <c r="T62" i="15"/>
  <c r="O63" i="15"/>
  <c r="P63" i="15"/>
  <c r="T63" i="15"/>
  <c r="U63" i="15"/>
  <c r="L64" i="15"/>
  <c r="M64" i="15"/>
  <c r="N64" i="15"/>
  <c r="N62" i="15" s="1"/>
  <c r="T64" i="15"/>
  <c r="U64" i="15"/>
  <c r="Q65" i="15"/>
  <c r="T65" i="15" s="1"/>
  <c r="R65" i="15"/>
  <c r="U65" i="15" s="1"/>
  <c r="S65" i="15"/>
  <c r="O66" i="15"/>
  <c r="P66" i="15"/>
  <c r="T66" i="15"/>
  <c r="U66" i="15"/>
  <c r="L67" i="15"/>
  <c r="O67" i="15" s="1"/>
  <c r="M67" i="15"/>
  <c r="M65" i="15" s="1"/>
  <c r="P65" i="15" s="1"/>
  <c r="N67" i="15"/>
  <c r="N65" i="15" s="1"/>
  <c r="T67" i="15"/>
  <c r="U67" i="15"/>
  <c r="L73" i="15"/>
  <c r="M73" i="15"/>
  <c r="P73" i="15" s="1"/>
  <c r="N73" i="15"/>
  <c r="O73" i="15"/>
  <c r="Q73" i="15"/>
  <c r="T73" i="15" s="1"/>
  <c r="R73" i="15"/>
  <c r="S73" i="15"/>
  <c r="U73" i="15"/>
  <c r="O76" i="15"/>
  <c r="P76" i="15"/>
  <c r="T76" i="15"/>
  <c r="U76" i="15"/>
  <c r="L77" i="15"/>
  <c r="M77" i="15"/>
  <c r="M75" i="15" s="1"/>
  <c r="N77" i="15"/>
  <c r="Q77" i="15"/>
  <c r="R77" i="15"/>
  <c r="R75" i="15" s="1"/>
  <c r="S77" i="15"/>
  <c r="O79" i="15"/>
  <c r="P79" i="15"/>
  <c r="T79" i="15"/>
  <c r="U79" i="15"/>
  <c r="L80" i="15"/>
  <c r="O80" i="15" s="1"/>
  <c r="M80" i="15"/>
  <c r="P80" i="15" s="1"/>
  <c r="N80" i="15"/>
  <c r="N78" i="15" s="1"/>
  <c r="Q80" i="15"/>
  <c r="R80" i="15"/>
  <c r="S80" i="15"/>
  <c r="J82" i="15"/>
  <c r="J70" i="15" s="1"/>
  <c r="J83" i="15"/>
  <c r="J71" i="15" s="1"/>
  <c r="I84" i="15"/>
  <c r="I85" i="15"/>
  <c r="K85" i="15" s="1"/>
  <c r="I86" i="15"/>
  <c r="K86" i="15" s="1"/>
  <c r="I87" i="15"/>
  <c r="K87" i="15" s="1"/>
  <c r="I88" i="15"/>
  <c r="K88" i="15" s="1"/>
  <c r="I89" i="15"/>
  <c r="K89" i="15" s="1"/>
  <c r="I90" i="15"/>
  <c r="K90" i="15" s="1"/>
  <c r="J92" i="15"/>
  <c r="J93" i="15"/>
  <c r="L95" i="15"/>
  <c r="M95" i="15"/>
  <c r="P95" i="15" s="1"/>
  <c r="N95" i="15"/>
  <c r="Q95" i="15"/>
  <c r="T95" i="15" s="1"/>
  <c r="R95" i="15"/>
  <c r="S95" i="15"/>
  <c r="O98" i="15"/>
  <c r="P98" i="15"/>
  <c r="T98" i="15"/>
  <c r="U98" i="15"/>
  <c r="L99" i="15"/>
  <c r="L97" i="15" s="1"/>
  <c r="O97" i="15" s="1"/>
  <c r="M99" i="15"/>
  <c r="M97" i="15" s="1"/>
  <c r="N99" i="15"/>
  <c r="Q99" i="15"/>
  <c r="Q97" i="15" s="1"/>
  <c r="R99" i="15"/>
  <c r="S99" i="15"/>
  <c r="S96" i="15" s="1"/>
  <c r="Q100" i="15"/>
  <c r="T100" i="15" s="1"/>
  <c r="R100" i="15"/>
  <c r="U100" i="15" s="1"/>
  <c r="S100" i="15"/>
  <c r="O101" i="15"/>
  <c r="P101" i="15"/>
  <c r="T101" i="15"/>
  <c r="U101" i="15"/>
  <c r="L102" i="15"/>
  <c r="L100" i="15" s="1"/>
  <c r="O100" i="15" s="1"/>
  <c r="M102" i="15"/>
  <c r="M100" i="15" s="1"/>
  <c r="P100" i="15" s="1"/>
  <c r="N102" i="15"/>
  <c r="N100" i="15" s="1"/>
  <c r="T102" i="15"/>
  <c r="U102" i="15"/>
  <c r="I108" i="15"/>
  <c r="I109" i="15"/>
  <c r="I113" i="15"/>
  <c r="K113" i="15" s="1"/>
  <c r="I114" i="15"/>
  <c r="K114" i="15" s="1"/>
  <c r="J116" i="15"/>
  <c r="L118" i="15"/>
  <c r="M118" i="15"/>
  <c r="N118" i="15"/>
  <c r="P118" i="15"/>
  <c r="Q118" i="15"/>
  <c r="T118" i="15" s="1"/>
  <c r="R118" i="15"/>
  <c r="S118" i="15"/>
  <c r="O121" i="15"/>
  <c r="P121" i="15"/>
  <c r="T121" i="15"/>
  <c r="U121" i="15"/>
  <c r="L122" i="15"/>
  <c r="L120" i="15" s="1"/>
  <c r="O120" i="15" s="1"/>
  <c r="M122" i="15"/>
  <c r="N122" i="15"/>
  <c r="Q122" i="15"/>
  <c r="Q120" i="15" s="1"/>
  <c r="R122" i="15"/>
  <c r="R120" i="15" s="1"/>
  <c r="S122" i="15"/>
  <c r="O124" i="15"/>
  <c r="P124" i="15"/>
  <c r="T124" i="15"/>
  <c r="U124" i="15"/>
  <c r="L125" i="15"/>
  <c r="M125" i="15"/>
  <c r="N125" i="15"/>
  <c r="N123" i="15" s="1"/>
  <c r="Q125" i="15"/>
  <c r="Q123" i="15" s="1"/>
  <c r="T123" i="15" s="1"/>
  <c r="R125" i="15"/>
  <c r="S125" i="15"/>
  <c r="S123" i="15" s="1"/>
  <c r="I127" i="15"/>
  <c r="K127" i="15" s="1"/>
  <c r="I128" i="15"/>
  <c r="K128" i="15" s="1"/>
  <c r="I129" i="15"/>
  <c r="K129" i="15" s="1"/>
  <c r="I130" i="15"/>
  <c r="K130" i="15" s="1"/>
  <c r="J136" i="15"/>
  <c r="J137" i="15"/>
  <c r="J138" i="15"/>
  <c r="L140" i="15"/>
  <c r="O140" i="15" s="1"/>
  <c r="M140" i="15"/>
  <c r="N140" i="15"/>
  <c r="Q140" i="15"/>
  <c r="R140" i="15"/>
  <c r="U140" i="15" s="1"/>
  <c r="S140" i="15"/>
  <c r="T140" i="15"/>
  <c r="O143" i="15"/>
  <c r="P143" i="15"/>
  <c r="T143" i="15"/>
  <c r="U143" i="15"/>
  <c r="L144" i="15"/>
  <c r="M144" i="15"/>
  <c r="N144" i="15"/>
  <c r="Q144" i="15"/>
  <c r="R144" i="15"/>
  <c r="R142" i="15" s="1"/>
  <c r="S144" i="15"/>
  <c r="O146" i="15"/>
  <c r="P146" i="15"/>
  <c r="T146" i="15"/>
  <c r="U146" i="15"/>
  <c r="L147" i="15"/>
  <c r="O147" i="15" s="1"/>
  <c r="M147" i="15"/>
  <c r="M145" i="15" s="1"/>
  <c r="P145" i="15" s="1"/>
  <c r="N147" i="15"/>
  <c r="N145" i="15" s="1"/>
  <c r="Q147" i="15"/>
  <c r="T147" i="15" s="1"/>
  <c r="R147" i="15"/>
  <c r="S147" i="15"/>
  <c r="S145" i="15" s="1"/>
  <c r="I150" i="15"/>
  <c r="K150" i="15" s="1"/>
  <c r="I151" i="15"/>
  <c r="K151" i="15" s="1"/>
  <c r="I152" i="15"/>
  <c r="K152" i="15" s="1"/>
  <c r="I153" i="15"/>
  <c r="K153" i="15" s="1"/>
  <c r="I154" i="15"/>
  <c r="I136" i="15" s="1"/>
  <c r="K136" i="15" s="1"/>
  <c r="J156" i="15"/>
  <c r="L158" i="15"/>
  <c r="M158" i="15"/>
  <c r="P158" i="15" s="1"/>
  <c r="N158" i="15"/>
  <c r="O158" i="15"/>
  <c r="Q158" i="15"/>
  <c r="T158" i="15" s="1"/>
  <c r="R158" i="15"/>
  <c r="U158" i="15" s="1"/>
  <c r="S158" i="15"/>
  <c r="O161" i="15"/>
  <c r="P161" i="15"/>
  <c r="T161" i="15"/>
  <c r="U161" i="15"/>
  <c r="L162" i="15"/>
  <c r="L160" i="15" s="1"/>
  <c r="M162" i="15"/>
  <c r="N162" i="15"/>
  <c r="Q162" i="15"/>
  <c r="T162" i="15" s="1"/>
  <c r="R162" i="15"/>
  <c r="R160" i="15" s="1"/>
  <c r="U160" i="15" s="1"/>
  <c r="S162" i="15"/>
  <c r="S160" i="15" s="1"/>
  <c r="Q163" i="15"/>
  <c r="T163" i="15" s="1"/>
  <c r="R163" i="15"/>
  <c r="U163" i="15" s="1"/>
  <c r="S163" i="15"/>
  <c r="O164" i="15"/>
  <c r="P164" i="15"/>
  <c r="T164" i="15"/>
  <c r="U164" i="15"/>
  <c r="L165" i="15"/>
  <c r="L163" i="15" s="1"/>
  <c r="O163" i="15" s="1"/>
  <c r="M165" i="15"/>
  <c r="N165" i="15"/>
  <c r="N163" i="15" s="1"/>
  <c r="T165" i="15"/>
  <c r="U165" i="15"/>
  <c r="I167" i="15"/>
  <c r="I156" i="15" s="1"/>
  <c r="K156" i="15" s="1"/>
  <c r="J172" i="15"/>
  <c r="L174" i="15"/>
  <c r="O174" i="15" s="1"/>
  <c r="M174" i="15"/>
  <c r="N174" i="15"/>
  <c r="P174" i="15"/>
  <c r="Q174" i="15"/>
  <c r="T174" i="15" s="1"/>
  <c r="R174" i="15"/>
  <c r="U174" i="15" s="1"/>
  <c r="S174" i="15"/>
  <c r="O177" i="15"/>
  <c r="P177" i="15"/>
  <c r="T177" i="15"/>
  <c r="U177" i="15"/>
  <c r="L178" i="15"/>
  <c r="M178" i="15"/>
  <c r="N178" i="15"/>
  <c r="N176" i="15" s="1"/>
  <c r="Q178" i="15"/>
  <c r="T178" i="15" s="1"/>
  <c r="R178" i="15"/>
  <c r="S178" i="15"/>
  <c r="S175" i="15" s="1"/>
  <c r="Q179" i="15"/>
  <c r="T179" i="15" s="1"/>
  <c r="R179" i="15"/>
  <c r="S179" i="15"/>
  <c r="U179" i="15"/>
  <c r="O180" i="15"/>
  <c r="P180" i="15"/>
  <c r="T180" i="15"/>
  <c r="U180" i="15"/>
  <c r="L181" i="15"/>
  <c r="L179" i="15" s="1"/>
  <c r="O179" i="15" s="1"/>
  <c r="M181" i="15"/>
  <c r="N181" i="15"/>
  <c r="N179" i="15" s="1"/>
  <c r="T181" i="15"/>
  <c r="U181" i="15"/>
  <c r="I183" i="15"/>
  <c r="K183" i="15" s="1"/>
  <c r="K184" i="15"/>
  <c r="L187" i="15"/>
  <c r="M187" i="15"/>
  <c r="P187" i="15" s="1"/>
  <c r="N187" i="15"/>
  <c r="Q187" i="15"/>
  <c r="R187" i="15"/>
  <c r="S187" i="15"/>
  <c r="O190" i="15"/>
  <c r="P190" i="15"/>
  <c r="T190" i="15"/>
  <c r="U190" i="15"/>
  <c r="L191" i="15"/>
  <c r="M191" i="15"/>
  <c r="N191" i="15"/>
  <c r="N189" i="15" s="1"/>
  <c r="Q191" i="15"/>
  <c r="Q189" i="15" s="1"/>
  <c r="R191" i="15"/>
  <c r="S191" i="15"/>
  <c r="S189" i="15" s="1"/>
  <c r="O193" i="15"/>
  <c r="P193" i="15"/>
  <c r="T193" i="15"/>
  <c r="U193" i="15"/>
  <c r="L194" i="15"/>
  <c r="O194" i="15" s="1"/>
  <c r="M194" i="15"/>
  <c r="N194" i="15"/>
  <c r="N192" i="15" s="1"/>
  <c r="Q194" i="15"/>
  <c r="T194" i="15" s="1"/>
  <c r="R194" i="15"/>
  <c r="U194" i="15" s="1"/>
  <c r="S194" i="15"/>
  <c r="S192" i="15" s="1"/>
  <c r="J195" i="15"/>
  <c r="L196" i="15"/>
  <c r="O196" i="15" s="1"/>
  <c r="P196" i="15"/>
  <c r="I198" i="15"/>
  <c r="I195" i="15" s="1"/>
  <c r="K195" i="15" s="1"/>
  <c r="J199" i="15"/>
  <c r="J202" i="15"/>
  <c r="N203" i="15"/>
  <c r="P203" i="15"/>
  <c r="S203" i="15"/>
  <c r="U203" i="15"/>
  <c r="L204" i="15"/>
  <c r="L205" i="15"/>
  <c r="L206" i="15"/>
  <c r="Q206" i="15"/>
  <c r="Q203" i="15" s="1"/>
  <c r="L207" i="15"/>
  <c r="I209" i="15"/>
  <c r="K209" i="15" s="1"/>
  <c r="I211" i="15"/>
  <c r="K211" i="15" s="1"/>
  <c r="I212" i="15"/>
  <c r="K212" i="15" s="1"/>
  <c r="J213" i="15"/>
  <c r="N214" i="15"/>
  <c r="P214" i="15"/>
  <c r="S214" i="15"/>
  <c r="U214" i="15"/>
  <c r="L215" i="15"/>
  <c r="L216" i="15"/>
  <c r="L217" i="15"/>
  <c r="Q217" i="15"/>
  <c r="Q214" i="15" s="1"/>
  <c r="T214" i="15" s="1"/>
  <c r="I219" i="15"/>
  <c r="K219" i="15" s="1"/>
  <c r="I220" i="15"/>
  <c r="K220" i="15" s="1"/>
  <c r="J221" i="15"/>
  <c r="N222" i="15"/>
  <c r="P222" i="15"/>
  <c r="L223" i="15"/>
  <c r="L224" i="15"/>
  <c r="L225" i="15"/>
  <c r="I228" i="15"/>
  <c r="K228" i="15" s="1"/>
  <c r="I229" i="15"/>
  <c r="I221" i="15" s="1"/>
  <c r="K221" i="15" s="1"/>
  <c r="I230" i="15"/>
  <c r="N233" i="15"/>
  <c r="N234" i="15"/>
  <c r="N235" i="15"/>
  <c r="N236" i="15"/>
  <c r="J238" i="15"/>
  <c r="I240" i="15"/>
  <c r="K240" i="15" s="1"/>
  <c r="J240" i="15"/>
  <c r="I241" i="15"/>
  <c r="K241" i="15" s="1"/>
  <c r="J241" i="15"/>
  <c r="J242" i="15"/>
  <c r="J231" i="15" s="1"/>
  <c r="J185" i="15" s="1"/>
  <c r="N243" i="15"/>
  <c r="N232" i="15" s="1"/>
  <c r="P243" i="15"/>
  <c r="L244" i="15"/>
  <c r="L245" i="15"/>
  <c r="L246" i="15"/>
  <c r="L247" i="15"/>
  <c r="I249" i="15"/>
  <c r="K251" i="15"/>
  <c r="K252" i="15"/>
  <c r="J253" i="15"/>
  <c r="N254" i="15"/>
  <c r="P254" i="15"/>
  <c r="L255" i="15"/>
  <c r="L256" i="15"/>
  <c r="L257" i="15"/>
  <c r="L258" i="15"/>
  <c r="I260" i="15"/>
  <c r="K262" i="15"/>
  <c r="K263" i="15"/>
  <c r="J265" i="15"/>
  <c r="L267" i="15"/>
  <c r="O267" i="15" s="1"/>
  <c r="M267" i="15"/>
  <c r="N267" i="15"/>
  <c r="P267" i="15"/>
  <c r="Q267" i="15"/>
  <c r="R267" i="15"/>
  <c r="U267" i="15" s="1"/>
  <c r="S267" i="15"/>
  <c r="O270" i="15"/>
  <c r="P270" i="15"/>
  <c r="T270" i="15"/>
  <c r="U270" i="15"/>
  <c r="L271" i="15"/>
  <c r="L269" i="15" s="1"/>
  <c r="M271" i="15"/>
  <c r="N271" i="15"/>
  <c r="Q271" i="15"/>
  <c r="Q268" i="15" s="1"/>
  <c r="R271" i="15"/>
  <c r="S271" i="15"/>
  <c r="Q272" i="15"/>
  <c r="T272" i="15" s="1"/>
  <c r="R272" i="15"/>
  <c r="U272" i="15" s="1"/>
  <c r="S272" i="15"/>
  <c r="O273" i="15"/>
  <c r="P273" i="15"/>
  <c r="T273" i="15"/>
  <c r="U273" i="15"/>
  <c r="L274" i="15"/>
  <c r="O274" i="15" s="1"/>
  <c r="M274" i="15"/>
  <c r="M272" i="15" s="1"/>
  <c r="P272" i="15" s="1"/>
  <c r="N274" i="15"/>
  <c r="N272" i="15" s="1"/>
  <c r="T274" i="15"/>
  <c r="U274" i="15"/>
  <c r="I276" i="15"/>
  <c r="K276" i="15" s="1"/>
  <c r="J281" i="15"/>
  <c r="L283" i="15"/>
  <c r="O283" i="15" s="1"/>
  <c r="M283" i="15"/>
  <c r="P283" i="15" s="1"/>
  <c r="N283" i="15"/>
  <c r="Q283" i="15"/>
  <c r="R283" i="15"/>
  <c r="U283" i="15" s="1"/>
  <c r="S283" i="15"/>
  <c r="Q284" i="15"/>
  <c r="T284" i="15" s="1"/>
  <c r="R284" i="15"/>
  <c r="U284" i="15" s="1"/>
  <c r="S284" i="15"/>
  <c r="S282" i="15" s="1"/>
  <c r="Q285" i="15"/>
  <c r="T285" i="15" s="1"/>
  <c r="R285" i="15"/>
  <c r="S285" i="15"/>
  <c r="U285" i="15"/>
  <c r="O286" i="15"/>
  <c r="P286" i="15"/>
  <c r="T286" i="15"/>
  <c r="U286" i="15"/>
  <c r="L287" i="15"/>
  <c r="M287" i="15"/>
  <c r="M285" i="15" s="1"/>
  <c r="N287" i="15"/>
  <c r="N285" i="15" s="1"/>
  <c r="T287" i="15"/>
  <c r="U287" i="15"/>
  <c r="Q288" i="15"/>
  <c r="T288" i="15" s="1"/>
  <c r="R288" i="15"/>
  <c r="U288" i="15" s="1"/>
  <c r="S288" i="15"/>
  <c r="O289" i="15"/>
  <c r="P289" i="15"/>
  <c r="T289" i="15"/>
  <c r="U289" i="15"/>
  <c r="L290" i="15"/>
  <c r="L288" i="15" s="1"/>
  <c r="O288" i="15" s="1"/>
  <c r="M290" i="15"/>
  <c r="M288" i="15" s="1"/>
  <c r="P288" i="15" s="1"/>
  <c r="N290" i="15"/>
  <c r="N288" i="15" s="1"/>
  <c r="T290" i="15"/>
  <c r="U290" i="15"/>
  <c r="I292" i="15"/>
  <c r="K292" i="15" s="1"/>
  <c r="I293" i="15"/>
  <c r="J293" i="15"/>
  <c r="J280" i="15" s="1"/>
  <c r="I295" i="15"/>
  <c r="K295" i="15" s="1"/>
  <c r="I296" i="15"/>
  <c r="K296" i="15" s="1"/>
  <c r="J302" i="15"/>
  <c r="L304" i="15"/>
  <c r="M304" i="15"/>
  <c r="N304" i="15"/>
  <c r="Q304" i="15"/>
  <c r="T304" i="15" s="1"/>
  <c r="R304" i="15"/>
  <c r="S304" i="15"/>
  <c r="O307" i="15"/>
  <c r="P307" i="15"/>
  <c r="T307" i="15"/>
  <c r="U307" i="15"/>
  <c r="L308" i="15"/>
  <c r="M308" i="15"/>
  <c r="M306" i="15" s="1"/>
  <c r="N308" i="15"/>
  <c r="N306" i="15" s="1"/>
  <c r="Q308" i="15"/>
  <c r="Q306" i="15" s="1"/>
  <c r="R308" i="15"/>
  <c r="S308" i="15"/>
  <c r="Q309" i="15"/>
  <c r="T309" i="15" s="1"/>
  <c r="R309" i="15"/>
  <c r="U309" i="15" s="1"/>
  <c r="S309" i="15"/>
  <c r="O310" i="15"/>
  <c r="P310" i="15"/>
  <c r="T310" i="15"/>
  <c r="U310" i="15"/>
  <c r="L311" i="15"/>
  <c r="L309" i="15" s="1"/>
  <c r="O309" i="15" s="1"/>
  <c r="M311" i="15"/>
  <c r="P311" i="15" s="1"/>
  <c r="N311" i="15"/>
  <c r="N309" i="15" s="1"/>
  <c r="T311" i="15"/>
  <c r="U311" i="15"/>
  <c r="I314" i="15"/>
  <c r="K314" i="15" s="1"/>
  <c r="J319" i="15"/>
  <c r="L321" i="15"/>
  <c r="M321" i="15"/>
  <c r="N321" i="15"/>
  <c r="Q321" i="15"/>
  <c r="R321" i="15"/>
  <c r="S321" i="15"/>
  <c r="Q322" i="15"/>
  <c r="T322" i="15" s="1"/>
  <c r="R322" i="15"/>
  <c r="S322" i="15"/>
  <c r="U322" i="15"/>
  <c r="Q323" i="15"/>
  <c r="T323" i="15" s="1"/>
  <c r="R323" i="15"/>
  <c r="S323" i="15"/>
  <c r="U323" i="15"/>
  <c r="O324" i="15"/>
  <c r="P324" i="15"/>
  <c r="T324" i="15"/>
  <c r="U324" i="15"/>
  <c r="L325" i="15"/>
  <c r="L323" i="15" s="1"/>
  <c r="M325" i="15"/>
  <c r="N325" i="15"/>
  <c r="T325" i="15"/>
  <c r="U325" i="15"/>
  <c r="Q326" i="15"/>
  <c r="R326" i="15"/>
  <c r="U326" i="15" s="1"/>
  <c r="S326" i="15"/>
  <c r="T326" i="15"/>
  <c r="O327" i="15"/>
  <c r="P327" i="15"/>
  <c r="T327" i="15"/>
  <c r="U327" i="15"/>
  <c r="L328" i="15"/>
  <c r="M328" i="15"/>
  <c r="M326" i="15" s="1"/>
  <c r="P326" i="15" s="1"/>
  <c r="N328" i="15"/>
  <c r="T328" i="15"/>
  <c r="U328" i="15"/>
  <c r="I330" i="15"/>
  <c r="K330" i="15" s="1"/>
  <c r="L334" i="15"/>
  <c r="M334" i="15"/>
  <c r="N334" i="15"/>
  <c r="Q334" i="15"/>
  <c r="R334" i="15"/>
  <c r="S334" i="15"/>
  <c r="Q335" i="15"/>
  <c r="T335" i="15" s="1"/>
  <c r="R335" i="15"/>
  <c r="S335" i="15"/>
  <c r="U335" i="15"/>
  <c r="Q336" i="15"/>
  <c r="T336" i="15" s="1"/>
  <c r="R336" i="15"/>
  <c r="U336" i="15" s="1"/>
  <c r="S336" i="15"/>
  <c r="O337" i="15"/>
  <c r="P337" i="15"/>
  <c r="T337" i="15"/>
  <c r="U337" i="15"/>
  <c r="L338" i="15"/>
  <c r="L336" i="15" s="1"/>
  <c r="M338" i="15"/>
  <c r="M336" i="15" s="1"/>
  <c r="N338" i="15"/>
  <c r="T338" i="15"/>
  <c r="U338" i="15"/>
  <c r="Q339" i="15"/>
  <c r="R339" i="15"/>
  <c r="S339" i="15"/>
  <c r="T339" i="15"/>
  <c r="U339" i="15"/>
  <c r="O340" i="15"/>
  <c r="P340" i="15"/>
  <c r="T340" i="15"/>
  <c r="U340" i="15"/>
  <c r="L341" i="15"/>
  <c r="M341" i="15"/>
  <c r="P341" i="15" s="1"/>
  <c r="N341" i="15"/>
  <c r="N339" i="15" s="1"/>
  <c r="T341" i="15"/>
  <c r="U341" i="15"/>
  <c r="I344" i="15"/>
  <c r="I332" i="15" s="1"/>
  <c r="J344" i="15"/>
  <c r="I346" i="15"/>
  <c r="J346" i="15"/>
  <c r="J347" i="15"/>
  <c r="J348" i="15"/>
  <c r="J349" i="15"/>
  <c r="D350" i="15"/>
  <c r="J352" i="15"/>
  <c r="J353" i="15"/>
  <c r="D354" i="15"/>
  <c r="S356" i="15"/>
  <c r="L357" i="15"/>
  <c r="M357" i="15"/>
  <c r="N357" i="15"/>
  <c r="O357" i="15"/>
  <c r="P357" i="15"/>
  <c r="Q357" i="15"/>
  <c r="R357" i="15"/>
  <c r="U357" i="15" s="1"/>
  <c r="S357" i="15"/>
  <c r="Q358" i="15"/>
  <c r="T358" i="15" s="1"/>
  <c r="R358" i="15"/>
  <c r="U358" i="15" s="1"/>
  <c r="S358" i="15"/>
  <c r="Q359" i="15"/>
  <c r="R359" i="15"/>
  <c r="U359" i="15" s="1"/>
  <c r="S359" i="15"/>
  <c r="T359" i="15"/>
  <c r="O360" i="15"/>
  <c r="P360" i="15"/>
  <c r="T360" i="15"/>
  <c r="U360" i="15"/>
  <c r="L361" i="15"/>
  <c r="M361" i="15"/>
  <c r="M359" i="15" s="1"/>
  <c r="N361" i="15"/>
  <c r="N359" i="15" s="1"/>
  <c r="T361" i="15"/>
  <c r="U361" i="15"/>
  <c r="Q362" i="15"/>
  <c r="T362" i="15" s="1"/>
  <c r="R362" i="15"/>
  <c r="U362" i="15" s="1"/>
  <c r="S362" i="15"/>
  <c r="O363" i="15"/>
  <c r="P363" i="15"/>
  <c r="T363" i="15"/>
  <c r="U363" i="15"/>
  <c r="L364" i="15"/>
  <c r="L362" i="15" s="1"/>
  <c r="O362" i="15" s="1"/>
  <c r="M364" i="15"/>
  <c r="P364" i="15" s="1"/>
  <c r="N364" i="15"/>
  <c r="N362" i="15" s="1"/>
  <c r="T364" i="15"/>
  <c r="U364" i="15"/>
  <c r="J367" i="15"/>
  <c r="K367" i="15"/>
  <c r="I368" i="15"/>
  <c r="J368" i="15"/>
  <c r="I369" i="15"/>
  <c r="J369" i="15"/>
  <c r="J370" i="15"/>
  <c r="K370" i="15"/>
  <c r="I371" i="15"/>
  <c r="J371" i="15"/>
  <c r="J365" i="15" s="1"/>
  <c r="J372" i="15"/>
  <c r="K372" i="15"/>
  <c r="D373" i="15"/>
  <c r="L376" i="15"/>
  <c r="M376" i="15"/>
  <c r="N376" i="15"/>
  <c r="Q376" i="15"/>
  <c r="R376" i="15"/>
  <c r="S376" i="15"/>
  <c r="O379" i="15"/>
  <c r="P379" i="15"/>
  <c r="T379" i="15"/>
  <c r="U379" i="15"/>
  <c r="L380" i="15"/>
  <c r="L378" i="15" s="1"/>
  <c r="O378" i="15" s="1"/>
  <c r="M380" i="15"/>
  <c r="N380" i="15"/>
  <c r="N378" i="15" s="1"/>
  <c r="Q380" i="15"/>
  <c r="R380" i="15"/>
  <c r="R377" i="15" s="1"/>
  <c r="S380" i="15"/>
  <c r="Q381" i="15"/>
  <c r="T381" i="15" s="1"/>
  <c r="R381" i="15"/>
  <c r="S381" i="15"/>
  <c r="U381" i="15"/>
  <c r="O382" i="15"/>
  <c r="P382" i="15"/>
  <c r="T382" i="15"/>
  <c r="U382" i="15"/>
  <c r="L383" i="15"/>
  <c r="L381" i="15" s="1"/>
  <c r="O381" i="15" s="1"/>
  <c r="M383" i="15"/>
  <c r="N383" i="15"/>
  <c r="N381" i="15" s="1"/>
  <c r="T383" i="15"/>
  <c r="U383" i="15"/>
  <c r="J385" i="15"/>
  <c r="K385" i="15"/>
  <c r="I386" i="15"/>
  <c r="J386" i="15"/>
  <c r="J387" i="15"/>
  <c r="K387" i="15"/>
  <c r="I388" i="15"/>
  <c r="J388" i="15"/>
  <c r="I391" i="15"/>
  <c r="J391" i="15"/>
  <c r="K391" i="15"/>
  <c r="L393" i="15"/>
  <c r="L392" i="15" s="1"/>
  <c r="O392" i="15" s="1"/>
  <c r="M393" i="15"/>
  <c r="N393" i="15"/>
  <c r="N392" i="15" s="1"/>
  <c r="Q393" i="15"/>
  <c r="R393" i="15"/>
  <c r="S393" i="15"/>
  <c r="T393" i="15"/>
  <c r="U393" i="15"/>
  <c r="L394" i="15"/>
  <c r="M394" i="15"/>
  <c r="N394" i="15"/>
  <c r="O394" i="15"/>
  <c r="P394" i="15"/>
  <c r="L395" i="15"/>
  <c r="O395" i="15" s="1"/>
  <c r="M395" i="15"/>
  <c r="P395" i="15" s="1"/>
  <c r="N395" i="15"/>
  <c r="O396" i="15"/>
  <c r="P396" i="15"/>
  <c r="T396" i="15"/>
  <c r="U396" i="15"/>
  <c r="O397" i="15"/>
  <c r="P397" i="15"/>
  <c r="Q397" i="15"/>
  <c r="T397" i="15" s="1"/>
  <c r="R397" i="15"/>
  <c r="R395" i="15" s="1"/>
  <c r="U395" i="15" s="1"/>
  <c r="S397" i="15"/>
  <c r="S394" i="15" s="1"/>
  <c r="L398" i="15"/>
  <c r="M398" i="15"/>
  <c r="N398" i="15"/>
  <c r="O398" i="15"/>
  <c r="P398" i="15"/>
  <c r="Q398" i="15"/>
  <c r="R398" i="15"/>
  <c r="S398" i="15"/>
  <c r="T398" i="15"/>
  <c r="U398" i="15"/>
  <c r="O399" i="15"/>
  <c r="P399" i="15"/>
  <c r="T399" i="15"/>
  <c r="U399" i="15"/>
  <c r="O400" i="15"/>
  <c r="P400" i="15"/>
  <c r="T400" i="15"/>
  <c r="U400" i="15"/>
  <c r="L414" i="15"/>
  <c r="O414" i="15" s="1"/>
  <c r="M414" i="15"/>
  <c r="N414" i="15"/>
  <c r="Q414" i="15"/>
  <c r="R414" i="15"/>
  <c r="S414" i="15"/>
  <c r="T414" i="15"/>
  <c r="U414" i="15"/>
  <c r="O417" i="15"/>
  <c r="P417" i="15"/>
  <c r="T417" i="15"/>
  <c r="U417" i="15"/>
  <c r="L418" i="15"/>
  <c r="M418" i="15"/>
  <c r="N418" i="15"/>
  <c r="N416" i="15" s="1"/>
  <c r="Q418" i="15"/>
  <c r="R418" i="15"/>
  <c r="R416" i="15" s="1"/>
  <c r="S418" i="15"/>
  <c r="S415" i="15" s="1"/>
  <c r="Q419" i="15"/>
  <c r="T419" i="15" s="1"/>
  <c r="R419" i="15"/>
  <c r="U419" i="15" s="1"/>
  <c r="S419" i="15"/>
  <c r="O420" i="15"/>
  <c r="P420" i="15"/>
  <c r="T420" i="15"/>
  <c r="U420" i="15"/>
  <c r="L421" i="15"/>
  <c r="L419" i="15" s="1"/>
  <c r="O419" i="15" s="1"/>
  <c r="M421" i="15"/>
  <c r="P421" i="15" s="1"/>
  <c r="N421" i="15"/>
  <c r="N419" i="15" s="1"/>
  <c r="T421" i="15"/>
  <c r="U421" i="15"/>
  <c r="I424" i="15"/>
  <c r="J424" i="15"/>
  <c r="I425" i="15"/>
  <c r="K425" i="15" s="1"/>
  <c r="J425" i="15"/>
  <c r="I432" i="15"/>
  <c r="J432" i="15"/>
  <c r="I433" i="15"/>
  <c r="K433" i="15" s="1"/>
  <c r="J433" i="15"/>
  <c r="I440" i="15"/>
  <c r="I441" i="15"/>
  <c r="J446" i="15"/>
  <c r="J440" i="15" s="1"/>
  <c r="J423" i="15" s="1"/>
  <c r="J412" i="15" s="1"/>
  <c r="J447" i="15"/>
  <c r="J441" i="15" s="1"/>
  <c r="I457" i="15"/>
  <c r="I456" i="15" s="1"/>
  <c r="I458" i="15"/>
  <c r="K458" i="15" s="1"/>
  <c r="J459" i="15"/>
  <c r="J460" i="15"/>
  <c r="J458" i="15" s="1"/>
  <c r="J467" i="15"/>
  <c r="J468" i="15"/>
  <c r="J475" i="15"/>
  <c r="K475" i="15"/>
  <c r="J476" i="15"/>
  <c r="K476" i="15"/>
  <c r="J477" i="15"/>
  <c r="K477" i="15"/>
  <c r="J482" i="15"/>
  <c r="J483" i="15"/>
  <c r="I484" i="15"/>
  <c r="J484" i="15"/>
  <c r="K484" i="15"/>
  <c r="I485" i="15"/>
  <c r="K485" i="15" s="1"/>
  <c r="J485" i="15"/>
  <c r="L494" i="15"/>
  <c r="M494" i="15"/>
  <c r="N494" i="15"/>
  <c r="Q494" i="15"/>
  <c r="R494" i="15"/>
  <c r="S494" i="15"/>
  <c r="O497" i="15"/>
  <c r="P497" i="15"/>
  <c r="T497" i="15"/>
  <c r="U497" i="15"/>
  <c r="L498" i="15"/>
  <c r="M498" i="15"/>
  <c r="N498" i="15"/>
  <c r="N496" i="15" s="1"/>
  <c r="Q498" i="15"/>
  <c r="Q495" i="15" s="1"/>
  <c r="R498" i="15"/>
  <c r="R495" i="15" s="1"/>
  <c r="S498" i="15"/>
  <c r="Q499" i="15"/>
  <c r="T499" i="15" s="1"/>
  <c r="R499" i="15"/>
  <c r="U499" i="15" s="1"/>
  <c r="S499" i="15"/>
  <c r="O500" i="15"/>
  <c r="P500" i="15"/>
  <c r="T500" i="15"/>
  <c r="U500" i="15"/>
  <c r="L501" i="15"/>
  <c r="O501" i="15" s="1"/>
  <c r="M501" i="15"/>
  <c r="N501" i="15"/>
  <c r="N499" i="15" s="1"/>
  <c r="T501" i="15"/>
  <c r="U501" i="15"/>
  <c r="I503" i="15"/>
  <c r="J503" i="15" s="1"/>
  <c r="I504" i="15"/>
  <c r="K504" i="15" s="1"/>
  <c r="I505" i="15"/>
  <c r="K505" i="15" s="1"/>
  <c r="I506" i="15"/>
  <c r="K506" i="15" s="1"/>
  <c r="I507" i="15"/>
  <c r="K507" i="15" s="1"/>
  <c r="K508" i="15"/>
  <c r="I509" i="15"/>
  <c r="K509" i="15" s="1"/>
  <c r="I512" i="15"/>
  <c r="K512" i="15" s="1"/>
  <c r="J512" i="15"/>
  <c r="L514" i="15"/>
  <c r="O514" i="15" s="1"/>
  <c r="M514" i="15"/>
  <c r="P514" i="15" s="1"/>
  <c r="N514" i="15"/>
  <c r="Q514" i="15"/>
  <c r="R514" i="15"/>
  <c r="U514" i="15" s="1"/>
  <c r="S514" i="15"/>
  <c r="Q515" i="15"/>
  <c r="T515" i="15" s="1"/>
  <c r="R515" i="15"/>
  <c r="U515" i="15" s="1"/>
  <c r="S515" i="15"/>
  <c r="S513" i="15" s="1"/>
  <c r="Q516" i="15"/>
  <c r="R516" i="15"/>
  <c r="U516" i="15" s="1"/>
  <c r="S516" i="15"/>
  <c r="T516" i="15"/>
  <c r="O517" i="15"/>
  <c r="P517" i="15"/>
  <c r="T517" i="15"/>
  <c r="U517" i="15"/>
  <c r="L518" i="15"/>
  <c r="M518" i="15"/>
  <c r="P518" i="15" s="1"/>
  <c r="N518" i="15"/>
  <c r="T518" i="15"/>
  <c r="U518" i="15"/>
  <c r="Q519" i="15"/>
  <c r="T519" i="15" s="1"/>
  <c r="R519" i="15"/>
  <c r="U519" i="15" s="1"/>
  <c r="S519" i="15"/>
  <c r="O520" i="15"/>
  <c r="P520" i="15"/>
  <c r="T520" i="15"/>
  <c r="U520" i="15"/>
  <c r="L521" i="15"/>
  <c r="L519" i="15" s="1"/>
  <c r="O519" i="15" s="1"/>
  <c r="M521" i="15"/>
  <c r="P521" i="15" s="1"/>
  <c r="N521" i="15"/>
  <c r="N519" i="15" s="1"/>
  <c r="T521" i="15"/>
  <c r="U521" i="15"/>
  <c r="K523" i="15"/>
  <c r="K524" i="15"/>
  <c r="I533" i="15"/>
  <c r="K533" i="15" s="1"/>
  <c r="J533" i="15"/>
  <c r="L535" i="15"/>
  <c r="M535" i="15"/>
  <c r="P535" i="15" s="1"/>
  <c r="N535" i="15"/>
  <c r="Q535" i="15"/>
  <c r="T535" i="15" s="1"/>
  <c r="R535" i="15"/>
  <c r="S535" i="15"/>
  <c r="Q536" i="15"/>
  <c r="T536" i="15" s="1"/>
  <c r="R536" i="15"/>
  <c r="S536" i="15"/>
  <c r="U536" i="15"/>
  <c r="Q537" i="15"/>
  <c r="R537" i="15"/>
  <c r="S537" i="15"/>
  <c r="T537" i="15"/>
  <c r="U537" i="15"/>
  <c r="O538" i="15"/>
  <c r="P538" i="15"/>
  <c r="T538" i="15"/>
  <c r="U538" i="15"/>
  <c r="L539" i="15"/>
  <c r="L537" i="15" s="1"/>
  <c r="O537" i="15" s="1"/>
  <c r="M539" i="15"/>
  <c r="N539" i="15"/>
  <c r="T539" i="15"/>
  <c r="U539" i="15"/>
  <c r="Q540" i="15"/>
  <c r="T540" i="15" s="1"/>
  <c r="R540" i="15"/>
  <c r="U540" i="15" s="1"/>
  <c r="S540" i="15"/>
  <c r="O541" i="15"/>
  <c r="P541" i="15"/>
  <c r="T541" i="15"/>
  <c r="U541" i="15"/>
  <c r="L542" i="15"/>
  <c r="M542" i="15"/>
  <c r="P542" i="15" s="1"/>
  <c r="N542" i="15"/>
  <c r="N540" i="15" s="1"/>
  <c r="T542" i="15"/>
  <c r="U542" i="15"/>
  <c r="I554" i="15"/>
  <c r="J554" i="15"/>
  <c r="K554" i="15"/>
  <c r="L556" i="15"/>
  <c r="M556" i="15"/>
  <c r="N556" i="15"/>
  <c r="O556" i="15"/>
  <c r="Q556" i="15"/>
  <c r="R556" i="15"/>
  <c r="U556" i="15" s="1"/>
  <c r="S556" i="15"/>
  <c r="S555" i="15" s="1"/>
  <c r="T556" i="15"/>
  <c r="Q557" i="15"/>
  <c r="R557" i="15"/>
  <c r="S557" i="15"/>
  <c r="Q558" i="15"/>
  <c r="T558" i="15" s="1"/>
  <c r="R558" i="15"/>
  <c r="U558" i="15" s="1"/>
  <c r="S558" i="15"/>
  <c r="O559" i="15"/>
  <c r="P559" i="15"/>
  <c r="T559" i="15"/>
  <c r="U559" i="15"/>
  <c r="L560" i="15"/>
  <c r="L558" i="15" s="1"/>
  <c r="O558" i="15" s="1"/>
  <c r="M560" i="15"/>
  <c r="N560" i="15"/>
  <c r="N558" i="15" s="1"/>
  <c r="T560" i="15"/>
  <c r="U560" i="15"/>
  <c r="Q561" i="15"/>
  <c r="T561" i="15" s="1"/>
  <c r="R561" i="15"/>
  <c r="U561" i="15" s="1"/>
  <c r="S561" i="15"/>
  <c r="O562" i="15"/>
  <c r="P562" i="15"/>
  <c r="T562" i="15"/>
  <c r="U562" i="15"/>
  <c r="L563" i="15"/>
  <c r="L561" i="15" s="1"/>
  <c r="O561" i="15" s="1"/>
  <c r="M563" i="15"/>
  <c r="N563" i="15"/>
  <c r="N561" i="15" s="1"/>
  <c r="T563" i="15"/>
  <c r="U563" i="15"/>
  <c r="I575" i="15"/>
  <c r="J575" i="15"/>
  <c r="K575" i="15"/>
  <c r="L577" i="15"/>
  <c r="M577" i="15"/>
  <c r="P577" i="15" s="1"/>
  <c r="N577" i="15"/>
  <c r="Q577" i="15"/>
  <c r="R577" i="15"/>
  <c r="S577" i="15"/>
  <c r="S576" i="15" s="1"/>
  <c r="Q578" i="15"/>
  <c r="R578" i="15"/>
  <c r="U578" i="15" s="1"/>
  <c r="S578" i="15"/>
  <c r="T578" i="15"/>
  <c r="Q579" i="15"/>
  <c r="T579" i="15" s="1"/>
  <c r="R579" i="15"/>
  <c r="U579" i="15" s="1"/>
  <c r="S579" i="15"/>
  <c r="O580" i="15"/>
  <c r="P580" i="15"/>
  <c r="T580" i="15"/>
  <c r="U580" i="15"/>
  <c r="L581" i="15"/>
  <c r="L579" i="15" s="1"/>
  <c r="M581" i="15"/>
  <c r="N581" i="15"/>
  <c r="T581" i="15"/>
  <c r="U581" i="15"/>
  <c r="Q582" i="15"/>
  <c r="T582" i="15" s="1"/>
  <c r="R582" i="15"/>
  <c r="U582" i="15" s="1"/>
  <c r="S582" i="15"/>
  <c r="O583" i="15"/>
  <c r="P583" i="15"/>
  <c r="T583" i="15"/>
  <c r="U583" i="15"/>
  <c r="L584" i="15"/>
  <c r="O584" i="15" s="1"/>
  <c r="M584" i="15"/>
  <c r="M582" i="15" s="1"/>
  <c r="P582" i="15" s="1"/>
  <c r="N584" i="15"/>
  <c r="N582" i="15" s="1"/>
  <c r="T584" i="15"/>
  <c r="U584" i="15"/>
  <c r="K586" i="15"/>
  <c r="K587" i="15"/>
  <c r="L600" i="15"/>
  <c r="O600" i="15" s="1"/>
  <c r="M600" i="15"/>
  <c r="N600" i="15"/>
  <c r="P600" i="15"/>
  <c r="Q600" i="15"/>
  <c r="T600" i="15" s="1"/>
  <c r="R600" i="15"/>
  <c r="U600" i="15" s="1"/>
  <c r="S600" i="15"/>
  <c r="O603" i="15"/>
  <c r="P603" i="15"/>
  <c r="T603" i="15"/>
  <c r="U603" i="15"/>
  <c r="L604" i="15"/>
  <c r="O604" i="15" s="1"/>
  <c r="M604" i="15"/>
  <c r="P604" i="15" s="1"/>
  <c r="N604" i="15"/>
  <c r="Q604" i="15"/>
  <c r="R604" i="15"/>
  <c r="S604" i="15"/>
  <c r="O606" i="15"/>
  <c r="P606" i="15"/>
  <c r="T606" i="15"/>
  <c r="U606" i="15"/>
  <c r="L607" i="15"/>
  <c r="O607" i="15" s="1"/>
  <c r="M607" i="15"/>
  <c r="M605" i="15" s="1"/>
  <c r="P605" i="15" s="1"/>
  <c r="N607" i="15"/>
  <c r="N605" i="15" s="1"/>
  <c r="Q607" i="15"/>
  <c r="R607" i="15"/>
  <c r="U607" i="15" s="1"/>
  <c r="S607" i="15"/>
  <c r="S605" i="15" s="1"/>
  <c r="L616" i="15"/>
  <c r="O616" i="15" s="1"/>
  <c r="L617" i="15"/>
  <c r="O617" i="15" s="1"/>
  <c r="M617" i="15"/>
  <c r="N617" i="15"/>
  <c r="Q617" i="15"/>
  <c r="T617" i="15" s="1"/>
  <c r="R617" i="15"/>
  <c r="U617" i="15" s="1"/>
  <c r="S617" i="15"/>
  <c r="L618" i="15"/>
  <c r="M618" i="15"/>
  <c r="P618" i="15" s="1"/>
  <c r="N618" i="15"/>
  <c r="O618" i="15"/>
  <c r="L619" i="15"/>
  <c r="M619" i="15"/>
  <c r="N619" i="15"/>
  <c r="O619" i="15"/>
  <c r="P619" i="15"/>
  <c r="O620" i="15"/>
  <c r="P620" i="15"/>
  <c r="T620" i="15"/>
  <c r="U620" i="15"/>
  <c r="O621" i="15"/>
  <c r="P621" i="15"/>
  <c r="Q621" i="15"/>
  <c r="Q619" i="15" s="1"/>
  <c r="R621" i="15"/>
  <c r="S621" i="15"/>
  <c r="S619" i="15" s="1"/>
  <c r="L622" i="15"/>
  <c r="O622" i="15" s="1"/>
  <c r="M622" i="15"/>
  <c r="P622" i="15" s="1"/>
  <c r="N622" i="15"/>
  <c r="Q622" i="15"/>
  <c r="R622" i="15"/>
  <c r="U622" i="15" s="1"/>
  <c r="S622" i="15"/>
  <c r="T622" i="15"/>
  <c r="O623" i="15"/>
  <c r="P623" i="15"/>
  <c r="T623" i="15"/>
  <c r="U623" i="15"/>
  <c r="O624" i="15"/>
  <c r="P624" i="15"/>
  <c r="T624" i="15"/>
  <c r="U624" i="15"/>
  <c r="I626" i="15"/>
  <c r="K632" i="15" s="1"/>
  <c r="I627" i="15"/>
  <c r="K627" i="15" s="1"/>
  <c r="I628" i="15"/>
  <c r="K628" i="15" s="1"/>
  <c r="J632" i="15"/>
  <c r="J626" i="15" s="1"/>
  <c r="J615" i="15" s="1"/>
  <c r="I635" i="15"/>
  <c r="K635" i="15" s="1"/>
  <c r="J635" i="15"/>
  <c r="J636" i="15"/>
  <c r="L643" i="15"/>
  <c r="M643" i="15"/>
  <c r="N643" i="15"/>
  <c r="Q643" i="15"/>
  <c r="T643" i="15" s="1"/>
  <c r="R643" i="15"/>
  <c r="S643" i="15"/>
  <c r="L644" i="15"/>
  <c r="O644" i="15" s="1"/>
  <c r="M644" i="15"/>
  <c r="P644" i="15" s="1"/>
  <c r="N644" i="15"/>
  <c r="N642" i="15" s="1"/>
  <c r="L645" i="15"/>
  <c r="O645" i="15" s="1"/>
  <c r="M645" i="15"/>
  <c r="P645" i="15" s="1"/>
  <c r="N645" i="15"/>
  <c r="O646" i="15"/>
  <c r="P646" i="15"/>
  <c r="T646" i="15"/>
  <c r="U646" i="15"/>
  <c r="O647" i="15"/>
  <c r="P647" i="15"/>
  <c r="Q647" i="15"/>
  <c r="Q645" i="15" s="1"/>
  <c r="T645" i="15" s="1"/>
  <c r="R647" i="15"/>
  <c r="S647" i="15"/>
  <c r="S644" i="15" s="1"/>
  <c r="L648" i="15"/>
  <c r="O648" i="15" s="1"/>
  <c r="M648" i="15"/>
  <c r="P648" i="15" s="1"/>
  <c r="N648" i="15"/>
  <c r="Q648" i="15"/>
  <c r="T648" i="15" s="1"/>
  <c r="R648" i="15"/>
  <c r="U648" i="15" s="1"/>
  <c r="S648" i="15"/>
  <c r="O649" i="15"/>
  <c r="P649" i="15"/>
  <c r="T649" i="15"/>
  <c r="U649" i="15"/>
  <c r="O650" i="15"/>
  <c r="P650" i="15"/>
  <c r="T650" i="15"/>
  <c r="U650" i="15"/>
  <c r="I652" i="15"/>
  <c r="K652" i="15" s="1"/>
  <c r="J652" i="15"/>
  <c r="I653" i="15"/>
  <c r="K653" i="15" s="1"/>
  <c r="J653" i="15"/>
  <c r="I654" i="15"/>
  <c r="K654" i="15" s="1"/>
  <c r="J654" i="15"/>
  <c r="I657" i="15"/>
  <c r="I660" i="15"/>
  <c r="I661" i="15"/>
  <c r="K661" i="15" s="1"/>
  <c r="J661" i="15"/>
  <c r="J671" i="15"/>
  <c r="J672" i="15"/>
  <c r="I673" i="15"/>
  <c r="K673" i="15" s="1"/>
  <c r="J673" i="15"/>
  <c r="I674" i="15"/>
  <c r="K674" i="15" s="1"/>
  <c r="I675" i="15"/>
  <c r="K675" i="15" s="1"/>
  <c r="I676" i="15"/>
  <c r="K676" i="15" s="1"/>
  <c r="J676" i="15"/>
  <c r="J677" i="15"/>
  <c r="I678" i="15"/>
  <c r="K678" i="15" s="1"/>
  <c r="J678" i="15"/>
  <c r="I679" i="15"/>
  <c r="K679" i="15" s="1"/>
  <c r="J679" i="15"/>
  <c r="J680" i="15"/>
  <c r="I681" i="15"/>
  <c r="K681" i="15" s="1"/>
  <c r="J681" i="15"/>
  <c r="I682" i="15"/>
  <c r="K682" i="15" s="1"/>
  <c r="J682" i="15"/>
  <c r="L691" i="15"/>
  <c r="M691" i="15"/>
  <c r="P691" i="15" s="1"/>
  <c r="N691" i="15"/>
  <c r="Q691" i="15"/>
  <c r="T691" i="15" s="1"/>
  <c r="R691" i="15"/>
  <c r="S691" i="15"/>
  <c r="L692" i="15"/>
  <c r="M692" i="15"/>
  <c r="P692" i="15" s="1"/>
  <c r="N692" i="15"/>
  <c r="N690" i="15" s="1"/>
  <c r="O692" i="15"/>
  <c r="L693" i="15"/>
  <c r="O693" i="15" s="1"/>
  <c r="M693" i="15"/>
  <c r="N693" i="15"/>
  <c r="P693" i="15"/>
  <c r="O694" i="15"/>
  <c r="P694" i="15"/>
  <c r="T694" i="15"/>
  <c r="U694" i="15"/>
  <c r="O695" i="15"/>
  <c r="P695" i="15"/>
  <c r="Q695" i="15"/>
  <c r="Q693" i="15" s="1"/>
  <c r="R695" i="15"/>
  <c r="R693" i="15" s="1"/>
  <c r="S695" i="15"/>
  <c r="S693" i="15" s="1"/>
  <c r="L696" i="15"/>
  <c r="O696" i="15" s="1"/>
  <c r="M696" i="15"/>
  <c r="P696" i="15" s="1"/>
  <c r="N696" i="15"/>
  <c r="Q696" i="15"/>
  <c r="R696" i="15"/>
  <c r="U696" i="15" s="1"/>
  <c r="S696" i="15"/>
  <c r="T696" i="15"/>
  <c r="O697" i="15"/>
  <c r="P697" i="15"/>
  <c r="T697" i="15"/>
  <c r="U697" i="15"/>
  <c r="O698" i="15"/>
  <c r="P698" i="15"/>
  <c r="T698" i="15"/>
  <c r="U698" i="15"/>
  <c r="I700" i="15"/>
  <c r="K700" i="15" s="1"/>
  <c r="K702" i="15"/>
  <c r="I703" i="15"/>
  <c r="K703" i="15" s="1"/>
  <c r="J703" i="15"/>
  <c r="J704" i="15"/>
  <c r="K704" i="15"/>
  <c r="I705" i="15"/>
  <c r="J705" i="15"/>
  <c r="J706" i="15"/>
  <c r="K706" i="15"/>
  <c r="I707" i="15"/>
  <c r="I689" i="15" s="1"/>
  <c r="K689" i="15" s="1"/>
  <c r="J707" i="15"/>
  <c r="J689" i="15" s="1"/>
  <c r="J708" i="15"/>
  <c r="K708" i="15"/>
  <c r="I709" i="15"/>
  <c r="J709" i="15"/>
  <c r="J710" i="15"/>
  <c r="K710" i="15"/>
  <c r="J712" i="15"/>
  <c r="K712" i="15"/>
  <c r="M714" i="15"/>
  <c r="P714" i="15" s="1"/>
  <c r="R714" i="15"/>
  <c r="U714" i="15" s="1"/>
  <c r="L715" i="15"/>
  <c r="L714" i="15" s="1"/>
  <c r="O714" i="15" s="1"/>
  <c r="M715" i="15"/>
  <c r="N715" i="15"/>
  <c r="O715" i="15"/>
  <c r="P715" i="15"/>
  <c r="Q715" i="15"/>
  <c r="R715" i="15"/>
  <c r="S715" i="15"/>
  <c r="T715" i="15"/>
  <c r="U715" i="15"/>
  <c r="L716" i="15"/>
  <c r="O716" i="15" s="1"/>
  <c r="M716" i="15"/>
  <c r="N716" i="15"/>
  <c r="P716" i="15"/>
  <c r="Q716" i="15"/>
  <c r="T716" i="15" s="1"/>
  <c r="R716" i="15"/>
  <c r="U716" i="15" s="1"/>
  <c r="S716" i="15"/>
  <c r="L717" i="15"/>
  <c r="M717" i="15"/>
  <c r="P717" i="15" s="1"/>
  <c r="N717" i="15"/>
  <c r="O717" i="15"/>
  <c r="Q717" i="15"/>
  <c r="R717" i="15"/>
  <c r="S717" i="15"/>
  <c r="T717" i="15"/>
  <c r="U717" i="15"/>
  <c r="O718" i="15"/>
  <c r="P718" i="15"/>
  <c r="T718" i="15"/>
  <c r="U718" i="15"/>
  <c r="O719" i="15"/>
  <c r="P719" i="15"/>
  <c r="T719" i="15"/>
  <c r="U719" i="15"/>
  <c r="L720" i="15"/>
  <c r="M720" i="15"/>
  <c r="P720" i="15" s="1"/>
  <c r="N720" i="15"/>
  <c r="O720" i="15"/>
  <c r="Q720" i="15"/>
  <c r="T720" i="15" s="1"/>
  <c r="R720" i="15"/>
  <c r="U720" i="15" s="1"/>
  <c r="S720" i="15"/>
  <c r="O721" i="15"/>
  <c r="P721" i="15"/>
  <c r="T721" i="15"/>
  <c r="U721" i="15"/>
  <c r="O722" i="15"/>
  <c r="P722" i="15"/>
  <c r="T722" i="15"/>
  <c r="U722" i="15"/>
  <c r="I726" i="15"/>
  <c r="J726" i="15"/>
  <c r="I727" i="15"/>
  <c r="J727" i="15"/>
  <c r="L729" i="15"/>
  <c r="O729" i="15" s="1"/>
  <c r="M729" i="15"/>
  <c r="M728" i="15" s="1"/>
  <c r="P728" i="15" s="1"/>
  <c r="N729" i="15"/>
  <c r="N728" i="15" s="1"/>
  <c r="Q729" i="15"/>
  <c r="R729" i="15"/>
  <c r="S729" i="15"/>
  <c r="T729" i="15"/>
  <c r="U729" i="15"/>
  <c r="L730" i="15"/>
  <c r="M730" i="15"/>
  <c r="N730" i="15"/>
  <c r="O730" i="15"/>
  <c r="P730" i="15"/>
  <c r="L731" i="15"/>
  <c r="O731" i="15" s="1"/>
  <c r="M731" i="15"/>
  <c r="P731" i="15" s="1"/>
  <c r="N731" i="15"/>
  <c r="O732" i="15"/>
  <c r="P732" i="15"/>
  <c r="T732" i="15"/>
  <c r="U732" i="15"/>
  <c r="O733" i="15"/>
  <c r="P733" i="15"/>
  <c r="Q733" i="15"/>
  <c r="Q730" i="15" s="1"/>
  <c r="R733" i="15"/>
  <c r="R731" i="15" s="1"/>
  <c r="S733" i="15"/>
  <c r="L734" i="15"/>
  <c r="M734" i="15"/>
  <c r="P734" i="15" s="1"/>
  <c r="N734" i="15"/>
  <c r="O734" i="15"/>
  <c r="Q734" i="15"/>
  <c r="T734" i="15" s="1"/>
  <c r="R734" i="15"/>
  <c r="U734" i="15" s="1"/>
  <c r="S734" i="15"/>
  <c r="O735" i="15"/>
  <c r="P735" i="15"/>
  <c r="T735" i="15"/>
  <c r="U735" i="15"/>
  <c r="O736" i="15"/>
  <c r="P736" i="15"/>
  <c r="T736" i="15"/>
  <c r="U736" i="15"/>
  <c r="I740" i="15"/>
  <c r="K740" i="15" s="1"/>
  <c r="I742" i="15"/>
  <c r="K742" i="15" s="1"/>
  <c r="I744" i="15"/>
  <c r="K744" i="15" s="1"/>
  <c r="I746" i="15"/>
  <c r="K746" i="15" s="1"/>
  <c r="I749" i="15"/>
  <c r="K749" i="15" s="1"/>
  <c r="I752" i="15"/>
  <c r="K752" i="15" s="1"/>
  <c r="I755" i="15"/>
  <c r="K755" i="15" s="1"/>
  <c r="J758" i="15"/>
  <c r="J759" i="15"/>
  <c r="L760" i="15"/>
  <c r="O760" i="15" s="1"/>
  <c r="L761" i="15"/>
  <c r="M761" i="15"/>
  <c r="N761" i="15"/>
  <c r="O761" i="15"/>
  <c r="Q761" i="15"/>
  <c r="R761" i="15"/>
  <c r="S761" i="15"/>
  <c r="T761" i="15"/>
  <c r="U761" i="15"/>
  <c r="L762" i="15"/>
  <c r="O762" i="15" s="1"/>
  <c r="M762" i="15"/>
  <c r="N762" i="15"/>
  <c r="P762" i="15"/>
  <c r="L763" i="15"/>
  <c r="O763" i="15" s="1"/>
  <c r="M763" i="15"/>
  <c r="P763" i="15" s="1"/>
  <c r="N763" i="15"/>
  <c r="O764" i="15"/>
  <c r="P764" i="15"/>
  <c r="T764" i="15"/>
  <c r="U764" i="15"/>
  <c r="O765" i="15"/>
  <c r="P765" i="15"/>
  <c r="Q765" i="15"/>
  <c r="Q762" i="15" s="1"/>
  <c r="R765" i="15"/>
  <c r="S765" i="15"/>
  <c r="S763" i="15" s="1"/>
  <c r="L766" i="15"/>
  <c r="O766" i="15" s="1"/>
  <c r="M766" i="15"/>
  <c r="N766" i="15"/>
  <c r="P766" i="15"/>
  <c r="Q766" i="15"/>
  <c r="R766" i="15"/>
  <c r="U766" i="15" s="1"/>
  <c r="S766" i="15"/>
  <c r="T766" i="15"/>
  <c r="O767" i="15"/>
  <c r="P767" i="15"/>
  <c r="T767" i="15"/>
  <c r="U767" i="15"/>
  <c r="O768" i="15"/>
  <c r="P768" i="15"/>
  <c r="T768" i="15"/>
  <c r="U768" i="15"/>
  <c r="I770" i="15"/>
  <c r="K770" i="15" s="1"/>
  <c r="I772" i="15"/>
  <c r="I774" i="15"/>
  <c r="K774" i="15" s="1"/>
  <c r="I775" i="15"/>
  <c r="I776" i="15"/>
  <c r="H777" i="15"/>
  <c r="I778" i="15"/>
  <c r="J778" i="15"/>
  <c r="I779" i="15"/>
  <c r="J779" i="15"/>
  <c r="I780" i="15"/>
  <c r="J780" i="15"/>
  <c r="I781" i="15"/>
  <c r="J781" i="15"/>
  <c r="I782" i="15"/>
  <c r="J782" i="15"/>
  <c r="I783" i="15"/>
  <c r="J783" i="15"/>
  <c r="I784" i="15"/>
  <c r="J784" i="15"/>
  <c r="I785" i="15"/>
  <c r="J785" i="15"/>
  <c r="A788" i="15"/>
  <c r="A789" i="15"/>
  <c r="L22" i="14"/>
  <c r="L19" i="14" s="1"/>
  <c r="M22" i="14"/>
  <c r="M19" i="14" s="1"/>
  <c r="N22" i="14"/>
  <c r="Q22" i="14"/>
  <c r="R22" i="14"/>
  <c r="S22" i="14"/>
  <c r="L25" i="14"/>
  <c r="M25" i="14"/>
  <c r="N25" i="14"/>
  <c r="Q25" i="14"/>
  <c r="R25" i="14"/>
  <c r="R19" i="14" s="1"/>
  <c r="S25" i="14"/>
  <c r="T25" i="14"/>
  <c r="L45" i="14"/>
  <c r="M45" i="14"/>
  <c r="N45" i="14"/>
  <c r="O45" i="14"/>
  <c r="Q45" i="14"/>
  <c r="Q44" i="14" s="1"/>
  <c r="T44" i="14" s="1"/>
  <c r="R45" i="14"/>
  <c r="U45" i="14" s="1"/>
  <c r="S45" i="14"/>
  <c r="T45" i="14"/>
  <c r="Q46" i="14"/>
  <c r="T46" i="14" s="1"/>
  <c r="R46" i="14"/>
  <c r="U46" i="14" s="1"/>
  <c r="S46" i="14"/>
  <c r="Q47" i="14"/>
  <c r="T47" i="14" s="1"/>
  <c r="R47" i="14"/>
  <c r="U47" i="14" s="1"/>
  <c r="S47" i="14"/>
  <c r="O48" i="14"/>
  <c r="P48" i="14"/>
  <c r="T48" i="14"/>
  <c r="U48" i="14"/>
  <c r="L49" i="14"/>
  <c r="L47" i="14" s="1"/>
  <c r="M49" i="14"/>
  <c r="N49" i="14"/>
  <c r="N47" i="14" s="1"/>
  <c r="T49" i="14"/>
  <c r="U49" i="14"/>
  <c r="Q50" i="14"/>
  <c r="R50" i="14"/>
  <c r="U50" i="14" s="1"/>
  <c r="S50" i="14"/>
  <c r="T50" i="14"/>
  <c r="O51" i="14"/>
  <c r="P51" i="14"/>
  <c r="T51" i="14"/>
  <c r="U51" i="14"/>
  <c r="L52" i="14"/>
  <c r="M52" i="14"/>
  <c r="N52" i="14"/>
  <c r="N50" i="14" s="1"/>
  <c r="T52" i="14"/>
  <c r="U52" i="14"/>
  <c r="Q59" i="14"/>
  <c r="T59" i="14" s="1"/>
  <c r="L60" i="14"/>
  <c r="M60" i="14"/>
  <c r="N60" i="14"/>
  <c r="O60" i="14"/>
  <c r="Q60" i="14"/>
  <c r="R60" i="14"/>
  <c r="U60" i="14" s="1"/>
  <c r="S60" i="14"/>
  <c r="T60" i="14"/>
  <c r="Q61" i="14"/>
  <c r="T61" i="14" s="1"/>
  <c r="R61" i="14"/>
  <c r="S61" i="14"/>
  <c r="Q62" i="14"/>
  <c r="T62" i="14" s="1"/>
  <c r="R62" i="14"/>
  <c r="U62" i="14" s="1"/>
  <c r="S62" i="14"/>
  <c r="O63" i="14"/>
  <c r="P63" i="14"/>
  <c r="T63" i="14"/>
  <c r="U63" i="14"/>
  <c r="L64" i="14"/>
  <c r="M64" i="14"/>
  <c r="M62" i="14" s="1"/>
  <c r="N64" i="14"/>
  <c r="N62" i="14" s="1"/>
  <c r="T64" i="14"/>
  <c r="U64" i="14"/>
  <c r="Q65" i="14"/>
  <c r="T65" i="14" s="1"/>
  <c r="R65" i="14"/>
  <c r="U65" i="14" s="1"/>
  <c r="S65" i="14"/>
  <c r="O66" i="14"/>
  <c r="P66" i="14"/>
  <c r="T66" i="14"/>
  <c r="U66" i="14"/>
  <c r="L67" i="14"/>
  <c r="M67" i="14"/>
  <c r="N67" i="14"/>
  <c r="N65" i="14" s="1"/>
  <c r="T67" i="14"/>
  <c r="U67" i="14"/>
  <c r="L73" i="14"/>
  <c r="M73" i="14"/>
  <c r="P73" i="14" s="1"/>
  <c r="N73" i="14"/>
  <c r="O73" i="14"/>
  <c r="Q73" i="14"/>
  <c r="T73" i="14" s="1"/>
  <c r="R73" i="14"/>
  <c r="S73" i="14"/>
  <c r="U73" i="14"/>
  <c r="O76" i="14"/>
  <c r="P76" i="14"/>
  <c r="T76" i="14"/>
  <c r="U76" i="14"/>
  <c r="L77" i="14"/>
  <c r="L75" i="14" s="1"/>
  <c r="O75" i="14" s="1"/>
  <c r="M77" i="14"/>
  <c r="N77" i="14"/>
  <c r="N75" i="14" s="1"/>
  <c r="Q77" i="14"/>
  <c r="R77" i="14"/>
  <c r="R75" i="14" s="1"/>
  <c r="U75" i="14" s="1"/>
  <c r="S77" i="14"/>
  <c r="O79" i="14"/>
  <c r="P79" i="14"/>
  <c r="T79" i="14"/>
  <c r="U79" i="14"/>
  <c r="L80" i="14"/>
  <c r="L78" i="14" s="1"/>
  <c r="O78" i="14" s="1"/>
  <c r="M80" i="14"/>
  <c r="M78" i="14" s="1"/>
  <c r="P78" i="14" s="1"/>
  <c r="N80" i="14"/>
  <c r="N78" i="14" s="1"/>
  <c r="Q80" i="14"/>
  <c r="R80" i="14"/>
  <c r="S80" i="14"/>
  <c r="S78" i="14" s="1"/>
  <c r="J82" i="14"/>
  <c r="J70" i="14" s="1"/>
  <c r="J83" i="14"/>
  <c r="J71" i="14" s="1"/>
  <c r="I84" i="14"/>
  <c r="K84" i="14" s="1"/>
  <c r="I85" i="14"/>
  <c r="I86" i="14"/>
  <c r="K86" i="14" s="1"/>
  <c r="I87" i="14"/>
  <c r="K87" i="14" s="1"/>
  <c r="I88" i="14"/>
  <c r="K88" i="14" s="1"/>
  <c r="I89" i="14"/>
  <c r="K89" i="14" s="1"/>
  <c r="I90" i="14"/>
  <c r="K90" i="14" s="1"/>
  <c r="J92" i="14"/>
  <c r="J93" i="14"/>
  <c r="L95" i="14"/>
  <c r="O95" i="14" s="1"/>
  <c r="M95" i="14"/>
  <c r="P95" i="14" s="1"/>
  <c r="N95" i="14"/>
  <c r="Q95" i="14"/>
  <c r="R95" i="14"/>
  <c r="U95" i="14" s="1"/>
  <c r="S95" i="14"/>
  <c r="O98" i="14"/>
  <c r="P98" i="14"/>
  <c r="T98" i="14"/>
  <c r="U98" i="14"/>
  <c r="L99" i="14"/>
  <c r="L97" i="14" s="1"/>
  <c r="O97" i="14" s="1"/>
  <c r="M99" i="14"/>
  <c r="M97" i="14" s="1"/>
  <c r="N99" i="14"/>
  <c r="N97" i="14" s="1"/>
  <c r="Q99" i="14"/>
  <c r="R99" i="14"/>
  <c r="R96" i="14" s="1"/>
  <c r="S99" i="14"/>
  <c r="S97" i="14" s="1"/>
  <c r="Q100" i="14"/>
  <c r="R100" i="14"/>
  <c r="U100" i="14" s="1"/>
  <c r="S100" i="14"/>
  <c r="T100" i="14"/>
  <c r="O101" i="14"/>
  <c r="P101" i="14"/>
  <c r="T101" i="14"/>
  <c r="U101" i="14"/>
  <c r="L102" i="14"/>
  <c r="M102" i="14"/>
  <c r="N102" i="14"/>
  <c r="N100" i="14" s="1"/>
  <c r="T102" i="14"/>
  <c r="U102" i="14"/>
  <c r="I108" i="14"/>
  <c r="I92" i="14" s="1"/>
  <c r="K92" i="14" s="1"/>
  <c r="I109" i="14"/>
  <c r="I93" i="14" s="1"/>
  <c r="I113" i="14"/>
  <c r="K113" i="14" s="1"/>
  <c r="I114" i="14"/>
  <c r="K114" i="14" s="1"/>
  <c r="J116" i="14"/>
  <c r="L118" i="14"/>
  <c r="O118" i="14" s="1"/>
  <c r="M118" i="14"/>
  <c r="N118" i="14"/>
  <c r="P118" i="14"/>
  <c r="Q118" i="14"/>
  <c r="R118" i="14"/>
  <c r="U118" i="14" s="1"/>
  <c r="S118" i="14"/>
  <c r="T118" i="14"/>
  <c r="O121" i="14"/>
  <c r="P121" i="14"/>
  <c r="T121" i="14"/>
  <c r="U121" i="14"/>
  <c r="L122" i="14"/>
  <c r="M122" i="14"/>
  <c r="P122" i="14" s="1"/>
  <c r="N122" i="14"/>
  <c r="Q122" i="14"/>
  <c r="Q120" i="14" s="1"/>
  <c r="R122" i="14"/>
  <c r="S122" i="14"/>
  <c r="S120" i="14" s="1"/>
  <c r="O124" i="14"/>
  <c r="P124" i="14"/>
  <c r="T124" i="14"/>
  <c r="U124" i="14"/>
  <c r="L125" i="14"/>
  <c r="O125" i="14" s="1"/>
  <c r="M125" i="14"/>
  <c r="P125" i="14" s="1"/>
  <c r="N125" i="14"/>
  <c r="N123" i="14" s="1"/>
  <c r="Q125" i="14"/>
  <c r="Q123" i="14" s="1"/>
  <c r="T123" i="14" s="1"/>
  <c r="R125" i="14"/>
  <c r="S125" i="14"/>
  <c r="S123" i="14" s="1"/>
  <c r="I127" i="14"/>
  <c r="I116" i="14" s="1"/>
  <c r="K116" i="14" s="1"/>
  <c r="I128" i="14"/>
  <c r="K128" i="14" s="1"/>
  <c r="I129" i="14"/>
  <c r="K129" i="14" s="1"/>
  <c r="I130" i="14"/>
  <c r="K130" i="14" s="1"/>
  <c r="J136" i="14"/>
  <c r="J137" i="14"/>
  <c r="J138" i="14"/>
  <c r="L140" i="14"/>
  <c r="M140" i="14"/>
  <c r="P140" i="14" s="1"/>
  <c r="N140" i="14"/>
  <c r="O140" i="14"/>
  <c r="Q140" i="14"/>
  <c r="R140" i="14"/>
  <c r="U140" i="14" s="1"/>
  <c r="S140" i="14"/>
  <c r="O143" i="14"/>
  <c r="P143" i="14"/>
  <c r="T143" i="14"/>
  <c r="U143" i="14"/>
  <c r="L144" i="14"/>
  <c r="M144" i="14"/>
  <c r="P144" i="14" s="1"/>
  <c r="N144" i="14"/>
  <c r="N142" i="14" s="1"/>
  <c r="Q144" i="14"/>
  <c r="R144" i="14"/>
  <c r="S144" i="14"/>
  <c r="S142" i="14" s="1"/>
  <c r="O146" i="14"/>
  <c r="P146" i="14"/>
  <c r="T146" i="14"/>
  <c r="U146" i="14"/>
  <c r="L147" i="14"/>
  <c r="L145" i="14" s="1"/>
  <c r="O145" i="14" s="1"/>
  <c r="M147" i="14"/>
  <c r="N147" i="14"/>
  <c r="Q147" i="14"/>
  <c r="Q145" i="14" s="1"/>
  <c r="T145" i="14" s="1"/>
  <c r="R147" i="14"/>
  <c r="R145" i="14" s="1"/>
  <c r="U145" i="14" s="1"/>
  <c r="S147" i="14"/>
  <c r="S145" i="14" s="1"/>
  <c r="I150" i="14"/>
  <c r="K150" i="14" s="1"/>
  <c r="I151" i="14"/>
  <c r="K151" i="14" s="1"/>
  <c r="I152" i="14"/>
  <c r="I137" i="14" s="1"/>
  <c r="K137" i="14" s="1"/>
  <c r="I153" i="14"/>
  <c r="I138" i="14" s="1"/>
  <c r="K138" i="14" s="1"/>
  <c r="I154" i="14"/>
  <c r="I136" i="14" s="1"/>
  <c r="K136" i="14" s="1"/>
  <c r="J156" i="14"/>
  <c r="L158" i="14"/>
  <c r="M158" i="14"/>
  <c r="P158" i="14" s="1"/>
  <c r="N158" i="14"/>
  <c r="Q158" i="14"/>
  <c r="T158" i="14" s="1"/>
  <c r="R158" i="14"/>
  <c r="U158" i="14" s="1"/>
  <c r="S158" i="14"/>
  <c r="O161" i="14"/>
  <c r="P161" i="14"/>
  <c r="T161" i="14"/>
  <c r="U161" i="14"/>
  <c r="L162" i="14"/>
  <c r="M162" i="14"/>
  <c r="M160" i="14" s="1"/>
  <c r="N162" i="14"/>
  <c r="N160" i="14" s="1"/>
  <c r="Q162" i="14"/>
  <c r="R162" i="14"/>
  <c r="U162" i="14" s="1"/>
  <c r="S162" i="14"/>
  <c r="Q163" i="14"/>
  <c r="R163" i="14"/>
  <c r="U163" i="14" s="1"/>
  <c r="S163" i="14"/>
  <c r="T163" i="14"/>
  <c r="O164" i="14"/>
  <c r="P164" i="14"/>
  <c r="T164" i="14"/>
  <c r="U164" i="14"/>
  <c r="L165" i="14"/>
  <c r="M165" i="14"/>
  <c r="M163" i="14" s="1"/>
  <c r="P163" i="14" s="1"/>
  <c r="N165" i="14"/>
  <c r="T165" i="14"/>
  <c r="U165" i="14"/>
  <c r="I167" i="14"/>
  <c r="K167" i="14" s="1"/>
  <c r="I168" i="14"/>
  <c r="K168" i="14" s="1"/>
  <c r="I169" i="14"/>
  <c r="K169" i="14" s="1"/>
  <c r="J172" i="14"/>
  <c r="L174" i="14"/>
  <c r="O174" i="14" s="1"/>
  <c r="M174" i="14"/>
  <c r="N174" i="14"/>
  <c r="P174" i="14"/>
  <c r="Q174" i="14"/>
  <c r="R174" i="14"/>
  <c r="U174" i="14" s="1"/>
  <c r="S174" i="14"/>
  <c r="T174" i="14"/>
  <c r="O177" i="14"/>
  <c r="P177" i="14"/>
  <c r="T177" i="14"/>
  <c r="U177" i="14"/>
  <c r="L178" i="14"/>
  <c r="M178" i="14"/>
  <c r="N178" i="14"/>
  <c r="Q178" i="14"/>
  <c r="Q176" i="14" s="1"/>
  <c r="T176" i="14" s="1"/>
  <c r="R178" i="14"/>
  <c r="R175" i="14" s="1"/>
  <c r="S178" i="14"/>
  <c r="S176" i="14" s="1"/>
  <c r="Q179" i="14"/>
  <c r="T179" i="14" s="1"/>
  <c r="R179" i="14"/>
  <c r="S179" i="14"/>
  <c r="U179" i="14"/>
  <c r="O180" i="14"/>
  <c r="P180" i="14"/>
  <c r="T180" i="14"/>
  <c r="U180" i="14"/>
  <c r="L181" i="14"/>
  <c r="L179" i="14" s="1"/>
  <c r="O179" i="14" s="1"/>
  <c r="M181" i="14"/>
  <c r="P181" i="14" s="1"/>
  <c r="N181" i="14"/>
  <c r="N179" i="14" s="1"/>
  <c r="T181" i="14"/>
  <c r="U181" i="14"/>
  <c r="I183" i="14"/>
  <c r="I172" i="14" s="1"/>
  <c r="K184" i="14"/>
  <c r="L187" i="14"/>
  <c r="O187" i="14" s="1"/>
  <c r="M187" i="14"/>
  <c r="N187" i="14"/>
  <c r="P187" i="14"/>
  <c r="Q187" i="14"/>
  <c r="R187" i="14"/>
  <c r="U187" i="14" s="1"/>
  <c r="S187" i="14"/>
  <c r="T187" i="14"/>
  <c r="O190" i="14"/>
  <c r="P190" i="14"/>
  <c r="T190" i="14"/>
  <c r="U190" i="14"/>
  <c r="L191" i="14"/>
  <c r="M191" i="14"/>
  <c r="M189" i="14" s="1"/>
  <c r="N191" i="14"/>
  <c r="Q191" i="14"/>
  <c r="R191" i="14"/>
  <c r="S191" i="14"/>
  <c r="S189" i="14" s="1"/>
  <c r="O193" i="14"/>
  <c r="P193" i="14"/>
  <c r="T193" i="14"/>
  <c r="U193" i="14"/>
  <c r="L194" i="14"/>
  <c r="M194" i="14"/>
  <c r="M192" i="14" s="1"/>
  <c r="P192" i="14" s="1"/>
  <c r="N194" i="14"/>
  <c r="N192" i="14" s="1"/>
  <c r="Q194" i="14"/>
  <c r="R194" i="14"/>
  <c r="S194" i="14"/>
  <c r="S192" i="14" s="1"/>
  <c r="J195" i="14"/>
  <c r="L196" i="14"/>
  <c r="O196" i="14" s="1"/>
  <c r="P196" i="14"/>
  <c r="I198" i="14"/>
  <c r="I195" i="14" s="1"/>
  <c r="K195" i="14" s="1"/>
  <c r="J199" i="14"/>
  <c r="J202" i="14"/>
  <c r="N203" i="14"/>
  <c r="P203" i="14"/>
  <c r="S203" i="14"/>
  <c r="U203" i="14"/>
  <c r="L204" i="14"/>
  <c r="L205" i="14"/>
  <c r="L206" i="14"/>
  <c r="Q206" i="14"/>
  <c r="Q203" i="14" s="1"/>
  <c r="T203" i="14" s="1"/>
  <c r="L207" i="14"/>
  <c r="I209" i="14"/>
  <c r="I202" i="14" s="1"/>
  <c r="K202" i="14" s="1"/>
  <c r="I211" i="14"/>
  <c r="K211" i="14" s="1"/>
  <c r="I212" i="14"/>
  <c r="K212" i="14" s="1"/>
  <c r="J213" i="14"/>
  <c r="N214" i="14"/>
  <c r="P214" i="14"/>
  <c r="S214" i="14"/>
  <c r="U214" i="14"/>
  <c r="L215" i="14"/>
  <c r="L216" i="14"/>
  <c r="L217" i="14"/>
  <c r="Q217" i="14"/>
  <c r="Q214" i="14" s="1"/>
  <c r="T214" i="14" s="1"/>
  <c r="I219" i="14"/>
  <c r="K219" i="14" s="1"/>
  <c r="I220" i="14"/>
  <c r="J221" i="14"/>
  <c r="N222" i="14"/>
  <c r="P222" i="14"/>
  <c r="L223" i="14"/>
  <c r="L224" i="14"/>
  <c r="L225" i="14"/>
  <c r="I228" i="14"/>
  <c r="K228" i="14" s="1"/>
  <c r="I229" i="14"/>
  <c r="I230" i="14"/>
  <c r="N232" i="14"/>
  <c r="N233" i="14"/>
  <c r="N234" i="14"/>
  <c r="N235" i="14"/>
  <c r="N236" i="14"/>
  <c r="J238" i="14"/>
  <c r="I240" i="14"/>
  <c r="K240" i="14" s="1"/>
  <c r="J240" i="14"/>
  <c r="I241" i="14"/>
  <c r="K241" i="14" s="1"/>
  <c r="J241" i="14"/>
  <c r="J242" i="14"/>
  <c r="N243" i="14"/>
  <c r="P243" i="14"/>
  <c r="L244" i="14"/>
  <c r="L245" i="14"/>
  <c r="L246" i="14"/>
  <c r="L247" i="14"/>
  <c r="I249" i="14"/>
  <c r="K249" i="14" s="1"/>
  <c r="K251" i="14"/>
  <c r="K252" i="14"/>
  <c r="J253" i="14"/>
  <c r="N254" i="14"/>
  <c r="P254" i="14"/>
  <c r="L255" i="14"/>
  <c r="L256" i="14"/>
  <c r="L257" i="14"/>
  <c r="L258" i="14"/>
  <c r="I260" i="14"/>
  <c r="K262" i="14"/>
  <c r="K263" i="14"/>
  <c r="J265" i="14"/>
  <c r="L267" i="14"/>
  <c r="M267" i="14"/>
  <c r="P267" i="14" s="1"/>
  <c r="N267" i="14"/>
  <c r="O267" i="14"/>
  <c r="Q267" i="14"/>
  <c r="R267" i="14"/>
  <c r="S267" i="14"/>
  <c r="U267" i="14"/>
  <c r="O270" i="14"/>
  <c r="P270" i="14"/>
  <c r="T270" i="14"/>
  <c r="U270" i="14"/>
  <c r="L271" i="14"/>
  <c r="L269" i="14" s="1"/>
  <c r="M271" i="14"/>
  <c r="N271" i="14"/>
  <c r="Q271" i="14"/>
  <c r="Q269" i="14" s="1"/>
  <c r="R271" i="14"/>
  <c r="S271" i="14"/>
  <c r="Q272" i="14"/>
  <c r="T272" i="14" s="1"/>
  <c r="R272" i="14"/>
  <c r="U272" i="14" s="1"/>
  <c r="S272" i="14"/>
  <c r="O273" i="14"/>
  <c r="P273" i="14"/>
  <c r="T273" i="14"/>
  <c r="U273" i="14"/>
  <c r="L274" i="14"/>
  <c r="M274" i="14"/>
  <c r="M272" i="14" s="1"/>
  <c r="P272" i="14" s="1"/>
  <c r="N274" i="14"/>
  <c r="N272" i="14" s="1"/>
  <c r="T274" i="14"/>
  <c r="U274" i="14"/>
  <c r="I276" i="14"/>
  <c r="K276" i="14" s="1"/>
  <c r="J281" i="14"/>
  <c r="L283" i="14"/>
  <c r="M283" i="14"/>
  <c r="P283" i="14" s="1"/>
  <c r="N283" i="14"/>
  <c r="O283" i="14"/>
  <c r="Q283" i="14"/>
  <c r="R283" i="14"/>
  <c r="S283" i="14"/>
  <c r="U283" i="14"/>
  <c r="Q284" i="14"/>
  <c r="T284" i="14" s="1"/>
  <c r="R284" i="14"/>
  <c r="U284" i="14" s="1"/>
  <c r="S284" i="14"/>
  <c r="Q285" i="14"/>
  <c r="T285" i="14" s="1"/>
  <c r="R285" i="14"/>
  <c r="U285" i="14" s="1"/>
  <c r="S285" i="14"/>
  <c r="O286" i="14"/>
  <c r="P286" i="14"/>
  <c r="T286" i="14"/>
  <c r="U286" i="14"/>
  <c r="L287" i="14"/>
  <c r="M287" i="14"/>
  <c r="P287" i="14" s="1"/>
  <c r="N287" i="14"/>
  <c r="N285" i="14" s="1"/>
  <c r="T287" i="14"/>
  <c r="U287" i="14"/>
  <c r="Q288" i="14"/>
  <c r="T288" i="14" s="1"/>
  <c r="R288" i="14"/>
  <c r="U288" i="14" s="1"/>
  <c r="S288" i="14"/>
  <c r="O289" i="14"/>
  <c r="P289" i="14"/>
  <c r="T289" i="14"/>
  <c r="U289" i="14"/>
  <c r="L290" i="14"/>
  <c r="O290" i="14" s="1"/>
  <c r="M290" i="14"/>
  <c r="P290" i="14" s="1"/>
  <c r="N290" i="14"/>
  <c r="T290" i="14"/>
  <c r="U290" i="14"/>
  <c r="I292" i="14"/>
  <c r="I293" i="14"/>
  <c r="I280" i="14" s="1"/>
  <c r="K280" i="14" s="1"/>
  <c r="J293" i="14"/>
  <c r="J280" i="14" s="1"/>
  <c r="I295" i="14"/>
  <c r="K295" i="14" s="1"/>
  <c r="I296" i="14"/>
  <c r="K296" i="14" s="1"/>
  <c r="J302" i="14"/>
  <c r="L304" i="14"/>
  <c r="M304" i="14"/>
  <c r="N304" i="14"/>
  <c r="P304" i="14"/>
  <c r="Q304" i="14"/>
  <c r="T304" i="14" s="1"/>
  <c r="R304" i="14"/>
  <c r="S304" i="14"/>
  <c r="O307" i="14"/>
  <c r="P307" i="14"/>
  <c r="T307" i="14"/>
  <c r="U307" i="14"/>
  <c r="L308" i="14"/>
  <c r="O308" i="14" s="1"/>
  <c r="M308" i="14"/>
  <c r="M306" i="14" s="1"/>
  <c r="P306" i="14" s="1"/>
  <c r="N308" i="14"/>
  <c r="N306" i="14" s="1"/>
  <c r="Q308" i="14"/>
  <c r="Q306" i="14" s="1"/>
  <c r="R308" i="14"/>
  <c r="R305" i="14" s="1"/>
  <c r="S308" i="14"/>
  <c r="S305" i="14" s="1"/>
  <c r="S303" i="14" s="1"/>
  <c r="Q309" i="14"/>
  <c r="R309" i="14"/>
  <c r="U309" i="14" s="1"/>
  <c r="S309" i="14"/>
  <c r="T309" i="14"/>
  <c r="O310" i="14"/>
  <c r="P310" i="14"/>
  <c r="T310" i="14"/>
  <c r="U310" i="14"/>
  <c r="L311" i="14"/>
  <c r="O311" i="14" s="1"/>
  <c r="M311" i="14"/>
  <c r="N311" i="14"/>
  <c r="N309" i="14" s="1"/>
  <c r="T311" i="14"/>
  <c r="U311" i="14"/>
  <c r="I314" i="14"/>
  <c r="I302" i="14" s="1"/>
  <c r="J319" i="14"/>
  <c r="L321" i="14"/>
  <c r="O321" i="14" s="1"/>
  <c r="M321" i="14"/>
  <c r="N321" i="14"/>
  <c r="P321" i="14"/>
  <c r="Q321" i="14"/>
  <c r="T321" i="14" s="1"/>
  <c r="R321" i="14"/>
  <c r="R320" i="14" s="1"/>
  <c r="U320" i="14" s="1"/>
  <c r="S321" i="14"/>
  <c r="S320" i="14" s="1"/>
  <c r="Q322" i="14"/>
  <c r="R322" i="14"/>
  <c r="U322" i="14" s="1"/>
  <c r="S322" i="14"/>
  <c r="T322" i="14"/>
  <c r="Q323" i="14"/>
  <c r="T323" i="14" s="1"/>
  <c r="R323" i="14"/>
  <c r="U323" i="14" s="1"/>
  <c r="S323" i="14"/>
  <c r="O324" i="14"/>
  <c r="P324" i="14"/>
  <c r="T324" i="14"/>
  <c r="U324" i="14"/>
  <c r="L325" i="14"/>
  <c r="L323" i="14" s="1"/>
  <c r="O323" i="14" s="1"/>
  <c r="M325" i="14"/>
  <c r="M323" i="14" s="1"/>
  <c r="P323" i="14" s="1"/>
  <c r="N325" i="14"/>
  <c r="N323" i="14" s="1"/>
  <c r="T325" i="14"/>
  <c r="U325" i="14"/>
  <c r="Q326" i="14"/>
  <c r="T326" i="14" s="1"/>
  <c r="R326" i="14"/>
  <c r="S326" i="14"/>
  <c r="U326" i="14"/>
  <c r="O327" i="14"/>
  <c r="P327" i="14"/>
  <c r="T327" i="14"/>
  <c r="U327" i="14"/>
  <c r="L328" i="14"/>
  <c r="L326" i="14" s="1"/>
  <c r="O326" i="14" s="1"/>
  <c r="M328" i="14"/>
  <c r="M326" i="14" s="1"/>
  <c r="P326" i="14" s="1"/>
  <c r="N328" i="14"/>
  <c r="N326" i="14" s="1"/>
  <c r="T328" i="14"/>
  <c r="U328" i="14"/>
  <c r="I330" i="14"/>
  <c r="I319" i="14" s="1"/>
  <c r="K319" i="14" s="1"/>
  <c r="L334" i="14"/>
  <c r="O334" i="14" s="1"/>
  <c r="M334" i="14"/>
  <c r="P334" i="14" s="1"/>
  <c r="N334" i="14"/>
  <c r="Q334" i="14"/>
  <c r="R334" i="14"/>
  <c r="S334" i="14"/>
  <c r="S333" i="14" s="1"/>
  <c r="U334" i="14"/>
  <c r="Q335" i="14"/>
  <c r="T335" i="14" s="1"/>
  <c r="R335" i="14"/>
  <c r="U335" i="14" s="1"/>
  <c r="S335" i="14"/>
  <c r="Q336" i="14"/>
  <c r="T336" i="14" s="1"/>
  <c r="R336" i="14"/>
  <c r="S336" i="14"/>
  <c r="U336" i="14"/>
  <c r="O337" i="14"/>
  <c r="P337" i="14"/>
  <c r="T337" i="14"/>
  <c r="U337" i="14"/>
  <c r="L338" i="14"/>
  <c r="M338" i="14"/>
  <c r="N338" i="14"/>
  <c r="T338" i="14"/>
  <c r="U338" i="14"/>
  <c r="Q339" i="14"/>
  <c r="T339" i="14" s="1"/>
  <c r="R339" i="14"/>
  <c r="U339" i="14" s="1"/>
  <c r="S339" i="14"/>
  <c r="O340" i="14"/>
  <c r="P340" i="14"/>
  <c r="T340" i="14"/>
  <c r="U340" i="14"/>
  <c r="L341" i="14"/>
  <c r="O341" i="14" s="1"/>
  <c r="M341" i="14"/>
  <c r="M339" i="14" s="1"/>
  <c r="P339" i="14" s="1"/>
  <c r="N341" i="14"/>
  <c r="N339" i="14" s="1"/>
  <c r="T341" i="14"/>
  <c r="U341" i="14"/>
  <c r="I344" i="14"/>
  <c r="I332" i="14" s="1"/>
  <c r="J344" i="14"/>
  <c r="I346" i="14"/>
  <c r="J346" i="14"/>
  <c r="J347" i="14"/>
  <c r="J348" i="14"/>
  <c r="J349" i="14"/>
  <c r="D350" i="14"/>
  <c r="J352" i="14"/>
  <c r="J353" i="14"/>
  <c r="D354" i="14"/>
  <c r="R356" i="14"/>
  <c r="U356" i="14" s="1"/>
  <c r="L357" i="14"/>
  <c r="M357" i="14"/>
  <c r="P357" i="14" s="1"/>
  <c r="N357" i="14"/>
  <c r="Q357" i="14"/>
  <c r="T357" i="14" s="1"/>
  <c r="R357" i="14"/>
  <c r="U357" i="14" s="1"/>
  <c r="S357" i="14"/>
  <c r="Q358" i="14"/>
  <c r="R358" i="14"/>
  <c r="S358" i="14"/>
  <c r="U358" i="14"/>
  <c r="Q359" i="14"/>
  <c r="T359" i="14" s="1"/>
  <c r="R359" i="14"/>
  <c r="U359" i="14" s="1"/>
  <c r="S359" i="14"/>
  <c r="O360" i="14"/>
  <c r="P360" i="14"/>
  <c r="T360" i="14"/>
  <c r="U360" i="14"/>
  <c r="L361" i="14"/>
  <c r="M361" i="14"/>
  <c r="M359" i="14" s="1"/>
  <c r="N361" i="14"/>
  <c r="N359" i="14" s="1"/>
  <c r="T361" i="14"/>
  <c r="U361" i="14"/>
  <c r="Q362" i="14"/>
  <c r="T362" i="14" s="1"/>
  <c r="R362" i="14"/>
  <c r="S362" i="14"/>
  <c r="U362" i="14"/>
  <c r="O363" i="14"/>
  <c r="P363" i="14"/>
  <c r="T363" i="14"/>
  <c r="U363" i="14"/>
  <c r="L364" i="14"/>
  <c r="M364" i="14"/>
  <c r="N364" i="14"/>
  <c r="N362" i="14" s="1"/>
  <c r="T364" i="14"/>
  <c r="U364" i="14"/>
  <c r="J367" i="14"/>
  <c r="K367" i="14"/>
  <c r="I368" i="14"/>
  <c r="J368" i="14"/>
  <c r="I369" i="14"/>
  <c r="J369" i="14"/>
  <c r="J370" i="14"/>
  <c r="K370" i="14"/>
  <c r="I371" i="14"/>
  <c r="J371" i="14"/>
  <c r="J365" i="14" s="1"/>
  <c r="J372" i="14"/>
  <c r="K372" i="14"/>
  <c r="D373" i="14"/>
  <c r="L376" i="14"/>
  <c r="O376" i="14" s="1"/>
  <c r="M376" i="14"/>
  <c r="N376" i="14"/>
  <c r="P376" i="14"/>
  <c r="Q376" i="14"/>
  <c r="T376" i="14" s="1"/>
  <c r="R376" i="14"/>
  <c r="S376" i="14"/>
  <c r="U376" i="14"/>
  <c r="O379" i="14"/>
  <c r="P379" i="14"/>
  <c r="T379" i="14"/>
  <c r="U379" i="14"/>
  <c r="L380" i="14"/>
  <c r="O380" i="14" s="1"/>
  <c r="M380" i="14"/>
  <c r="P380" i="14" s="1"/>
  <c r="N380" i="14"/>
  <c r="Q380" i="14"/>
  <c r="Q377" i="14" s="1"/>
  <c r="R380" i="14"/>
  <c r="U380" i="14" s="1"/>
  <c r="S380" i="14"/>
  <c r="Q381" i="14"/>
  <c r="T381" i="14" s="1"/>
  <c r="R381" i="14"/>
  <c r="S381" i="14"/>
  <c r="U381" i="14"/>
  <c r="O382" i="14"/>
  <c r="P382" i="14"/>
  <c r="T382" i="14"/>
  <c r="U382" i="14"/>
  <c r="L383" i="14"/>
  <c r="O383" i="14" s="1"/>
  <c r="M383" i="14"/>
  <c r="N383" i="14"/>
  <c r="N381" i="14" s="1"/>
  <c r="T383" i="14"/>
  <c r="U383" i="14"/>
  <c r="J385" i="14"/>
  <c r="K385" i="14"/>
  <c r="I386" i="14"/>
  <c r="J386" i="14"/>
  <c r="J387" i="14"/>
  <c r="K387" i="14"/>
  <c r="I388" i="14"/>
  <c r="J388" i="14"/>
  <c r="I391" i="14"/>
  <c r="K391" i="14" s="1"/>
  <c r="J391" i="14"/>
  <c r="L393" i="14"/>
  <c r="O393" i="14" s="1"/>
  <c r="M393" i="14"/>
  <c r="N393" i="14"/>
  <c r="N392" i="14" s="1"/>
  <c r="Q393" i="14"/>
  <c r="R393" i="14"/>
  <c r="U393" i="14" s="1"/>
  <c r="S393" i="14"/>
  <c r="T393" i="14"/>
  <c r="L394" i="14"/>
  <c r="O394" i="14" s="1"/>
  <c r="M394" i="14"/>
  <c r="P394" i="14" s="1"/>
  <c r="N394" i="14"/>
  <c r="L395" i="14"/>
  <c r="O395" i="14" s="1"/>
  <c r="M395" i="14"/>
  <c r="N395" i="14"/>
  <c r="P395" i="14"/>
  <c r="O396" i="14"/>
  <c r="P396" i="14"/>
  <c r="T396" i="14"/>
  <c r="U396" i="14"/>
  <c r="O397" i="14"/>
  <c r="P397" i="14"/>
  <c r="Q397" i="14"/>
  <c r="Q395" i="14" s="1"/>
  <c r="T395" i="14" s="1"/>
  <c r="R397" i="14"/>
  <c r="R394" i="14" s="1"/>
  <c r="S397" i="14"/>
  <c r="L398" i="14"/>
  <c r="M398" i="14"/>
  <c r="P398" i="14" s="1"/>
  <c r="N398" i="14"/>
  <c r="O398" i="14"/>
  <c r="Q398" i="14"/>
  <c r="R398" i="14"/>
  <c r="U398" i="14" s="1"/>
  <c r="S398" i="14"/>
  <c r="T398" i="14"/>
  <c r="O399" i="14"/>
  <c r="P399" i="14"/>
  <c r="T399" i="14"/>
  <c r="U399" i="14"/>
  <c r="O400" i="14"/>
  <c r="P400" i="14"/>
  <c r="T400" i="14"/>
  <c r="U400" i="14"/>
  <c r="L414" i="14"/>
  <c r="M414" i="14"/>
  <c r="N414" i="14"/>
  <c r="P414" i="14"/>
  <c r="Q414" i="14"/>
  <c r="T414" i="14" s="1"/>
  <c r="R414" i="14"/>
  <c r="U414" i="14" s="1"/>
  <c r="S414" i="14"/>
  <c r="O417" i="14"/>
  <c r="P417" i="14"/>
  <c r="T417" i="14"/>
  <c r="U417" i="14"/>
  <c r="L418" i="14"/>
  <c r="M418" i="14"/>
  <c r="M416" i="14" s="1"/>
  <c r="N418" i="14"/>
  <c r="N416" i="14" s="1"/>
  <c r="Q418" i="14"/>
  <c r="Q416" i="14" s="1"/>
  <c r="R418" i="14"/>
  <c r="S418" i="14"/>
  <c r="S416" i="14" s="1"/>
  <c r="Q419" i="14"/>
  <c r="T419" i="14" s="1"/>
  <c r="R419" i="14"/>
  <c r="U419" i="14" s="1"/>
  <c r="S419" i="14"/>
  <c r="O420" i="14"/>
  <c r="P420" i="14"/>
  <c r="T420" i="14"/>
  <c r="U420" i="14"/>
  <c r="L421" i="14"/>
  <c r="M421" i="14"/>
  <c r="M419" i="14" s="1"/>
  <c r="P419" i="14" s="1"/>
  <c r="N421" i="14"/>
  <c r="N419" i="14" s="1"/>
  <c r="T421" i="14"/>
  <c r="U421" i="14"/>
  <c r="I424" i="14"/>
  <c r="K424" i="14" s="1"/>
  <c r="J424" i="14"/>
  <c r="I425" i="14"/>
  <c r="K425" i="14" s="1"/>
  <c r="J425" i="14"/>
  <c r="I432" i="14"/>
  <c r="K432" i="14" s="1"/>
  <c r="J432" i="14"/>
  <c r="I433" i="14"/>
  <c r="K433" i="14" s="1"/>
  <c r="J433" i="14"/>
  <c r="I440" i="14"/>
  <c r="I423" i="14" s="1"/>
  <c r="I412" i="14" s="1"/>
  <c r="K412" i="14" s="1"/>
  <c r="J440" i="14"/>
  <c r="J423" i="14" s="1"/>
  <c r="J412" i="14" s="1"/>
  <c r="I441" i="14"/>
  <c r="K441" i="14" s="1"/>
  <c r="J446" i="14"/>
  <c r="J447" i="14"/>
  <c r="J441" i="14" s="1"/>
  <c r="I457" i="14"/>
  <c r="I458" i="14"/>
  <c r="K458" i="14" s="1"/>
  <c r="J459" i="14"/>
  <c r="J460" i="14"/>
  <c r="J467" i="14"/>
  <c r="J468" i="14"/>
  <c r="J475" i="14"/>
  <c r="K475" i="14"/>
  <c r="J476" i="14"/>
  <c r="K476" i="14"/>
  <c r="J477" i="14"/>
  <c r="K477" i="14"/>
  <c r="J482" i="14"/>
  <c r="J483" i="14"/>
  <c r="I484" i="14"/>
  <c r="J484" i="14"/>
  <c r="K484" i="14"/>
  <c r="I485" i="14"/>
  <c r="K485" i="14" s="1"/>
  <c r="J485" i="14"/>
  <c r="L494" i="14"/>
  <c r="O494" i="14" s="1"/>
  <c r="M494" i="14"/>
  <c r="N494" i="14"/>
  <c r="Q494" i="14"/>
  <c r="T494" i="14" s="1"/>
  <c r="R494" i="14"/>
  <c r="U494" i="14" s="1"/>
  <c r="S494" i="14"/>
  <c r="O497" i="14"/>
  <c r="P497" i="14"/>
  <c r="T497" i="14"/>
  <c r="U497" i="14"/>
  <c r="L498" i="14"/>
  <c r="M498" i="14"/>
  <c r="M496" i="14" s="1"/>
  <c r="P496" i="14" s="1"/>
  <c r="N498" i="14"/>
  <c r="N496" i="14" s="1"/>
  <c r="Q498" i="14"/>
  <c r="Q495" i="14" s="1"/>
  <c r="T495" i="14" s="1"/>
  <c r="R498" i="14"/>
  <c r="R495" i="14" s="1"/>
  <c r="U495" i="14" s="1"/>
  <c r="S498" i="14"/>
  <c r="S496" i="14" s="1"/>
  <c r="Q499" i="14"/>
  <c r="T499" i="14" s="1"/>
  <c r="R499" i="14"/>
  <c r="U499" i="14" s="1"/>
  <c r="S499" i="14"/>
  <c r="O500" i="14"/>
  <c r="P500" i="14"/>
  <c r="T500" i="14"/>
  <c r="U500" i="14"/>
  <c r="L501" i="14"/>
  <c r="M501" i="14"/>
  <c r="M499" i="14" s="1"/>
  <c r="P499" i="14" s="1"/>
  <c r="N501" i="14"/>
  <c r="N499" i="14" s="1"/>
  <c r="T501" i="14"/>
  <c r="U501" i="14"/>
  <c r="I503" i="14"/>
  <c r="I492" i="14" s="1"/>
  <c r="K492" i="14" s="1"/>
  <c r="I504" i="14"/>
  <c r="K504" i="14" s="1"/>
  <c r="I505" i="14"/>
  <c r="K505" i="14" s="1"/>
  <c r="I506" i="14"/>
  <c r="I507" i="14"/>
  <c r="K507" i="14" s="1"/>
  <c r="K508" i="14"/>
  <c r="I509" i="14"/>
  <c r="K509" i="14" s="1"/>
  <c r="I512" i="14"/>
  <c r="K512" i="14" s="1"/>
  <c r="J512" i="14"/>
  <c r="L514" i="14"/>
  <c r="O514" i="14" s="1"/>
  <c r="M514" i="14"/>
  <c r="N514" i="14"/>
  <c r="P514" i="14"/>
  <c r="Q514" i="14"/>
  <c r="R514" i="14"/>
  <c r="S514" i="14"/>
  <c r="U514" i="14"/>
  <c r="Q515" i="14"/>
  <c r="R515" i="14"/>
  <c r="U515" i="14" s="1"/>
  <c r="S515" i="14"/>
  <c r="S513" i="14" s="1"/>
  <c r="T515" i="14"/>
  <c r="Q516" i="14"/>
  <c r="R516" i="14"/>
  <c r="U516" i="14" s="1"/>
  <c r="S516" i="14"/>
  <c r="T516" i="14"/>
  <c r="O517" i="14"/>
  <c r="P517" i="14"/>
  <c r="T517" i="14"/>
  <c r="U517" i="14"/>
  <c r="L518" i="14"/>
  <c r="M518" i="14"/>
  <c r="P518" i="14" s="1"/>
  <c r="N518" i="14"/>
  <c r="T518" i="14"/>
  <c r="U518" i="14"/>
  <c r="Q519" i="14"/>
  <c r="T519" i="14" s="1"/>
  <c r="R519" i="14"/>
  <c r="U519" i="14" s="1"/>
  <c r="S519" i="14"/>
  <c r="O520" i="14"/>
  <c r="P520" i="14"/>
  <c r="T520" i="14"/>
  <c r="U520" i="14"/>
  <c r="L521" i="14"/>
  <c r="M521" i="14"/>
  <c r="M519" i="14" s="1"/>
  <c r="P519" i="14" s="1"/>
  <c r="N521" i="14"/>
  <c r="N519" i="14" s="1"/>
  <c r="T521" i="14"/>
  <c r="U521" i="14"/>
  <c r="K523" i="14"/>
  <c r="K524" i="14"/>
  <c r="I533" i="14"/>
  <c r="K533" i="14" s="1"/>
  <c r="J533" i="14"/>
  <c r="Q534" i="14"/>
  <c r="T534" i="14" s="1"/>
  <c r="L535" i="14"/>
  <c r="M535" i="14"/>
  <c r="P535" i="14" s="1"/>
  <c r="N535" i="14"/>
  <c r="Q535" i="14"/>
  <c r="T535" i="14" s="1"/>
  <c r="R535" i="14"/>
  <c r="S535" i="14"/>
  <c r="S534" i="14" s="1"/>
  <c r="Q536" i="14"/>
  <c r="T536" i="14" s="1"/>
  <c r="R536" i="14"/>
  <c r="U536" i="14" s="1"/>
  <c r="S536" i="14"/>
  <c r="Q537" i="14"/>
  <c r="T537" i="14" s="1"/>
  <c r="R537" i="14"/>
  <c r="S537" i="14"/>
  <c r="U537" i="14"/>
  <c r="O538" i="14"/>
  <c r="P538" i="14"/>
  <c r="T538" i="14"/>
  <c r="U538" i="14"/>
  <c r="L539" i="14"/>
  <c r="L537" i="14" s="1"/>
  <c r="O537" i="14" s="1"/>
  <c r="M539" i="14"/>
  <c r="N539" i="14"/>
  <c r="T539" i="14"/>
  <c r="U539" i="14"/>
  <c r="Q540" i="14"/>
  <c r="T540" i="14" s="1"/>
  <c r="R540" i="14"/>
  <c r="U540" i="14" s="1"/>
  <c r="S540" i="14"/>
  <c r="O541" i="14"/>
  <c r="P541" i="14"/>
  <c r="T541" i="14"/>
  <c r="U541" i="14"/>
  <c r="L542" i="14"/>
  <c r="M542" i="14"/>
  <c r="M540" i="14" s="1"/>
  <c r="P540" i="14" s="1"/>
  <c r="N542" i="14"/>
  <c r="N540" i="14" s="1"/>
  <c r="T542" i="14"/>
  <c r="U542" i="14"/>
  <c r="I554" i="14"/>
  <c r="J554" i="14"/>
  <c r="K554" i="14"/>
  <c r="L556" i="14"/>
  <c r="O556" i="14" s="1"/>
  <c r="M556" i="14"/>
  <c r="N556" i="14"/>
  <c r="P556" i="14"/>
  <c r="Q556" i="14"/>
  <c r="R556" i="14"/>
  <c r="U556" i="14" s="1"/>
  <c r="S556" i="14"/>
  <c r="T556" i="14"/>
  <c r="Q557" i="14"/>
  <c r="T557" i="14" s="1"/>
  <c r="R557" i="14"/>
  <c r="U557" i="14" s="1"/>
  <c r="S557" i="14"/>
  <c r="Q558" i="14"/>
  <c r="T558" i="14" s="1"/>
  <c r="R558" i="14"/>
  <c r="U558" i="14" s="1"/>
  <c r="S558" i="14"/>
  <c r="O559" i="14"/>
  <c r="P559" i="14"/>
  <c r="T559" i="14"/>
  <c r="U559" i="14"/>
  <c r="L560" i="14"/>
  <c r="M560" i="14"/>
  <c r="M558" i="14" s="1"/>
  <c r="P558" i="14" s="1"/>
  <c r="N560" i="14"/>
  <c r="N558" i="14" s="1"/>
  <c r="T560" i="14"/>
  <c r="U560" i="14"/>
  <c r="Q561" i="14"/>
  <c r="R561" i="14"/>
  <c r="U561" i="14" s="1"/>
  <c r="S561" i="14"/>
  <c r="T561" i="14"/>
  <c r="O562" i="14"/>
  <c r="P562" i="14"/>
  <c r="T562" i="14"/>
  <c r="U562" i="14"/>
  <c r="L563" i="14"/>
  <c r="L561" i="14" s="1"/>
  <c r="O561" i="14" s="1"/>
  <c r="M563" i="14"/>
  <c r="N563" i="14"/>
  <c r="N561" i="14" s="1"/>
  <c r="T563" i="14"/>
  <c r="U563" i="14"/>
  <c r="I575" i="14"/>
  <c r="K575" i="14" s="1"/>
  <c r="J575" i="14"/>
  <c r="L577" i="14"/>
  <c r="M577" i="14"/>
  <c r="N577" i="14"/>
  <c r="Q577" i="14"/>
  <c r="R577" i="14"/>
  <c r="S577" i="14"/>
  <c r="Q578" i="14"/>
  <c r="R578" i="14"/>
  <c r="U578" i="14" s="1"/>
  <c r="S578" i="14"/>
  <c r="T578" i="14"/>
  <c r="Q579" i="14"/>
  <c r="T579" i="14" s="1"/>
  <c r="R579" i="14"/>
  <c r="S579" i="14"/>
  <c r="U579" i="14"/>
  <c r="O580" i="14"/>
  <c r="P580" i="14"/>
  <c r="T580" i="14"/>
  <c r="U580" i="14"/>
  <c r="L581" i="14"/>
  <c r="L579" i="14" s="1"/>
  <c r="O579" i="14" s="1"/>
  <c r="M581" i="14"/>
  <c r="N581" i="14"/>
  <c r="T581" i="14"/>
  <c r="U581" i="14"/>
  <c r="Q582" i="14"/>
  <c r="T582" i="14" s="1"/>
  <c r="R582" i="14"/>
  <c r="U582" i="14" s="1"/>
  <c r="S582" i="14"/>
  <c r="O583" i="14"/>
  <c r="P583" i="14"/>
  <c r="T583" i="14"/>
  <c r="U583" i="14"/>
  <c r="L584" i="14"/>
  <c r="L582" i="14" s="1"/>
  <c r="O582" i="14" s="1"/>
  <c r="M584" i="14"/>
  <c r="N584" i="14"/>
  <c r="N582" i="14" s="1"/>
  <c r="T584" i="14"/>
  <c r="U584" i="14"/>
  <c r="L600" i="14"/>
  <c r="M600" i="14"/>
  <c r="P600" i="14" s="1"/>
  <c r="N600" i="14"/>
  <c r="Q600" i="14"/>
  <c r="T600" i="14" s="1"/>
  <c r="R600" i="14"/>
  <c r="S600" i="14"/>
  <c r="O603" i="14"/>
  <c r="P603" i="14"/>
  <c r="T603" i="14"/>
  <c r="U603" i="14"/>
  <c r="L604" i="14"/>
  <c r="L602" i="14" s="1"/>
  <c r="O602" i="14" s="1"/>
  <c r="M604" i="14"/>
  <c r="N604" i="14"/>
  <c r="N602" i="14" s="1"/>
  <c r="Q604" i="14"/>
  <c r="T604" i="14" s="1"/>
  <c r="R604" i="14"/>
  <c r="R602" i="14" s="1"/>
  <c r="U602" i="14" s="1"/>
  <c r="S604" i="14"/>
  <c r="S602" i="14" s="1"/>
  <c r="O606" i="14"/>
  <c r="P606" i="14"/>
  <c r="T606" i="14"/>
  <c r="U606" i="14"/>
  <c r="L607" i="14"/>
  <c r="L605" i="14" s="1"/>
  <c r="O605" i="14" s="1"/>
  <c r="M607" i="14"/>
  <c r="N607" i="14"/>
  <c r="N605" i="14" s="1"/>
  <c r="Q607" i="14"/>
  <c r="R607" i="14"/>
  <c r="R605" i="14" s="1"/>
  <c r="U605" i="14" s="1"/>
  <c r="S607" i="14"/>
  <c r="S605" i="14" s="1"/>
  <c r="L617" i="14"/>
  <c r="O617" i="14" s="1"/>
  <c r="M617" i="14"/>
  <c r="N617" i="14"/>
  <c r="N616" i="14" s="1"/>
  <c r="Q617" i="14"/>
  <c r="T617" i="14" s="1"/>
  <c r="R617" i="14"/>
  <c r="U617" i="14" s="1"/>
  <c r="S617" i="14"/>
  <c r="L618" i="14"/>
  <c r="M618" i="14"/>
  <c r="P618" i="14" s="1"/>
  <c r="N618" i="14"/>
  <c r="L619" i="14"/>
  <c r="O619" i="14" s="1"/>
  <c r="M619" i="14"/>
  <c r="P619" i="14" s="1"/>
  <c r="N619" i="14"/>
  <c r="O620" i="14"/>
  <c r="P620" i="14"/>
  <c r="T620" i="14"/>
  <c r="U620" i="14"/>
  <c r="O621" i="14"/>
  <c r="P621" i="14"/>
  <c r="Q621" i="14"/>
  <c r="Q619" i="14" s="1"/>
  <c r="R621" i="14"/>
  <c r="R618" i="14" s="1"/>
  <c r="S621" i="14"/>
  <c r="S619" i="14" s="1"/>
  <c r="L622" i="14"/>
  <c r="M622" i="14"/>
  <c r="P622" i="14" s="1"/>
  <c r="N622" i="14"/>
  <c r="O622" i="14"/>
  <c r="Q622" i="14"/>
  <c r="T622" i="14" s="1"/>
  <c r="R622" i="14"/>
  <c r="S622" i="14"/>
  <c r="U622" i="14"/>
  <c r="O623" i="14"/>
  <c r="P623" i="14"/>
  <c r="T623" i="14"/>
  <c r="U623" i="14"/>
  <c r="O624" i="14"/>
  <c r="P624" i="14"/>
  <c r="T624" i="14"/>
  <c r="U624" i="14"/>
  <c r="I626" i="14"/>
  <c r="I627" i="14"/>
  <c r="K627" i="14" s="1"/>
  <c r="I628" i="14"/>
  <c r="K628" i="14" s="1"/>
  <c r="J632" i="14"/>
  <c r="I635" i="14"/>
  <c r="K635" i="14" s="1"/>
  <c r="J636" i="14"/>
  <c r="J635" i="14" s="1"/>
  <c r="L643" i="14"/>
  <c r="M643" i="14"/>
  <c r="N643" i="14"/>
  <c r="O643" i="14"/>
  <c r="Q643" i="14"/>
  <c r="T643" i="14" s="1"/>
  <c r="R643" i="14"/>
  <c r="S643" i="14"/>
  <c r="U643" i="14"/>
  <c r="L644" i="14"/>
  <c r="M644" i="14"/>
  <c r="P644" i="14" s="1"/>
  <c r="N644" i="14"/>
  <c r="L645" i="14"/>
  <c r="O645" i="14" s="1"/>
  <c r="M645" i="14"/>
  <c r="P645" i="14" s="1"/>
  <c r="N645" i="14"/>
  <c r="O646" i="14"/>
  <c r="P646" i="14"/>
  <c r="T646" i="14"/>
  <c r="U646" i="14"/>
  <c r="O647" i="14"/>
  <c r="P647" i="14"/>
  <c r="Q647" i="14"/>
  <c r="Q645" i="14" s="1"/>
  <c r="T645" i="14" s="1"/>
  <c r="R647" i="14"/>
  <c r="R645" i="14" s="1"/>
  <c r="U645" i="14" s="1"/>
  <c r="S647" i="14"/>
  <c r="L648" i="14"/>
  <c r="M648" i="14"/>
  <c r="N648" i="14"/>
  <c r="O648" i="14"/>
  <c r="P648" i="14"/>
  <c r="Q648" i="14"/>
  <c r="T648" i="14" s="1"/>
  <c r="R648" i="14"/>
  <c r="S648" i="14"/>
  <c r="U648" i="14"/>
  <c r="O649" i="14"/>
  <c r="P649" i="14"/>
  <c r="T649" i="14"/>
  <c r="U649" i="14"/>
  <c r="O650" i="14"/>
  <c r="P650" i="14"/>
  <c r="T650" i="14"/>
  <c r="U650" i="14"/>
  <c r="I652" i="14"/>
  <c r="K652" i="14" s="1"/>
  <c r="J652" i="14"/>
  <c r="I653" i="14"/>
  <c r="K653" i="14" s="1"/>
  <c r="J653" i="14"/>
  <c r="I654" i="14"/>
  <c r="K654" i="14" s="1"/>
  <c r="J654" i="14"/>
  <c r="I657" i="14"/>
  <c r="I660" i="14"/>
  <c r="I661" i="14"/>
  <c r="K661" i="14" s="1"/>
  <c r="J661" i="14"/>
  <c r="J671" i="14"/>
  <c r="J672" i="14"/>
  <c r="I673" i="14"/>
  <c r="K673" i="14" s="1"/>
  <c r="J673" i="14"/>
  <c r="I674" i="14"/>
  <c r="K674" i="14" s="1"/>
  <c r="I675" i="14"/>
  <c r="K675" i="14" s="1"/>
  <c r="I676" i="14"/>
  <c r="K676" i="14" s="1"/>
  <c r="J676" i="14"/>
  <c r="J677" i="14"/>
  <c r="I678" i="14"/>
  <c r="K678" i="14" s="1"/>
  <c r="J678" i="14"/>
  <c r="I679" i="14"/>
  <c r="K679" i="14" s="1"/>
  <c r="J679" i="14"/>
  <c r="J680" i="14"/>
  <c r="I681" i="14"/>
  <c r="K681" i="14" s="1"/>
  <c r="J681" i="14"/>
  <c r="I682" i="14"/>
  <c r="K682" i="14" s="1"/>
  <c r="J682" i="14"/>
  <c r="L691" i="14"/>
  <c r="M691" i="14"/>
  <c r="N691" i="14"/>
  <c r="O691" i="14"/>
  <c r="Q691" i="14"/>
  <c r="T691" i="14" s="1"/>
  <c r="R691" i="14"/>
  <c r="S691" i="14"/>
  <c r="U691" i="14"/>
  <c r="L692" i="14"/>
  <c r="O692" i="14" s="1"/>
  <c r="M692" i="14"/>
  <c r="N692" i="14"/>
  <c r="P692" i="14"/>
  <c r="L693" i="14"/>
  <c r="O693" i="14" s="1"/>
  <c r="M693" i="14"/>
  <c r="P693" i="14" s="1"/>
  <c r="N693" i="14"/>
  <c r="O694" i="14"/>
  <c r="P694" i="14"/>
  <c r="T694" i="14"/>
  <c r="U694" i="14"/>
  <c r="O695" i="14"/>
  <c r="P695" i="14"/>
  <c r="Q695" i="14"/>
  <c r="Q693" i="14" s="1"/>
  <c r="R695" i="14"/>
  <c r="S695" i="14"/>
  <c r="L696" i="14"/>
  <c r="M696" i="14"/>
  <c r="N696" i="14"/>
  <c r="O696" i="14"/>
  <c r="P696" i="14"/>
  <c r="Q696" i="14"/>
  <c r="T696" i="14" s="1"/>
  <c r="R696" i="14"/>
  <c r="S696" i="14"/>
  <c r="U696" i="14"/>
  <c r="O697" i="14"/>
  <c r="P697" i="14"/>
  <c r="T697" i="14"/>
  <c r="U697" i="14"/>
  <c r="O698" i="14"/>
  <c r="P698" i="14"/>
  <c r="T698" i="14"/>
  <c r="U698" i="14"/>
  <c r="I700" i="14"/>
  <c r="K700" i="14" s="1"/>
  <c r="K702" i="14"/>
  <c r="I703" i="14"/>
  <c r="K703" i="14" s="1"/>
  <c r="J703" i="14"/>
  <c r="J704" i="14"/>
  <c r="K704" i="14"/>
  <c r="I705" i="14"/>
  <c r="J705" i="14"/>
  <c r="J706" i="14"/>
  <c r="K706" i="14"/>
  <c r="I707" i="14"/>
  <c r="I689" i="14" s="1"/>
  <c r="K689" i="14" s="1"/>
  <c r="J707" i="14"/>
  <c r="J689" i="14" s="1"/>
  <c r="J708" i="14"/>
  <c r="K708" i="14"/>
  <c r="I709" i="14"/>
  <c r="J709" i="14"/>
  <c r="J710" i="14"/>
  <c r="K710" i="14"/>
  <c r="J712" i="14"/>
  <c r="K712" i="14"/>
  <c r="L715" i="14"/>
  <c r="M715" i="14"/>
  <c r="N715" i="14"/>
  <c r="Q715" i="14"/>
  <c r="R715" i="14"/>
  <c r="S715" i="14"/>
  <c r="L716" i="14"/>
  <c r="O716" i="14" s="1"/>
  <c r="M716" i="14"/>
  <c r="P716" i="14" s="1"/>
  <c r="N716" i="14"/>
  <c r="Q716" i="14"/>
  <c r="T716" i="14" s="1"/>
  <c r="R716" i="14"/>
  <c r="S716" i="14"/>
  <c r="U716" i="14"/>
  <c r="L717" i="14"/>
  <c r="O717" i="14" s="1"/>
  <c r="M717" i="14"/>
  <c r="N717" i="14"/>
  <c r="P717" i="14"/>
  <c r="Q717" i="14"/>
  <c r="T717" i="14" s="1"/>
  <c r="R717" i="14"/>
  <c r="U717" i="14" s="1"/>
  <c r="S717" i="14"/>
  <c r="O718" i="14"/>
  <c r="P718" i="14"/>
  <c r="T718" i="14"/>
  <c r="U718" i="14"/>
  <c r="O719" i="14"/>
  <c r="P719" i="14"/>
  <c r="T719" i="14"/>
  <c r="U719" i="14"/>
  <c r="L720" i="14"/>
  <c r="O720" i="14" s="1"/>
  <c r="M720" i="14"/>
  <c r="N720" i="14"/>
  <c r="P720" i="14"/>
  <c r="Q720" i="14"/>
  <c r="T720" i="14" s="1"/>
  <c r="R720" i="14"/>
  <c r="S720" i="14"/>
  <c r="U720" i="14"/>
  <c r="O721" i="14"/>
  <c r="P721" i="14"/>
  <c r="T721" i="14"/>
  <c r="U721" i="14"/>
  <c r="O722" i="14"/>
  <c r="P722" i="14"/>
  <c r="T722" i="14"/>
  <c r="U722" i="14"/>
  <c r="I726" i="14"/>
  <c r="K726" i="14" s="1"/>
  <c r="J726" i="14"/>
  <c r="I727" i="14"/>
  <c r="K727" i="14" s="1"/>
  <c r="J727" i="14"/>
  <c r="L729" i="14"/>
  <c r="M729" i="14"/>
  <c r="N729" i="14"/>
  <c r="Q729" i="14"/>
  <c r="R729" i="14"/>
  <c r="S729" i="14"/>
  <c r="L730" i="14"/>
  <c r="O730" i="14" s="1"/>
  <c r="M730" i="14"/>
  <c r="P730" i="14" s="1"/>
  <c r="N730" i="14"/>
  <c r="L731" i="14"/>
  <c r="O731" i="14" s="1"/>
  <c r="M731" i="14"/>
  <c r="P731" i="14" s="1"/>
  <c r="N731" i="14"/>
  <c r="O732" i="14"/>
  <c r="P732" i="14"/>
  <c r="T732" i="14"/>
  <c r="U732" i="14"/>
  <c r="O733" i="14"/>
  <c r="P733" i="14"/>
  <c r="Q733" i="14"/>
  <c r="R733" i="14"/>
  <c r="R731" i="14" s="1"/>
  <c r="S733" i="14"/>
  <c r="S731" i="14" s="1"/>
  <c r="L734" i="14"/>
  <c r="O734" i="14" s="1"/>
  <c r="M734" i="14"/>
  <c r="P734" i="14" s="1"/>
  <c r="N734" i="14"/>
  <c r="Q734" i="14"/>
  <c r="T734" i="14" s="1"/>
  <c r="R734" i="14"/>
  <c r="U734" i="14" s="1"/>
  <c r="S734" i="14"/>
  <c r="O735" i="14"/>
  <c r="P735" i="14"/>
  <c r="T735" i="14"/>
  <c r="U735" i="14"/>
  <c r="O736" i="14"/>
  <c r="P736" i="14"/>
  <c r="T736" i="14"/>
  <c r="U736" i="14"/>
  <c r="I740" i="14"/>
  <c r="K740" i="14" s="1"/>
  <c r="I742" i="14"/>
  <c r="K742" i="14" s="1"/>
  <c r="I744" i="14"/>
  <c r="K744" i="14" s="1"/>
  <c r="I746" i="14"/>
  <c r="K746" i="14" s="1"/>
  <c r="I749" i="14"/>
  <c r="K749" i="14" s="1"/>
  <c r="I752" i="14"/>
  <c r="K752" i="14" s="1"/>
  <c r="I755" i="14"/>
  <c r="K755" i="14" s="1"/>
  <c r="J758" i="14"/>
  <c r="J759" i="14"/>
  <c r="L761" i="14"/>
  <c r="M761" i="14"/>
  <c r="N761" i="14"/>
  <c r="Q761" i="14"/>
  <c r="R761" i="14"/>
  <c r="S761" i="14"/>
  <c r="T761" i="14"/>
  <c r="L762" i="14"/>
  <c r="O762" i="14" s="1"/>
  <c r="M762" i="14"/>
  <c r="P762" i="14" s="1"/>
  <c r="N762" i="14"/>
  <c r="L763" i="14"/>
  <c r="O763" i="14" s="1"/>
  <c r="M763" i="14"/>
  <c r="N763" i="14"/>
  <c r="P763" i="14"/>
  <c r="O764" i="14"/>
  <c r="P764" i="14"/>
  <c r="T764" i="14"/>
  <c r="U764" i="14"/>
  <c r="O765" i="14"/>
  <c r="P765" i="14"/>
  <c r="Q765" i="14"/>
  <c r="Q763" i="14" s="1"/>
  <c r="T763" i="14" s="1"/>
  <c r="R765" i="14"/>
  <c r="S765" i="14"/>
  <c r="S763" i="14" s="1"/>
  <c r="L766" i="14"/>
  <c r="O766" i="14" s="1"/>
  <c r="M766" i="14"/>
  <c r="P766" i="14" s="1"/>
  <c r="N766" i="14"/>
  <c r="Q766" i="14"/>
  <c r="T766" i="14" s="1"/>
  <c r="R766" i="14"/>
  <c r="U766" i="14" s="1"/>
  <c r="S766" i="14"/>
  <c r="O767" i="14"/>
  <c r="P767" i="14"/>
  <c r="T767" i="14"/>
  <c r="U767" i="14"/>
  <c r="O768" i="14"/>
  <c r="P768" i="14"/>
  <c r="T768" i="14"/>
  <c r="U768" i="14"/>
  <c r="I770" i="14"/>
  <c r="K770" i="14" s="1"/>
  <c r="I772" i="14"/>
  <c r="I774" i="14"/>
  <c r="K774" i="14" s="1"/>
  <c r="I775" i="14"/>
  <c r="I776" i="14"/>
  <c r="H777" i="14"/>
  <c r="I778" i="14"/>
  <c r="J778" i="14"/>
  <c r="I779" i="14"/>
  <c r="J779" i="14"/>
  <c r="I780" i="14"/>
  <c r="J780" i="14"/>
  <c r="I781" i="14"/>
  <c r="J781" i="14"/>
  <c r="I782" i="14"/>
  <c r="K782" i="14" s="1"/>
  <c r="J782" i="14"/>
  <c r="I783" i="14"/>
  <c r="K783" i="14" s="1"/>
  <c r="J783" i="14"/>
  <c r="I784" i="14"/>
  <c r="J784" i="14"/>
  <c r="I785" i="14"/>
  <c r="J785" i="14"/>
  <c r="A788" i="14"/>
  <c r="A789" i="14"/>
  <c r="L22" i="13"/>
  <c r="O22" i="13" s="1"/>
  <c r="M22" i="13"/>
  <c r="N22" i="13"/>
  <c r="Q22" i="13"/>
  <c r="T22" i="13" s="1"/>
  <c r="R22" i="13"/>
  <c r="S22" i="13"/>
  <c r="L25" i="13"/>
  <c r="M25" i="13"/>
  <c r="N25" i="13"/>
  <c r="O25" i="13"/>
  <c r="Q25" i="13"/>
  <c r="T25" i="13" s="1"/>
  <c r="R25" i="13"/>
  <c r="U25" i="13" s="1"/>
  <c r="S25" i="13"/>
  <c r="R44" i="13"/>
  <c r="U44" i="13" s="1"/>
  <c r="L45" i="13"/>
  <c r="O45" i="13" s="1"/>
  <c r="M45" i="13"/>
  <c r="P45" i="13" s="1"/>
  <c r="N45" i="13"/>
  <c r="Q45" i="13"/>
  <c r="R45" i="13"/>
  <c r="U45" i="13" s="1"/>
  <c r="S45" i="13"/>
  <c r="Q46" i="13"/>
  <c r="R46" i="13"/>
  <c r="U46" i="13" s="1"/>
  <c r="S46" i="13"/>
  <c r="S44" i="13" s="1"/>
  <c r="T46" i="13"/>
  <c r="Q47" i="13"/>
  <c r="R47" i="13"/>
  <c r="U47" i="13" s="1"/>
  <c r="S47" i="13"/>
  <c r="T47" i="13"/>
  <c r="O48" i="13"/>
  <c r="P48" i="13"/>
  <c r="T48" i="13"/>
  <c r="U48" i="13"/>
  <c r="L49" i="13"/>
  <c r="M49" i="13"/>
  <c r="N49" i="13"/>
  <c r="N47" i="13" s="1"/>
  <c r="T49" i="13"/>
  <c r="U49" i="13"/>
  <c r="Q50" i="13"/>
  <c r="T50" i="13" s="1"/>
  <c r="R50" i="13"/>
  <c r="S50" i="13"/>
  <c r="U50" i="13"/>
  <c r="O51" i="13"/>
  <c r="P51" i="13"/>
  <c r="T51" i="13"/>
  <c r="U51" i="13"/>
  <c r="L52" i="13"/>
  <c r="O52" i="13" s="1"/>
  <c r="M52" i="13"/>
  <c r="N52" i="13"/>
  <c r="T52" i="13"/>
  <c r="U52" i="13"/>
  <c r="L60" i="13"/>
  <c r="O60" i="13" s="1"/>
  <c r="M60" i="13"/>
  <c r="N60" i="13"/>
  <c r="P60" i="13"/>
  <c r="Q60" i="13"/>
  <c r="R60" i="13"/>
  <c r="U60" i="13" s="1"/>
  <c r="S60" i="13"/>
  <c r="T60" i="13"/>
  <c r="Q61" i="13"/>
  <c r="T61" i="13" s="1"/>
  <c r="R61" i="13"/>
  <c r="U61" i="13" s="1"/>
  <c r="S61" i="13"/>
  <c r="Q62" i="13"/>
  <c r="T62" i="13" s="1"/>
  <c r="R62" i="13"/>
  <c r="U62" i="13" s="1"/>
  <c r="S62" i="13"/>
  <c r="O63" i="13"/>
  <c r="P63" i="13"/>
  <c r="T63" i="13"/>
  <c r="U63" i="13"/>
  <c r="L64" i="13"/>
  <c r="M64" i="13"/>
  <c r="M62" i="13" s="1"/>
  <c r="N64" i="13"/>
  <c r="N62" i="13" s="1"/>
  <c r="T64" i="13"/>
  <c r="U64" i="13"/>
  <c r="Q65" i="13"/>
  <c r="T65" i="13" s="1"/>
  <c r="R65" i="13"/>
  <c r="S65" i="13"/>
  <c r="U65" i="13"/>
  <c r="O66" i="13"/>
  <c r="P66" i="13"/>
  <c r="T66" i="13"/>
  <c r="U66" i="13"/>
  <c r="L67" i="13"/>
  <c r="M67" i="13"/>
  <c r="N67" i="13"/>
  <c r="N65" i="13" s="1"/>
  <c r="T67" i="13"/>
  <c r="U67" i="13"/>
  <c r="L73" i="13"/>
  <c r="O73" i="13" s="1"/>
  <c r="M73" i="13"/>
  <c r="N73" i="13"/>
  <c r="P73" i="13"/>
  <c r="Q73" i="13"/>
  <c r="R73" i="13"/>
  <c r="U73" i="13" s="1"/>
  <c r="S73" i="13"/>
  <c r="T73" i="13"/>
  <c r="O76" i="13"/>
  <c r="P76" i="13"/>
  <c r="T76" i="13"/>
  <c r="U76" i="13"/>
  <c r="L77" i="13"/>
  <c r="M77" i="13"/>
  <c r="N77" i="13"/>
  <c r="N75" i="13" s="1"/>
  <c r="Q77" i="13"/>
  <c r="T77" i="13" s="1"/>
  <c r="R77" i="13"/>
  <c r="R75" i="13" s="1"/>
  <c r="U75" i="13" s="1"/>
  <c r="S77" i="13"/>
  <c r="S75" i="13" s="1"/>
  <c r="O79" i="13"/>
  <c r="P79" i="13"/>
  <c r="T79" i="13"/>
  <c r="U79" i="13"/>
  <c r="L80" i="13"/>
  <c r="L78" i="13" s="1"/>
  <c r="O78" i="13" s="1"/>
  <c r="M80" i="13"/>
  <c r="N80" i="13"/>
  <c r="N78" i="13" s="1"/>
  <c r="Q80" i="13"/>
  <c r="T80" i="13" s="1"/>
  <c r="R80" i="13"/>
  <c r="R78" i="13" s="1"/>
  <c r="U78" i="13" s="1"/>
  <c r="S80" i="13"/>
  <c r="S78" i="13" s="1"/>
  <c r="J82" i="13"/>
  <c r="J70" i="13" s="1"/>
  <c r="J83" i="13"/>
  <c r="J71" i="13" s="1"/>
  <c r="I84" i="13"/>
  <c r="I85" i="13"/>
  <c r="K85" i="13" s="1"/>
  <c r="I86" i="13"/>
  <c r="K86" i="13" s="1"/>
  <c r="I87" i="13"/>
  <c r="I88" i="13"/>
  <c r="K88" i="13" s="1"/>
  <c r="I89" i="13"/>
  <c r="K89" i="13" s="1"/>
  <c r="I90" i="13"/>
  <c r="K90" i="13" s="1"/>
  <c r="J92" i="13"/>
  <c r="J93" i="13"/>
  <c r="L95" i="13"/>
  <c r="M95" i="13"/>
  <c r="N95" i="13"/>
  <c r="P95" i="13"/>
  <c r="Q95" i="13"/>
  <c r="T95" i="13" s="1"/>
  <c r="R95" i="13"/>
  <c r="S95" i="13"/>
  <c r="O98" i="13"/>
  <c r="P98" i="13"/>
  <c r="T98" i="13"/>
  <c r="U98" i="13"/>
  <c r="L99" i="13"/>
  <c r="O99" i="13" s="1"/>
  <c r="M99" i="13"/>
  <c r="N99" i="13"/>
  <c r="Q99" i="13"/>
  <c r="Q97" i="13" s="1"/>
  <c r="R99" i="13"/>
  <c r="S99" i="13"/>
  <c r="Q100" i="13"/>
  <c r="T100" i="13" s="1"/>
  <c r="R100" i="13"/>
  <c r="U100" i="13" s="1"/>
  <c r="S100" i="13"/>
  <c r="O101" i="13"/>
  <c r="P101" i="13"/>
  <c r="T101" i="13"/>
  <c r="U101" i="13"/>
  <c r="L102" i="13"/>
  <c r="O102" i="13" s="1"/>
  <c r="M102" i="13"/>
  <c r="M100" i="13" s="1"/>
  <c r="P100" i="13" s="1"/>
  <c r="N102" i="13"/>
  <c r="N100" i="13" s="1"/>
  <c r="T102" i="13"/>
  <c r="U102" i="13"/>
  <c r="I108" i="13"/>
  <c r="I92" i="13" s="1"/>
  <c r="K92" i="13" s="1"/>
  <c r="I109" i="13"/>
  <c r="I93" i="13" s="1"/>
  <c r="I113" i="13"/>
  <c r="K113" i="13" s="1"/>
  <c r="I114" i="13"/>
  <c r="K114" i="13" s="1"/>
  <c r="J116" i="13"/>
  <c r="L118" i="13"/>
  <c r="O118" i="13" s="1"/>
  <c r="M118" i="13"/>
  <c r="N118" i="13"/>
  <c r="P118" i="13"/>
  <c r="Q118" i="13"/>
  <c r="R118" i="13"/>
  <c r="U118" i="13" s="1"/>
  <c r="S118" i="13"/>
  <c r="T118" i="13"/>
  <c r="O121" i="13"/>
  <c r="P121" i="13"/>
  <c r="T121" i="13"/>
  <c r="U121" i="13"/>
  <c r="L122" i="13"/>
  <c r="M122" i="13"/>
  <c r="P122" i="13" s="1"/>
  <c r="N122" i="13"/>
  <c r="N120" i="13" s="1"/>
  <c r="Q122" i="13"/>
  <c r="R122" i="13"/>
  <c r="R120" i="13" s="1"/>
  <c r="S122" i="13"/>
  <c r="O124" i="13"/>
  <c r="P124" i="13"/>
  <c r="T124" i="13"/>
  <c r="U124" i="13"/>
  <c r="L125" i="13"/>
  <c r="M125" i="13"/>
  <c r="M123" i="13" s="1"/>
  <c r="P123" i="13" s="1"/>
  <c r="N125" i="13"/>
  <c r="N123" i="13" s="1"/>
  <c r="Q125" i="13"/>
  <c r="T125" i="13" s="1"/>
  <c r="R125" i="13"/>
  <c r="S125" i="13"/>
  <c r="S123" i="13" s="1"/>
  <c r="I127" i="13"/>
  <c r="I128" i="13"/>
  <c r="K128" i="13" s="1"/>
  <c r="I129" i="13"/>
  <c r="K129" i="13" s="1"/>
  <c r="I130" i="13"/>
  <c r="K130" i="13" s="1"/>
  <c r="J136" i="13"/>
  <c r="J137" i="13"/>
  <c r="J138" i="13"/>
  <c r="L140" i="13"/>
  <c r="M140" i="13"/>
  <c r="P140" i="13" s="1"/>
  <c r="N140" i="13"/>
  <c r="O140" i="13"/>
  <c r="Q140" i="13"/>
  <c r="T140" i="13" s="1"/>
  <c r="R140" i="13"/>
  <c r="S140" i="13"/>
  <c r="U140" i="13"/>
  <c r="O143" i="13"/>
  <c r="P143" i="13"/>
  <c r="T143" i="13"/>
  <c r="U143" i="13"/>
  <c r="L144" i="13"/>
  <c r="L142" i="13" s="1"/>
  <c r="M144" i="13"/>
  <c r="N144" i="13"/>
  <c r="Q144" i="13"/>
  <c r="R144" i="13"/>
  <c r="S144" i="13"/>
  <c r="S142" i="13" s="1"/>
  <c r="O146" i="13"/>
  <c r="P146" i="13"/>
  <c r="T146" i="13"/>
  <c r="U146" i="13"/>
  <c r="L147" i="13"/>
  <c r="L145" i="13" s="1"/>
  <c r="O145" i="13" s="1"/>
  <c r="M147" i="13"/>
  <c r="P147" i="13" s="1"/>
  <c r="N147" i="13"/>
  <c r="N145" i="13" s="1"/>
  <c r="Q147" i="13"/>
  <c r="T147" i="13" s="1"/>
  <c r="R147" i="13"/>
  <c r="R145" i="13" s="1"/>
  <c r="U145" i="13" s="1"/>
  <c r="S147" i="13"/>
  <c r="I150" i="13"/>
  <c r="K150" i="13" s="1"/>
  <c r="I151" i="13"/>
  <c r="K151" i="13" s="1"/>
  <c r="I152" i="13"/>
  <c r="I137" i="13" s="1"/>
  <c r="I153" i="13"/>
  <c r="I154" i="13"/>
  <c r="I136" i="13" s="1"/>
  <c r="K136" i="13" s="1"/>
  <c r="J156" i="13"/>
  <c r="L158" i="13"/>
  <c r="O158" i="13" s="1"/>
  <c r="M158" i="13"/>
  <c r="N158" i="13"/>
  <c r="P158" i="13"/>
  <c r="Q158" i="13"/>
  <c r="T158" i="13" s="1"/>
  <c r="R158" i="13"/>
  <c r="U158" i="13" s="1"/>
  <c r="S158" i="13"/>
  <c r="O161" i="13"/>
  <c r="P161" i="13"/>
  <c r="T161" i="13"/>
  <c r="U161" i="13"/>
  <c r="L162" i="13"/>
  <c r="M162" i="13"/>
  <c r="N162" i="13"/>
  <c r="N160" i="13" s="1"/>
  <c r="Q162" i="13"/>
  <c r="R162" i="13"/>
  <c r="S162" i="13"/>
  <c r="S159" i="13" s="1"/>
  <c r="Q163" i="13"/>
  <c r="R163" i="13"/>
  <c r="U163" i="13" s="1"/>
  <c r="S163" i="13"/>
  <c r="T163" i="13"/>
  <c r="O164" i="13"/>
  <c r="P164" i="13"/>
  <c r="T164" i="13"/>
  <c r="U164" i="13"/>
  <c r="L165" i="13"/>
  <c r="L163" i="13" s="1"/>
  <c r="O163" i="13" s="1"/>
  <c r="M165" i="13"/>
  <c r="M163" i="13" s="1"/>
  <c r="P163" i="13" s="1"/>
  <c r="N165" i="13"/>
  <c r="N163" i="13" s="1"/>
  <c r="T165" i="13"/>
  <c r="U165" i="13"/>
  <c r="I167" i="13"/>
  <c r="K167" i="13" s="1"/>
  <c r="I168" i="13"/>
  <c r="K168" i="13" s="1"/>
  <c r="I169" i="13"/>
  <c r="I156" i="13" s="1"/>
  <c r="K156" i="13" s="1"/>
  <c r="J172" i="13"/>
  <c r="L174" i="13"/>
  <c r="O174" i="13" s="1"/>
  <c r="M174" i="13"/>
  <c r="P174" i="13" s="1"/>
  <c r="N174" i="13"/>
  <c r="Q174" i="13"/>
  <c r="R174" i="13"/>
  <c r="U174" i="13" s="1"/>
  <c r="S174" i="13"/>
  <c r="T174" i="13"/>
  <c r="O177" i="13"/>
  <c r="P177" i="13"/>
  <c r="T177" i="13"/>
  <c r="U177" i="13"/>
  <c r="L178" i="13"/>
  <c r="L176" i="13" s="1"/>
  <c r="M178" i="13"/>
  <c r="N178" i="13"/>
  <c r="Q178" i="13"/>
  <c r="Q175" i="13" s="1"/>
  <c r="T175" i="13" s="1"/>
  <c r="R178" i="13"/>
  <c r="R176" i="13" s="1"/>
  <c r="U176" i="13" s="1"/>
  <c r="S178" i="13"/>
  <c r="S176" i="13" s="1"/>
  <c r="Q179" i="13"/>
  <c r="T179" i="13" s="1"/>
  <c r="R179" i="13"/>
  <c r="U179" i="13" s="1"/>
  <c r="S179" i="13"/>
  <c r="O180" i="13"/>
  <c r="P180" i="13"/>
  <c r="T180" i="13"/>
  <c r="U180" i="13"/>
  <c r="L181" i="13"/>
  <c r="L179" i="13" s="1"/>
  <c r="O179" i="13" s="1"/>
  <c r="M181" i="13"/>
  <c r="M179" i="13" s="1"/>
  <c r="P179" i="13" s="1"/>
  <c r="N181" i="13"/>
  <c r="N179" i="13" s="1"/>
  <c r="T181" i="13"/>
  <c r="U181" i="13"/>
  <c r="I183" i="13"/>
  <c r="I172" i="13" s="1"/>
  <c r="K184" i="13"/>
  <c r="L187" i="13"/>
  <c r="M187" i="13"/>
  <c r="N187" i="13"/>
  <c r="Q187" i="13"/>
  <c r="T187" i="13" s="1"/>
  <c r="R187" i="13"/>
  <c r="U187" i="13" s="1"/>
  <c r="S187" i="13"/>
  <c r="O190" i="13"/>
  <c r="P190" i="13"/>
  <c r="T190" i="13"/>
  <c r="U190" i="13"/>
  <c r="L191" i="13"/>
  <c r="M191" i="13"/>
  <c r="M189" i="13" s="1"/>
  <c r="N191" i="13"/>
  <c r="Q191" i="13"/>
  <c r="R191" i="13"/>
  <c r="S191" i="13"/>
  <c r="S189" i="13" s="1"/>
  <c r="O193" i="13"/>
  <c r="P193" i="13"/>
  <c r="T193" i="13"/>
  <c r="U193" i="13"/>
  <c r="L194" i="13"/>
  <c r="O194" i="13" s="1"/>
  <c r="M194" i="13"/>
  <c r="M192" i="13" s="1"/>
  <c r="P192" i="13" s="1"/>
  <c r="N194" i="13"/>
  <c r="N192" i="13" s="1"/>
  <c r="Q194" i="13"/>
  <c r="T194" i="13" s="1"/>
  <c r="R194" i="13"/>
  <c r="S194" i="13"/>
  <c r="S192" i="13" s="1"/>
  <c r="J195" i="13"/>
  <c r="L196" i="13"/>
  <c r="O196" i="13" s="1"/>
  <c r="P196" i="13"/>
  <c r="I198" i="13"/>
  <c r="J199" i="13"/>
  <c r="J202" i="13"/>
  <c r="N203" i="13"/>
  <c r="P203" i="13"/>
  <c r="S203" i="13"/>
  <c r="U203" i="13"/>
  <c r="L204" i="13"/>
  <c r="L205" i="13"/>
  <c r="L206" i="13"/>
  <c r="Q206" i="13"/>
  <c r="Q203" i="13" s="1"/>
  <c r="T203" i="13" s="1"/>
  <c r="L207" i="13"/>
  <c r="I209" i="13"/>
  <c r="I202" i="13" s="1"/>
  <c r="K202" i="13" s="1"/>
  <c r="I211" i="13"/>
  <c r="K211" i="13" s="1"/>
  <c r="I212" i="13"/>
  <c r="K212" i="13" s="1"/>
  <c r="J213" i="13"/>
  <c r="N214" i="13"/>
  <c r="P214" i="13"/>
  <c r="S214" i="13"/>
  <c r="U214" i="13"/>
  <c r="L215" i="13"/>
  <c r="L216" i="13"/>
  <c r="L217" i="13"/>
  <c r="Q217" i="13"/>
  <c r="Q214" i="13" s="1"/>
  <c r="T214" i="13" s="1"/>
  <c r="I219" i="13"/>
  <c r="K219" i="13" s="1"/>
  <c r="I220" i="13"/>
  <c r="J221" i="13"/>
  <c r="N222" i="13"/>
  <c r="P222" i="13"/>
  <c r="L223" i="13"/>
  <c r="L224" i="13"/>
  <c r="L225" i="13"/>
  <c r="I228" i="13"/>
  <c r="K228" i="13" s="1"/>
  <c r="I229" i="13"/>
  <c r="I221" i="13" s="1"/>
  <c r="K221" i="13" s="1"/>
  <c r="I230" i="13"/>
  <c r="N233" i="13"/>
  <c r="N234" i="13"/>
  <c r="N235" i="13"/>
  <c r="N236" i="13"/>
  <c r="J238" i="13"/>
  <c r="I240" i="13"/>
  <c r="K240" i="13" s="1"/>
  <c r="J240" i="13"/>
  <c r="I241" i="13"/>
  <c r="J241" i="13"/>
  <c r="K241" i="13"/>
  <c r="J242" i="13"/>
  <c r="N243" i="13"/>
  <c r="P243" i="13"/>
  <c r="L244" i="13"/>
  <c r="L245" i="13"/>
  <c r="L246" i="13"/>
  <c r="L247" i="13"/>
  <c r="I249" i="13"/>
  <c r="K249" i="13" s="1"/>
  <c r="K251" i="13"/>
  <c r="K252" i="13"/>
  <c r="J253" i="13"/>
  <c r="N254" i="13"/>
  <c r="N232" i="13" s="1"/>
  <c r="P254" i="13"/>
  <c r="L255" i="13"/>
  <c r="L256" i="13"/>
  <c r="L257" i="13"/>
  <c r="L258" i="13"/>
  <c r="I260" i="13"/>
  <c r="K262" i="13"/>
  <c r="K263" i="13"/>
  <c r="J265" i="13"/>
  <c r="L267" i="13"/>
  <c r="M267" i="13"/>
  <c r="N267" i="13"/>
  <c r="Q267" i="13"/>
  <c r="T267" i="13" s="1"/>
  <c r="R267" i="13"/>
  <c r="S267" i="13"/>
  <c r="O270" i="13"/>
  <c r="P270" i="13"/>
  <c r="T270" i="13"/>
  <c r="U270" i="13"/>
  <c r="L271" i="13"/>
  <c r="L269" i="13" s="1"/>
  <c r="M271" i="13"/>
  <c r="N271" i="13"/>
  <c r="Q271" i="13"/>
  <c r="Q268" i="13" s="1"/>
  <c r="Q266" i="13" s="1"/>
  <c r="R271" i="13"/>
  <c r="R269" i="13" s="1"/>
  <c r="S271" i="13"/>
  <c r="S269" i="13" s="1"/>
  <c r="Q272" i="13"/>
  <c r="T272" i="13" s="1"/>
  <c r="R272" i="13"/>
  <c r="S272" i="13"/>
  <c r="U272" i="13"/>
  <c r="O273" i="13"/>
  <c r="P273" i="13"/>
  <c r="T273" i="13"/>
  <c r="U273" i="13"/>
  <c r="L274" i="13"/>
  <c r="L272" i="13" s="1"/>
  <c r="O272" i="13" s="1"/>
  <c r="M274" i="13"/>
  <c r="N274" i="13"/>
  <c r="N272" i="13" s="1"/>
  <c r="T274" i="13"/>
  <c r="U274" i="13"/>
  <c r="I276" i="13"/>
  <c r="I265" i="13" s="1"/>
  <c r="J281" i="13"/>
  <c r="L283" i="13"/>
  <c r="O283" i="13" s="1"/>
  <c r="M283" i="13"/>
  <c r="N283" i="13"/>
  <c r="Q283" i="13"/>
  <c r="R283" i="13"/>
  <c r="S283" i="13"/>
  <c r="Q284" i="13"/>
  <c r="T284" i="13" s="1"/>
  <c r="R284" i="13"/>
  <c r="U284" i="13" s="1"/>
  <c r="S284" i="13"/>
  <c r="Q285" i="13"/>
  <c r="T285" i="13" s="1"/>
  <c r="R285" i="13"/>
  <c r="U285" i="13" s="1"/>
  <c r="S285" i="13"/>
  <c r="O286" i="13"/>
  <c r="P286" i="13"/>
  <c r="T286" i="13"/>
  <c r="U286" i="13"/>
  <c r="L287" i="13"/>
  <c r="M287" i="13"/>
  <c r="M285" i="13" s="1"/>
  <c r="P285" i="13" s="1"/>
  <c r="N287" i="13"/>
  <c r="N285" i="13" s="1"/>
  <c r="T287" i="13"/>
  <c r="U287" i="13"/>
  <c r="Q288" i="13"/>
  <c r="R288" i="13"/>
  <c r="S288" i="13"/>
  <c r="T288" i="13"/>
  <c r="U288" i="13"/>
  <c r="O289" i="13"/>
  <c r="P289" i="13"/>
  <c r="T289" i="13"/>
  <c r="U289" i="13"/>
  <c r="L290" i="13"/>
  <c r="M290" i="13"/>
  <c r="P290" i="13" s="1"/>
  <c r="N290" i="13"/>
  <c r="N288" i="13" s="1"/>
  <c r="T290" i="13"/>
  <c r="U290" i="13"/>
  <c r="I292" i="13"/>
  <c r="I293" i="13"/>
  <c r="J293" i="13"/>
  <c r="J280" i="13" s="1"/>
  <c r="I295" i="13"/>
  <c r="K295" i="13" s="1"/>
  <c r="I296" i="13"/>
  <c r="K296" i="13" s="1"/>
  <c r="J302" i="13"/>
  <c r="L304" i="13"/>
  <c r="O304" i="13" s="1"/>
  <c r="M304" i="13"/>
  <c r="N304" i="13"/>
  <c r="Q304" i="13"/>
  <c r="T304" i="13" s="1"/>
  <c r="R304" i="13"/>
  <c r="U304" i="13" s="1"/>
  <c r="S304" i="13"/>
  <c r="O307" i="13"/>
  <c r="P307" i="13"/>
  <c r="T307" i="13"/>
  <c r="U307" i="13"/>
  <c r="L308" i="13"/>
  <c r="M308" i="13"/>
  <c r="M306" i="13" s="1"/>
  <c r="P306" i="13" s="1"/>
  <c r="N308" i="13"/>
  <c r="N306" i="13" s="1"/>
  <c r="Q308" i="13"/>
  <c r="R308" i="13"/>
  <c r="S308" i="13"/>
  <c r="S306" i="13" s="1"/>
  <c r="Q309" i="13"/>
  <c r="T309" i="13" s="1"/>
  <c r="R309" i="13"/>
  <c r="U309" i="13" s="1"/>
  <c r="S309" i="13"/>
  <c r="O310" i="13"/>
  <c r="P310" i="13"/>
  <c r="T310" i="13"/>
  <c r="U310" i="13"/>
  <c r="L311" i="13"/>
  <c r="L309" i="13" s="1"/>
  <c r="O309" i="13" s="1"/>
  <c r="M311" i="13"/>
  <c r="N311" i="13"/>
  <c r="N309" i="13" s="1"/>
  <c r="T311" i="13"/>
  <c r="U311" i="13"/>
  <c r="I314" i="13"/>
  <c r="I302" i="13" s="1"/>
  <c r="K302" i="13" s="1"/>
  <c r="J319" i="13"/>
  <c r="L321" i="13"/>
  <c r="M321" i="13"/>
  <c r="N321" i="13"/>
  <c r="P321" i="13"/>
  <c r="Q321" i="13"/>
  <c r="R321" i="13"/>
  <c r="S321" i="13"/>
  <c r="Q322" i="13"/>
  <c r="R322" i="13"/>
  <c r="U322" i="13" s="1"/>
  <c r="S322" i="13"/>
  <c r="T322" i="13"/>
  <c r="Q323" i="13"/>
  <c r="R323" i="13"/>
  <c r="S323" i="13"/>
  <c r="T323" i="13"/>
  <c r="U323" i="13"/>
  <c r="O324" i="13"/>
  <c r="P324" i="13"/>
  <c r="T324" i="13"/>
  <c r="U324" i="13"/>
  <c r="L325" i="13"/>
  <c r="M325" i="13"/>
  <c r="N325" i="13"/>
  <c r="T325" i="13"/>
  <c r="U325" i="13"/>
  <c r="Q326" i="13"/>
  <c r="T326" i="13" s="1"/>
  <c r="R326" i="13"/>
  <c r="U326" i="13" s="1"/>
  <c r="S326" i="13"/>
  <c r="O327" i="13"/>
  <c r="P327" i="13"/>
  <c r="T327" i="13"/>
  <c r="U327" i="13"/>
  <c r="L328" i="13"/>
  <c r="L326" i="13" s="1"/>
  <c r="O326" i="13" s="1"/>
  <c r="M328" i="13"/>
  <c r="N328" i="13"/>
  <c r="N326" i="13" s="1"/>
  <c r="T328" i="13"/>
  <c r="U328" i="13"/>
  <c r="I330" i="13"/>
  <c r="K330" i="13" s="1"/>
  <c r="Q333" i="13"/>
  <c r="T333" i="13" s="1"/>
  <c r="L334" i="13"/>
  <c r="M334" i="13"/>
  <c r="N334" i="13"/>
  <c r="Q334" i="13"/>
  <c r="T334" i="13" s="1"/>
  <c r="R334" i="13"/>
  <c r="S334" i="13"/>
  <c r="Q335" i="13"/>
  <c r="R335" i="13"/>
  <c r="S335" i="13"/>
  <c r="T335" i="13"/>
  <c r="U335" i="13"/>
  <c r="Q336" i="13"/>
  <c r="T336" i="13" s="1"/>
  <c r="R336" i="13"/>
  <c r="U336" i="13" s="1"/>
  <c r="S336" i="13"/>
  <c r="O337" i="13"/>
  <c r="P337" i="13"/>
  <c r="T337" i="13"/>
  <c r="U337" i="13"/>
  <c r="L338" i="13"/>
  <c r="M338" i="13"/>
  <c r="M336" i="13" s="1"/>
  <c r="N338" i="13"/>
  <c r="T338" i="13"/>
  <c r="U338" i="13"/>
  <c r="Q339" i="13"/>
  <c r="R339" i="13"/>
  <c r="S339" i="13"/>
  <c r="T339" i="13"/>
  <c r="U339" i="13"/>
  <c r="O340" i="13"/>
  <c r="P340" i="13"/>
  <c r="T340" i="13"/>
  <c r="U340" i="13"/>
  <c r="L341" i="13"/>
  <c r="M341" i="13"/>
  <c r="N341" i="13"/>
  <c r="N339" i="13" s="1"/>
  <c r="T341" i="13"/>
  <c r="U341" i="13"/>
  <c r="I344" i="13"/>
  <c r="J344" i="13"/>
  <c r="I346" i="13"/>
  <c r="J346" i="13"/>
  <c r="J347" i="13"/>
  <c r="J348" i="13"/>
  <c r="J349" i="13"/>
  <c r="D350" i="13"/>
  <c r="J352" i="13"/>
  <c r="J353" i="13"/>
  <c r="D354" i="13"/>
  <c r="L357" i="13"/>
  <c r="O357" i="13" s="1"/>
  <c r="M357" i="13"/>
  <c r="N357" i="13"/>
  <c r="P357" i="13"/>
  <c r="Q357" i="13"/>
  <c r="R357" i="13"/>
  <c r="U357" i="13" s="1"/>
  <c r="S357" i="13"/>
  <c r="Q358" i="13"/>
  <c r="T358" i="13" s="1"/>
  <c r="R358" i="13"/>
  <c r="U358" i="13" s="1"/>
  <c r="S358" i="13"/>
  <c r="S356" i="13" s="1"/>
  <c r="Q359" i="13"/>
  <c r="R359" i="13"/>
  <c r="S359" i="13"/>
  <c r="T359" i="13"/>
  <c r="U359" i="13"/>
  <c r="O360" i="13"/>
  <c r="P360" i="13"/>
  <c r="T360" i="13"/>
  <c r="U360" i="13"/>
  <c r="L361" i="13"/>
  <c r="M361" i="13"/>
  <c r="N361" i="13"/>
  <c r="T361" i="13"/>
  <c r="U361" i="13"/>
  <c r="Q362" i="13"/>
  <c r="T362" i="13" s="1"/>
  <c r="R362" i="13"/>
  <c r="U362" i="13" s="1"/>
  <c r="S362" i="13"/>
  <c r="O363" i="13"/>
  <c r="P363" i="13"/>
  <c r="T363" i="13"/>
  <c r="U363" i="13"/>
  <c r="L364" i="13"/>
  <c r="M364" i="13"/>
  <c r="N364" i="13"/>
  <c r="N362" i="13" s="1"/>
  <c r="T364" i="13"/>
  <c r="U364" i="13"/>
  <c r="J367" i="13"/>
  <c r="K367" i="13"/>
  <c r="I368" i="13"/>
  <c r="J368" i="13"/>
  <c r="I369" i="13"/>
  <c r="J369" i="13"/>
  <c r="J370" i="13"/>
  <c r="K370" i="13"/>
  <c r="I371" i="13"/>
  <c r="I365" i="13" s="1"/>
  <c r="J371" i="13"/>
  <c r="J365" i="13" s="1"/>
  <c r="J372" i="13"/>
  <c r="K372" i="13"/>
  <c r="D373" i="13"/>
  <c r="L376" i="13"/>
  <c r="M376" i="13"/>
  <c r="N376" i="13"/>
  <c r="Q376" i="13"/>
  <c r="T376" i="13" s="1"/>
  <c r="R376" i="13"/>
  <c r="S376" i="13"/>
  <c r="O379" i="13"/>
  <c r="P379" i="13"/>
  <c r="T379" i="13"/>
  <c r="U379" i="13"/>
  <c r="L380" i="13"/>
  <c r="L378" i="13" s="1"/>
  <c r="O378" i="13" s="1"/>
  <c r="M380" i="13"/>
  <c r="N380" i="13"/>
  <c r="N378" i="13" s="1"/>
  <c r="Q380" i="13"/>
  <c r="Q377" i="13" s="1"/>
  <c r="R380" i="13"/>
  <c r="R377" i="13" s="1"/>
  <c r="S380" i="13"/>
  <c r="S377" i="13" s="1"/>
  <c r="Q381" i="13"/>
  <c r="T381" i="13" s="1"/>
  <c r="R381" i="13"/>
  <c r="U381" i="13" s="1"/>
  <c r="S381" i="13"/>
  <c r="O382" i="13"/>
  <c r="P382" i="13"/>
  <c r="T382" i="13"/>
  <c r="U382" i="13"/>
  <c r="L383" i="13"/>
  <c r="L381" i="13" s="1"/>
  <c r="O381" i="13" s="1"/>
  <c r="M383" i="13"/>
  <c r="N383" i="13"/>
  <c r="T383" i="13"/>
  <c r="U383" i="13"/>
  <c r="J385" i="13"/>
  <c r="K385" i="13"/>
  <c r="I386" i="13"/>
  <c r="J386" i="13"/>
  <c r="J387" i="13"/>
  <c r="K387" i="13"/>
  <c r="I388" i="13"/>
  <c r="K388" i="13" s="1"/>
  <c r="J388" i="13"/>
  <c r="I391" i="13"/>
  <c r="J391" i="13"/>
  <c r="K391" i="13"/>
  <c r="L393" i="13"/>
  <c r="M393" i="13"/>
  <c r="P393" i="13" s="1"/>
  <c r="N393" i="13"/>
  <c r="N392" i="13" s="1"/>
  <c r="O393" i="13"/>
  <c r="Q393" i="13"/>
  <c r="R393" i="13"/>
  <c r="S393" i="13"/>
  <c r="U393" i="13"/>
  <c r="L394" i="13"/>
  <c r="M394" i="13"/>
  <c r="P394" i="13" s="1"/>
  <c r="N394" i="13"/>
  <c r="L395" i="13"/>
  <c r="O395" i="13" s="1"/>
  <c r="M395" i="13"/>
  <c r="P395" i="13" s="1"/>
  <c r="N395" i="13"/>
  <c r="O396" i="13"/>
  <c r="P396" i="13"/>
  <c r="T396" i="13"/>
  <c r="U396" i="13"/>
  <c r="O397" i="13"/>
  <c r="P397" i="13"/>
  <c r="Q397" i="13"/>
  <c r="R397" i="13"/>
  <c r="S397" i="13"/>
  <c r="L398" i="13"/>
  <c r="M398" i="13"/>
  <c r="N398" i="13"/>
  <c r="O398" i="13"/>
  <c r="P398" i="13"/>
  <c r="Q398" i="13"/>
  <c r="T398" i="13" s="1"/>
  <c r="R398" i="13"/>
  <c r="S398" i="13"/>
  <c r="U398" i="13"/>
  <c r="O399" i="13"/>
  <c r="P399" i="13"/>
  <c r="T399" i="13"/>
  <c r="U399" i="13"/>
  <c r="O400" i="13"/>
  <c r="P400" i="13"/>
  <c r="T400" i="13"/>
  <c r="U400" i="13"/>
  <c r="L414" i="13"/>
  <c r="O414" i="13" s="1"/>
  <c r="M414" i="13"/>
  <c r="N414" i="13"/>
  <c r="Q414" i="13"/>
  <c r="R414" i="13"/>
  <c r="S414" i="13"/>
  <c r="T414" i="13"/>
  <c r="U414" i="13"/>
  <c r="O417" i="13"/>
  <c r="P417" i="13"/>
  <c r="T417" i="13"/>
  <c r="U417" i="13"/>
  <c r="L418" i="13"/>
  <c r="L416" i="13" s="1"/>
  <c r="M418" i="13"/>
  <c r="M416" i="13" s="1"/>
  <c r="N418" i="13"/>
  <c r="N416" i="13" s="1"/>
  <c r="Q418" i="13"/>
  <c r="R418" i="13"/>
  <c r="R415" i="13" s="1"/>
  <c r="S418" i="13"/>
  <c r="S415" i="13" s="1"/>
  <c r="Q419" i="13"/>
  <c r="T419" i="13" s="1"/>
  <c r="R419" i="13"/>
  <c r="U419" i="13" s="1"/>
  <c r="S419" i="13"/>
  <c r="O420" i="13"/>
  <c r="P420" i="13"/>
  <c r="T420" i="13"/>
  <c r="U420" i="13"/>
  <c r="L421" i="13"/>
  <c r="L419" i="13" s="1"/>
  <c r="O419" i="13" s="1"/>
  <c r="M421" i="13"/>
  <c r="P421" i="13" s="1"/>
  <c r="N421" i="13"/>
  <c r="N419" i="13" s="1"/>
  <c r="T421" i="13"/>
  <c r="U421" i="13"/>
  <c r="I424" i="13"/>
  <c r="K424" i="13" s="1"/>
  <c r="J424" i="13"/>
  <c r="I425" i="13"/>
  <c r="K425" i="13" s="1"/>
  <c r="J425" i="13"/>
  <c r="I432" i="13"/>
  <c r="K432" i="13" s="1"/>
  <c r="J432" i="13"/>
  <c r="I433" i="13"/>
  <c r="K433" i="13" s="1"/>
  <c r="J433" i="13"/>
  <c r="I440" i="13"/>
  <c r="K440" i="13" s="1"/>
  <c r="J440" i="13"/>
  <c r="J423" i="13" s="1"/>
  <c r="J412" i="13" s="1"/>
  <c r="I441" i="13"/>
  <c r="K441" i="13" s="1"/>
  <c r="J446" i="13"/>
  <c r="J447" i="13"/>
  <c r="J441" i="13" s="1"/>
  <c r="I457" i="13"/>
  <c r="I456" i="13" s="1"/>
  <c r="I458" i="13"/>
  <c r="K458" i="13" s="1"/>
  <c r="J459" i="13"/>
  <c r="J460" i="13"/>
  <c r="J458" i="13" s="1"/>
  <c r="J467" i="13"/>
  <c r="J468" i="13"/>
  <c r="J475" i="13"/>
  <c r="K475" i="13"/>
  <c r="J476" i="13"/>
  <c r="K476" i="13"/>
  <c r="J477" i="13"/>
  <c r="K477" i="13"/>
  <c r="J482" i="13"/>
  <c r="J483" i="13"/>
  <c r="I484" i="13"/>
  <c r="K484" i="13" s="1"/>
  <c r="J484" i="13"/>
  <c r="I485" i="13"/>
  <c r="K485" i="13" s="1"/>
  <c r="J485" i="13"/>
  <c r="L494" i="13"/>
  <c r="M494" i="13"/>
  <c r="P494" i="13" s="1"/>
  <c r="N494" i="13"/>
  <c r="Q494" i="13"/>
  <c r="T494" i="13" s="1"/>
  <c r="R494" i="13"/>
  <c r="S494" i="13"/>
  <c r="O497" i="13"/>
  <c r="P497" i="13"/>
  <c r="T497" i="13"/>
  <c r="U497" i="13"/>
  <c r="L498" i="13"/>
  <c r="L496" i="13" s="1"/>
  <c r="M498" i="13"/>
  <c r="N498" i="13"/>
  <c r="Q498" i="13"/>
  <c r="R498" i="13"/>
  <c r="R495" i="13" s="1"/>
  <c r="S498" i="13"/>
  <c r="S496" i="13" s="1"/>
  <c r="Q499" i="13"/>
  <c r="T499" i="13" s="1"/>
  <c r="R499" i="13"/>
  <c r="U499" i="13" s="1"/>
  <c r="S499" i="13"/>
  <c r="O500" i="13"/>
  <c r="P500" i="13"/>
  <c r="T500" i="13"/>
  <c r="U500" i="13"/>
  <c r="L501" i="13"/>
  <c r="L499" i="13" s="1"/>
  <c r="O499" i="13" s="1"/>
  <c r="M501" i="13"/>
  <c r="M499" i="13" s="1"/>
  <c r="P499" i="13" s="1"/>
  <c r="N501" i="13"/>
  <c r="N499" i="13" s="1"/>
  <c r="T501" i="13"/>
  <c r="U501" i="13"/>
  <c r="I503" i="13"/>
  <c r="J503" i="13" s="1"/>
  <c r="J492" i="13" s="1"/>
  <c r="I504" i="13"/>
  <c r="K504" i="13" s="1"/>
  <c r="I505" i="13"/>
  <c r="K505" i="13" s="1"/>
  <c r="I506" i="13"/>
  <c r="K506" i="13" s="1"/>
  <c r="I507" i="13"/>
  <c r="K507" i="13" s="1"/>
  <c r="K508" i="13"/>
  <c r="I509" i="13"/>
  <c r="K509" i="13" s="1"/>
  <c r="I512" i="13"/>
  <c r="K512" i="13" s="1"/>
  <c r="J512" i="13"/>
  <c r="L514" i="13"/>
  <c r="M514" i="13"/>
  <c r="P514" i="13" s="1"/>
  <c r="N514" i="13"/>
  <c r="Q514" i="13"/>
  <c r="R514" i="13"/>
  <c r="S514" i="13"/>
  <c r="S513" i="13" s="1"/>
  <c r="Q515" i="13"/>
  <c r="T515" i="13" s="1"/>
  <c r="R515" i="13"/>
  <c r="S515" i="13"/>
  <c r="U515" i="13"/>
  <c r="Q516" i="13"/>
  <c r="T516" i="13" s="1"/>
  <c r="R516" i="13"/>
  <c r="S516" i="13"/>
  <c r="U516" i="13"/>
  <c r="O517" i="13"/>
  <c r="P517" i="13"/>
  <c r="T517" i="13"/>
  <c r="U517" i="13"/>
  <c r="L518" i="13"/>
  <c r="M518" i="13"/>
  <c r="P518" i="13" s="1"/>
  <c r="N518" i="13"/>
  <c r="T518" i="13"/>
  <c r="U518" i="13"/>
  <c r="Q519" i="13"/>
  <c r="T519" i="13" s="1"/>
  <c r="R519" i="13"/>
  <c r="U519" i="13" s="1"/>
  <c r="S519" i="13"/>
  <c r="O520" i="13"/>
  <c r="P520" i="13"/>
  <c r="T520" i="13"/>
  <c r="U520" i="13"/>
  <c r="L521" i="13"/>
  <c r="L519" i="13" s="1"/>
  <c r="O519" i="13" s="1"/>
  <c r="M521" i="13"/>
  <c r="M519" i="13" s="1"/>
  <c r="P519" i="13" s="1"/>
  <c r="N521" i="13"/>
  <c r="N519" i="13" s="1"/>
  <c r="T521" i="13"/>
  <c r="U521" i="13"/>
  <c r="K523" i="13"/>
  <c r="K524" i="13"/>
  <c r="I533" i="13"/>
  <c r="K533" i="13" s="1"/>
  <c r="J533" i="13"/>
  <c r="L535" i="13"/>
  <c r="M535" i="13"/>
  <c r="N535" i="13"/>
  <c r="P535" i="13"/>
  <c r="Q535" i="13"/>
  <c r="R535" i="13"/>
  <c r="S535" i="13"/>
  <c r="Q536" i="13"/>
  <c r="R536" i="13"/>
  <c r="U536" i="13" s="1"/>
  <c r="S536" i="13"/>
  <c r="T536" i="13"/>
  <c r="Q537" i="13"/>
  <c r="R537" i="13"/>
  <c r="S537" i="13"/>
  <c r="T537" i="13"/>
  <c r="U537" i="13"/>
  <c r="O538" i="13"/>
  <c r="P538" i="13"/>
  <c r="T538" i="13"/>
  <c r="U538" i="13"/>
  <c r="L539" i="13"/>
  <c r="M539" i="13"/>
  <c r="N539" i="13"/>
  <c r="N537" i="13" s="1"/>
  <c r="T539" i="13"/>
  <c r="U539" i="13"/>
  <c r="Q540" i="13"/>
  <c r="T540" i="13" s="1"/>
  <c r="R540" i="13"/>
  <c r="U540" i="13" s="1"/>
  <c r="S540" i="13"/>
  <c r="O541" i="13"/>
  <c r="P541" i="13"/>
  <c r="T541" i="13"/>
  <c r="U541" i="13"/>
  <c r="L542" i="13"/>
  <c r="L540" i="13" s="1"/>
  <c r="O540" i="13" s="1"/>
  <c r="M542" i="13"/>
  <c r="M540" i="13" s="1"/>
  <c r="P540" i="13" s="1"/>
  <c r="N542" i="13"/>
  <c r="N540" i="13" s="1"/>
  <c r="T542" i="13"/>
  <c r="U542" i="13"/>
  <c r="I554" i="13"/>
  <c r="J554" i="13"/>
  <c r="K554" i="13"/>
  <c r="L556" i="13"/>
  <c r="M556" i="13"/>
  <c r="P556" i="13" s="1"/>
  <c r="N556" i="13"/>
  <c r="O556" i="13"/>
  <c r="Q556" i="13"/>
  <c r="Q555" i="13" s="1"/>
  <c r="T555" i="13" s="1"/>
  <c r="R556" i="13"/>
  <c r="R555" i="13" s="1"/>
  <c r="U555" i="13" s="1"/>
  <c r="S556" i="13"/>
  <c r="U556" i="13"/>
  <c r="Q557" i="13"/>
  <c r="T557" i="13" s="1"/>
  <c r="R557" i="13"/>
  <c r="S557" i="13"/>
  <c r="U557" i="13"/>
  <c r="Q558" i="13"/>
  <c r="T558" i="13" s="1"/>
  <c r="R558" i="13"/>
  <c r="U558" i="13" s="1"/>
  <c r="S558" i="13"/>
  <c r="O559" i="13"/>
  <c r="P559" i="13"/>
  <c r="T559" i="13"/>
  <c r="U559" i="13"/>
  <c r="L560" i="13"/>
  <c r="L558" i="13" s="1"/>
  <c r="O558" i="13" s="1"/>
  <c r="M560" i="13"/>
  <c r="P560" i="13" s="1"/>
  <c r="N560" i="13"/>
  <c r="T560" i="13"/>
  <c r="U560" i="13"/>
  <c r="Q561" i="13"/>
  <c r="R561" i="13"/>
  <c r="U561" i="13" s="1"/>
  <c r="S561" i="13"/>
  <c r="T561" i="13"/>
  <c r="O562" i="13"/>
  <c r="P562" i="13"/>
  <c r="T562" i="13"/>
  <c r="U562" i="13"/>
  <c r="L563" i="13"/>
  <c r="M563" i="13"/>
  <c r="N563" i="13"/>
  <c r="N561" i="13" s="1"/>
  <c r="T563" i="13"/>
  <c r="U563" i="13"/>
  <c r="I575" i="13"/>
  <c r="K575" i="13" s="1"/>
  <c r="J575" i="13"/>
  <c r="L577" i="13"/>
  <c r="M577" i="13"/>
  <c r="N577" i="13"/>
  <c r="P577" i="13"/>
  <c r="Q577" i="13"/>
  <c r="R577" i="13"/>
  <c r="S577" i="13"/>
  <c r="Q578" i="13"/>
  <c r="R578" i="13"/>
  <c r="U578" i="13" s="1"/>
  <c r="S578" i="13"/>
  <c r="T578" i="13"/>
  <c r="Q579" i="13"/>
  <c r="R579" i="13"/>
  <c r="S579" i="13"/>
  <c r="T579" i="13"/>
  <c r="U579" i="13"/>
  <c r="O580" i="13"/>
  <c r="P580" i="13"/>
  <c r="T580" i="13"/>
  <c r="U580" i="13"/>
  <c r="L581" i="13"/>
  <c r="M581" i="13"/>
  <c r="N581" i="13"/>
  <c r="N579" i="13" s="1"/>
  <c r="T581" i="13"/>
  <c r="U581" i="13"/>
  <c r="Q582" i="13"/>
  <c r="T582" i="13" s="1"/>
  <c r="R582" i="13"/>
  <c r="U582" i="13" s="1"/>
  <c r="S582" i="13"/>
  <c r="O583" i="13"/>
  <c r="P583" i="13"/>
  <c r="T583" i="13"/>
  <c r="U583" i="13"/>
  <c r="L584" i="13"/>
  <c r="L582" i="13" s="1"/>
  <c r="O582" i="13" s="1"/>
  <c r="M584" i="13"/>
  <c r="P584" i="13" s="1"/>
  <c r="N584" i="13"/>
  <c r="N582" i="13" s="1"/>
  <c r="T584" i="13"/>
  <c r="U584" i="13"/>
  <c r="L600" i="13"/>
  <c r="M600" i="13"/>
  <c r="N600" i="13"/>
  <c r="P600" i="13"/>
  <c r="Q600" i="13"/>
  <c r="R600" i="13"/>
  <c r="S600" i="13"/>
  <c r="O603" i="13"/>
  <c r="P603" i="13"/>
  <c r="T603" i="13"/>
  <c r="U603" i="13"/>
  <c r="L604" i="13"/>
  <c r="M604" i="13"/>
  <c r="N604" i="13"/>
  <c r="N602" i="13" s="1"/>
  <c r="Q604" i="13"/>
  <c r="Q602" i="13" s="1"/>
  <c r="T602" i="13" s="1"/>
  <c r="R604" i="13"/>
  <c r="S604" i="13"/>
  <c r="S602" i="13" s="1"/>
  <c r="O606" i="13"/>
  <c r="P606" i="13"/>
  <c r="T606" i="13"/>
  <c r="U606" i="13"/>
  <c r="L607" i="13"/>
  <c r="M607" i="13"/>
  <c r="N607" i="13"/>
  <c r="N605" i="13" s="1"/>
  <c r="Q607" i="13"/>
  <c r="Q605" i="13" s="1"/>
  <c r="T605" i="13" s="1"/>
  <c r="R607" i="13"/>
  <c r="S607" i="13"/>
  <c r="S605" i="13" s="1"/>
  <c r="L617" i="13"/>
  <c r="M617" i="13"/>
  <c r="P617" i="13" s="1"/>
  <c r="N617" i="13"/>
  <c r="N616" i="13" s="1"/>
  <c r="Q617" i="13"/>
  <c r="R617" i="13"/>
  <c r="S617" i="13"/>
  <c r="T617" i="13"/>
  <c r="U617" i="13"/>
  <c r="L618" i="13"/>
  <c r="M618" i="13"/>
  <c r="N618" i="13"/>
  <c r="O618" i="13"/>
  <c r="P618" i="13"/>
  <c r="L619" i="13"/>
  <c r="O619" i="13" s="1"/>
  <c r="M619" i="13"/>
  <c r="P619" i="13" s="1"/>
  <c r="N619" i="13"/>
  <c r="O620" i="13"/>
  <c r="P620" i="13"/>
  <c r="T620" i="13"/>
  <c r="U620" i="13"/>
  <c r="O621" i="13"/>
  <c r="P621" i="13"/>
  <c r="Q621" i="13"/>
  <c r="Q618" i="13" s="1"/>
  <c r="R621" i="13"/>
  <c r="S621" i="13"/>
  <c r="S618" i="13" s="1"/>
  <c r="L622" i="13"/>
  <c r="M622" i="13"/>
  <c r="P622" i="13" s="1"/>
  <c r="N622" i="13"/>
  <c r="O622" i="13"/>
  <c r="Q622" i="13"/>
  <c r="R622" i="13"/>
  <c r="S622" i="13"/>
  <c r="T622" i="13"/>
  <c r="U622" i="13"/>
  <c r="O623" i="13"/>
  <c r="P623" i="13"/>
  <c r="T623" i="13"/>
  <c r="U623" i="13"/>
  <c r="O624" i="13"/>
  <c r="P624" i="13"/>
  <c r="T624" i="13"/>
  <c r="U624" i="13"/>
  <c r="I626" i="13"/>
  <c r="I615" i="13" s="1"/>
  <c r="I627" i="13"/>
  <c r="K627" i="13" s="1"/>
  <c r="I628" i="13"/>
  <c r="K628" i="13" s="1"/>
  <c r="J632" i="13"/>
  <c r="I635" i="13"/>
  <c r="K635" i="13" s="1"/>
  <c r="J636" i="13"/>
  <c r="J635" i="13" s="1"/>
  <c r="L643" i="13"/>
  <c r="L642" i="13" s="1"/>
  <c r="O642" i="13" s="1"/>
  <c r="M643" i="13"/>
  <c r="P643" i="13" s="1"/>
  <c r="N643" i="13"/>
  <c r="Q643" i="13"/>
  <c r="R643" i="13"/>
  <c r="S643" i="13"/>
  <c r="T643" i="13"/>
  <c r="U643" i="13"/>
  <c r="L644" i="13"/>
  <c r="O644" i="13" s="1"/>
  <c r="M644" i="13"/>
  <c r="N644" i="13"/>
  <c r="P644" i="13"/>
  <c r="L645" i="13"/>
  <c r="O645" i="13" s="1"/>
  <c r="M645" i="13"/>
  <c r="P645" i="13" s="1"/>
  <c r="N645" i="13"/>
  <c r="O646" i="13"/>
  <c r="P646" i="13"/>
  <c r="T646" i="13"/>
  <c r="U646" i="13"/>
  <c r="O647" i="13"/>
  <c r="P647" i="13"/>
  <c r="Q647" i="13"/>
  <c r="Q645" i="13" s="1"/>
  <c r="T645" i="13" s="1"/>
  <c r="R647" i="13"/>
  <c r="R645" i="13" s="1"/>
  <c r="U645" i="13" s="1"/>
  <c r="S647" i="13"/>
  <c r="S644" i="13" s="1"/>
  <c r="L648" i="13"/>
  <c r="O648" i="13" s="1"/>
  <c r="M648" i="13"/>
  <c r="P648" i="13" s="1"/>
  <c r="N648" i="13"/>
  <c r="Q648" i="13"/>
  <c r="R648" i="13"/>
  <c r="S648" i="13"/>
  <c r="T648" i="13"/>
  <c r="U648" i="13"/>
  <c r="O649" i="13"/>
  <c r="P649" i="13"/>
  <c r="T649" i="13"/>
  <c r="U649" i="13"/>
  <c r="O650" i="13"/>
  <c r="P650" i="13"/>
  <c r="T650" i="13"/>
  <c r="U650" i="13"/>
  <c r="I652" i="13"/>
  <c r="K652" i="13" s="1"/>
  <c r="J652" i="13"/>
  <c r="I653" i="13"/>
  <c r="K653" i="13" s="1"/>
  <c r="J653" i="13"/>
  <c r="I654" i="13"/>
  <c r="K654" i="13" s="1"/>
  <c r="J654" i="13"/>
  <c r="I657" i="13"/>
  <c r="I660" i="13"/>
  <c r="I661" i="13"/>
  <c r="K661" i="13" s="1"/>
  <c r="J661" i="13"/>
  <c r="J671" i="13"/>
  <c r="J672" i="13"/>
  <c r="I673" i="13"/>
  <c r="K673" i="13" s="1"/>
  <c r="J673" i="13"/>
  <c r="I674" i="13"/>
  <c r="K674" i="13" s="1"/>
  <c r="I675" i="13"/>
  <c r="K675" i="13" s="1"/>
  <c r="I676" i="13"/>
  <c r="K676" i="13" s="1"/>
  <c r="J676" i="13"/>
  <c r="J677" i="13"/>
  <c r="I678" i="13"/>
  <c r="K678" i="13" s="1"/>
  <c r="J678" i="13"/>
  <c r="I679" i="13"/>
  <c r="K679" i="13" s="1"/>
  <c r="J679" i="13"/>
  <c r="J680" i="13"/>
  <c r="I681" i="13"/>
  <c r="K681" i="13" s="1"/>
  <c r="J681" i="13"/>
  <c r="I682" i="13"/>
  <c r="K682" i="13" s="1"/>
  <c r="J682" i="13"/>
  <c r="M690" i="13"/>
  <c r="P690" i="13" s="1"/>
  <c r="L691" i="13"/>
  <c r="L690" i="13" s="1"/>
  <c r="O690" i="13" s="1"/>
  <c r="M691" i="13"/>
  <c r="P691" i="13" s="1"/>
  <c r="N691" i="13"/>
  <c r="Q691" i="13"/>
  <c r="T691" i="13" s="1"/>
  <c r="R691" i="13"/>
  <c r="U691" i="13" s="1"/>
  <c r="S691" i="13"/>
  <c r="L692" i="13"/>
  <c r="M692" i="13"/>
  <c r="N692" i="13"/>
  <c r="O692" i="13"/>
  <c r="P692" i="13"/>
  <c r="L693" i="13"/>
  <c r="M693" i="13"/>
  <c r="P693" i="13" s="1"/>
  <c r="N693" i="13"/>
  <c r="O693" i="13"/>
  <c r="O694" i="13"/>
  <c r="P694" i="13"/>
  <c r="T694" i="13"/>
  <c r="U694" i="13"/>
  <c r="O695" i="13"/>
  <c r="P695" i="13"/>
  <c r="Q695" i="13"/>
  <c r="Q692" i="13" s="1"/>
  <c r="R695" i="13"/>
  <c r="R692" i="13" s="1"/>
  <c r="R690" i="13" s="1"/>
  <c r="S695" i="13"/>
  <c r="S693" i="13" s="1"/>
  <c r="L696" i="13"/>
  <c r="O696" i="13" s="1"/>
  <c r="M696" i="13"/>
  <c r="P696" i="13" s="1"/>
  <c r="N696" i="13"/>
  <c r="Q696" i="13"/>
  <c r="R696" i="13"/>
  <c r="U696" i="13" s="1"/>
  <c r="S696" i="13"/>
  <c r="T696" i="13"/>
  <c r="O697" i="13"/>
  <c r="P697" i="13"/>
  <c r="T697" i="13"/>
  <c r="U697" i="13"/>
  <c r="O698" i="13"/>
  <c r="P698" i="13"/>
  <c r="T698" i="13"/>
  <c r="U698" i="13"/>
  <c r="I700" i="13"/>
  <c r="K700" i="13" s="1"/>
  <c r="K702" i="13"/>
  <c r="I703" i="13"/>
  <c r="K703" i="13" s="1"/>
  <c r="J703" i="13"/>
  <c r="J704" i="13"/>
  <c r="K704" i="13"/>
  <c r="I705" i="13"/>
  <c r="J705" i="13"/>
  <c r="J706" i="13"/>
  <c r="K706" i="13"/>
  <c r="I707" i="13"/>
  <c r="I689" i="13" s="1"/>
  <c r="K689" i="13" s="1"/>
  <c r="J707" i="13"/>
  <c r="J689" i="13" s="1"/>
  <c r="J708" i="13"/>
  <c r="K708" i="13"/>
  <c r="I709" i="13"/>
  <c r="J709" i="13"/>
  <c r="J710" i="13"/>
  <c r="K710" i="13"/>
  <c r="J712" i="13"/>
  <c r="K712" i="13"/>
  <c r="L715" i="13"/>
  <c r="M715" i="13"/>
  <c r="N715" i="13"/>
  <c r="Q715" i="13"/>
  <c r="R715" i="13"/>
  <c r="S715" i="13"/>
  <c r="S714" i="13" s="1"/>
  <c r="U715" i="13"/>
  <c r="L716" i="13"/>
  <c r="M716" i="13"/>
  <c r="P716" i="13" s="1"/>
  <c r="N716" i="13"/>
  <c r="N714" i="13" s="1"/>
  <c r="O716" i="13"/>
  <c r="Q716" i="13"/>
  <c r="T716" i="13" s="1"/>
  <c r="R716" i="13"/>
  <c r="U716" i="13" s="1"/>
  <c r="S716" i="13"/>
  <c r="L717" i="13"/>
  <c r="M717" i="13"/>
  <c r="P717" i="13" s="1"/>
  <c r="N717" i="13"/>
  <c r="O717" i="13"/>
  <c r="Q717" i="13"/>
  <c r="T717" i="13" s="1"/>
  <c r="R717" i="13"/>
  <c r="S717" i="13"/>
  <c r="U717" i="13"/>
  <c r="O718" i="13"/>
  <c r="P718" i="13"/>
  <c r="T718" i="13"/>
  <c r="U718" i="13"/>
  <c r="O719" i="13"/>
  <c r="P719" i="13"/>
  <c r="T719" i="13"/>
  <c r="U719" i="13"/>
  <c r="L720" i="13"/>
  <c r="M720" i="13"/>
  <c r="P720" i="13" s="1"/>
  <c r="N720" i="13"/>
  <c r="O720" i="13"/>
  <c r="Q720" i="13"/>
  <c r="T720" i="13" s="1"/>
  <c r="R720" i="13"/>
  <c r="U720" i="13" s="1"/>
  <c r="S720" i="13"/>
  <c r="O721" i="13"/>
  <c r="P721" i="13"/>
  <c r="T721" i="13"/>
  <c r="U721" i="13"/>
  <c r="O722" i="13"/>
  <c r="P722" i="13"/>
  <c r="T722" i="13"/>
  <c r="U722" i="13"/>
  <c r="I726" i="13"/>
  <c r="J726" i="13"/>
  <c r="I727" i="13"/>
  <c r="J727" i="13"/>
  <c r="L729" i="13"/>
  <c r="M729" i="13"/>
  <c r="N729" i="13"/>
  <c r="Q729" i="13"/>
  <c r="R729" i="13"/>
  <c r="S729" i="13"/>
  <c r="L730" i="13"/>
  <c r="O730" i="13" s="1"/>
  <c r="M730" i="13"/>
  <c r="P730" i="13" s="1"/>
  <c r="N730" i="13"/>
  <c r="N728" i="13" s="1"/>
  <c r="L731" i="13"/>
  <c r="O731" i="13" s="1"/>
  <c r="M731" i="13"/>
  <c r="P731" i="13" s="1"/>
  <c r="N731" i="13"/>
  <c r="O732" i="13"/>
  <c r="P732" i="13"/>
  <c r="T732" i="13"/>
  <c r="U732" i="13"/>
  <c r="O733" i="13"/>
  <c r="P733" i="13"/>
  <c r="Q733" i="13"/>
  <c r="Q731" i="13" s="1"/>
  <c r="R733" i="13"/>
  <c r="R731" i="13" s="1"/>
  <c r="S733" i="13"/>
  <c r="S730" i="13" s="1"/>
  <c r="L734" i="13"/>
  <c r="O734" i="13" s="1"/>
  <c r="M734" i="13"/>
  <c r="P734" i="13" s="1"/>
  <c r="N734" i="13"/>
  <c r="Q734" i="13"/>
  <c r="T734" i="13" s="1"/>
  <c r="R734" i="13"/>
  <c r="U734" i="13" s="1"/>
  <c r="S734" i="13"/>
  <c r="O735" i="13"/>
  <c r="P735" i="13"/>
  <c r="T735" i="13"/>
  <c r="U735" i="13"/>
  <c r="O736" i="13"/>
  <c r="P736" i="13"/>
  <c r="T736" i="13"/>
  <c r="U736" i="13"/>
  <c r="I740" i="13"/>
  <c r="K740" i="13" s="1"/>
  <c r="I742" i="13"/>
  <c r="K742" i="13" s="1"/>
  <c r="I744" i="13"/>
  <c r="K744" i="13" s="1"/>
  <c r="I746" i="13"/>
  <c r="K746" i="13" s="1"/>
  <c r="I749" i="13"/>
  <c r="K749" i="13" s="1"/>
  <c r="I752" i="13"/>
  <c r="K752" i="13" s="1"/>
  <c r="I755" i="13"/>
  <c r="K755" i="13" s="1"/>
  <c r="J758" i="13"/>
  <c r="J759" i="13"/>
  <c r="L761" i="13"/>
  <c r="M761" i="13"/>
  <c r="N761" i="13"/>
  <c r="Q761" i="13"/>
  <c r="R761" i="13"/>
  <c r="S761" i="13"/>
  <c r="L762" i="13"/>
  <c r="O762" i="13" s="1"/>
  <c r="M762" i="13"/>
  <c r="P762" i="13" s="1"/>
  <c r="N762" i="13"/>
  <c r="L763" i="13"/>
  <c r="O763" i="13" s="1"/>
  <c r="M763" i="13"/>
  <c r="N763" i="13"/>
  <c r="P763" i="13"/>
  <c r="O764" i="13"/>
  <c r="P764" i="13"/>
  <c r="T764" i="13"/>
  <c r="U764" i="13"/>
  <c r="O765" i="13"/>
  <c r="P765" i="13"/>
  <c r="Q765" i="13"/>
  <c r="Q762" i="13" s="1"/>
  <c r="T762" i="13" s="1"/>
  <c r="R765" i="13"/>
  <c r="R763" i="13" s="1"/>
  <c r="U763" i="13" s="1"/>
  <c r="S765" i="13"/>
  <c r="S763" i="13" s="1"/>
  <c r="L766" i="13"/>
  <c r="M766" i="13"/>
  <c r="P766" i="13" s="1"/>
  <c r="N766" i="13"/>
  <c r="O766" i="13"/>
  <c r="Q766" i="13"/>
  <c r="R766" i="13"/>
  <c r="S766" i="13"/>
  <c r="T766" i="13"/>
  <c r="U766" i="13"/>
  <c r="O767" i="13"/>
  <c r="P767" i="13"/>
  <c r="T767" i="13"/>
  <c r="U767" i="13"/>
  <c r="O768" i="13"/>
  <c r="P768" i="13"/>
  <c r="T768" i="13"/>
  <c r="U768" i="13"/>
  <c r="I770" i="13"/>
  <c r="K770" i="13" s="1"/>
  <c r="I772" i="13"/>
  <c r="I774" i="13"/>
  <c r="I775" i="13"/>
  <c r="I776" i="13"/>
  <c r="H777" i="13"/>
  <c r="I778" i="13"/>
  <c r="J778" i="13"/>
  <c r="I779" i="13"/>
  <c r="J779" i="13"/>
  <c r="I780" i="13"/>
  <c r="J780" i="13"/>
  <c r="I781" i="13"/>
  <c r="J781" i="13"/>
  <c r="I782" i="13"/>
  <c r="K782" i="13" s="1"/>
  <c r="J782" i="13"/>
  <c r="I783" i="13"/>
  <c r="K783" i="13" s="1"/>
  <c r="J783" i="13"/>
  <c r="I784" i="13"/>
  <c r="J784" i="13"/>
  <c r="I785" i="13"/>
  <c r="J785" i="13"/>
  <c r="A788" i="13"/>
  <c r="A789" i="13"/>
  <c r="L22" i="12"/>
  <c r="M22" i="12"/>
  <c r="M19" i="12" s="1"/>
  <c r="N22" i="12"/>
  <c r="Q22" i="12"/>
  <c r="T22" i="12" s="1"/>
  <c r="R22" i="12"/>
  <c r="S22" i="12"/>
  <c r="S19" i="12" s="1"/>
  <c r="L25" i="12"/>
  <c r="M25" i="12"/>
  <c r="N25" i="12"/>
  <c r="Q25" i="12"/>
  <c r="T25" i="12" s="1"/>
  <c r="R25" i="12"/>
  <c r="S25" i="12"/>
  <c r="L45" i="12"/>
  <c r="M45" i="12"/>
  <c r="N45" i="12"/>
  <c r="Q45" i="12"/>
  <c r="T45" i="12" s="1"/>
  <c r="R45" i="12"/>
  <c r="U45" i="12" s="1"/>
  <c r="S45" i="12"/>
  <c r="Q46" i="12"/>
  <c r="R46" i="12"/>
  <c r="S46" i="12"/>
  <c r="U46" i="12"/>
  <c r="Q47" i="12"/>
  <c r="T47" i="12" s="1"/>
  <c r="R47" i="12"/>
  <c r="U47" i="12" s="1"/>
  <c r="S47" i="12"/>
  <c r="O48" i="12"/>
  <c r="P48" i="12"/>
  <c r="T48" i="12"/>
  <c r="U48" i="12"/>
  <c r="L49" i="12"/>
  <c r="M49" i="12"/>
  <c r="M47" i="12" s="1"/>
  <c r="N49" i="12"/>
  <c r="N47" i="12" s="1"/>
  <c r="T49" i="12"/>
  <c r="U49" i="12"/>
  <c r="Q50" i="12"/>
  <c r="T50" i="12" s="1"/>
  <c r="R50" i="12"/>
  <c r="S50" i="12"/>
  <c r="U50" i="12"/>
  <c r="O51" i="12"/>
  <c r="P51" i="12"/>
  <c r="T51" i="12"/>
  <c r="U51" i="12"/>
  <c r="L52" i="12"/>
  <c r="M52" i="12"/>
  <c r="P52" i="12" s="1"/>
  <c r="N52" i="12"/>
  <c r="N50" i="12" s="1"/>
  <c r="T52" i="12"/>
  <c r="U52" i="12"/>
  <c r="L60" i="12"/>
  <c r="O60" i="12" s="1"/>
  <c r="M60" i="12"/>
  <c r="N60" i="12"/>
  <c r="Q60" i="12"/>
  <c r="Q59" i="12" s="1"/>
  <c r="T59" i="12" s="1"/>
  <c r="R60" i="12"/>
  <c r="U60" i="12" s="1"/>
  <c r="S60" i="12"/>
  <c r="T60" i="12"/>
  <c r="Q61" i="12"/>
  <c r="R61" i="12"/>
  <c r="U61" i="12" s="1"/>
  <c r="S61" i="12"/>
  <c r="T61" i="12"/>
  <c r="Q62" i="12"/>
  <c r="T62" i="12" s="1"/>
  <c r="R62" i="12"/>
  <c r="U62" i="12" s="1"/>
  <c r="S62" i="12"/>
  <c r="O63" i="12"/>
  <c r="P63" i="12"/>
  <c r="T63" i="12"/>
  <c r="U63" i="12"/>
  <c r="L64" i="12"/>
  <c r="L62" i="12" s="1"/>
  <c r="M64" i="12"/>
  <c r="M62" i="12" s="1"/>
  <c r="N64" i="12"/>
  <c r="T64" i="12"/>
  <c r="U64" i="12"/>
  <c r="Q65" i="12"/>
  <c r="T65" i="12" s="1"/>
  <c r="R65" i="12"/>
  <c r="S65" i="12"/>
  <c r="U65" i="12"/>
  <c r="O66" i="12"/>
  <c r="P66" i="12"/>
  <c r="T66" i="12"/>
  <c r="U66" i="12"/>
  <c r="L67" i="12"/>
  <c r="M67" i="12"/>
  <c r="N67" i="12"/>
  <c r="N65" i="12" s="1"/>
  <c r="T67" i="12"/>
  <c r="U67" i="12"/>
  <c r="L73" i="12"/>
  <c r="O73" i="12" s="1"/>
  <c r="M73" i="12"/>
  <c r="N73" i="12"/>
  <c r="Q73" i="12"/>
  <c r="R73" i="12"/>
  <c r="U73" i="12" s="1"/>
  <c r="S73" i="12"/>
  <c r="T73" i="12"/>
  <c r="O76" i="12"/>
  <c r="P76" i="12"/>
  <c r="T76" i="12"/>
  <c r="U76" i="12"/>
  <c r="L77" i="12"/>
  <c r="M77" i="12"/>
  <c r="M75" i="12" s="1"/>
  <c r="P75" i="12" s="1"/>
  <c r="N77" i="12"/>
  <c r="N75" i="12" s="1"/>
  <c r="Q77" i="12"/>
  <c r="R77" i="12"/>
  <c r="S77" i="12"/>
  <c r="S75" i="12" s="1"/>
  <c r="O79" i="12"/>
  <c r="P79" i="12"/>
  <c r="T79" i="12"/>
  <c r="U79" i="12"/>
  <c r="L80" i="12"/>
  <c r="L78" i="12" s="1"/>
  <c r="O78" i="12" s="1"/>
  <c r="M80" i="12"/>
  <c r="M78" i="12" s="1"/>
  <c r="P78" i="12" s="1"/>
  <c r="N80" i="12"/>
  <c r="Q80" i="12"/>
  <c r="R80" i="12"/>
  <c r="R78" i="12" s="1"/>
  <c r="U78" i="12" s="1"/>
  <c r="S80" i="12"/>
  <c r="S78" i="12" s="1"/>
  <c r="J82" i="12"/>
  <c r="J70" i="12" s="1"/>
  <c r="J83" i="12"/>
  <c r="J71" i="12" s="1"/>
  <c r="I84" i="12"/>
  <c r="I85" i="12"/>
  <c r="K85" i="12" s="1"/>
  <c r="I86" i="12"/>
  <c r="K86" i="12" s="1"/>
  <c r="I87" i="12"/>
  <c r="I88" i="12"/>
  <c r="K88" i="12" s="1"/>
  <c r="I89" i="12"/>
  <c r="K89" i="12" s="1"/>
  <c r="I90" i="12"/>
  <c r="K90" i="12" s="1"/>
  <c r="J92" i="12"/>
  <c r="J93" i="12"/>
  <c r="L95" i="12"/>
  <c r="M95" i="12"/>
  <c r="P95" i="12" s="1"/>
  <c r="N95" i="12"/>
  <c r="Q95" i="12"/>
  <c r="R95" i="12"/>
  <c r="S95" i="12"/>
  <c r="O98" i="12"/>
  <c r="P98" i="12"/>
  <c r="T98" i="12"/>
  <c r="U98" i="12"/>
  <c r="L99" i="12"/>
  <c r="M99" i="12"/>
  <c r="N99" i="12"/>
  <c r="N97" i="12" s="1"/>
  <c r="Q99" i="12"/>
  <c r="Q97" i="12" s="1"/>
  <c r="T97" i="12" s="1"/>
  <c r="R99" i="12"/>
  <c r="R96" i="12" s="1"/>
  <c r="U96" i="12" s="1"/>
  <c r="S99" i="12"/>
  <c r="S97" i="12" s="1"/>
  <c r="Q100" i="12"/>
  <c r="T100" i="12" s="1"/>
  <c r="R100" i="12"/>
  <c r="S100" i="12"/>
  <c r="U100" i="12"/>
  <c r="O101" i="12"/>
  <c r="P101" i="12"/>
  <c r="T101" i="12"/>
  <c r="U101" i="12"/>
  <c r="L102" i="12"/>
  <c r="M102" i="12"/>
  <c r="N102" i="12"/>
  <c r="T102" i="12"/>
  <c r="U102" i="12"/>
  <c r="I108" i="12"/>
  <c r="I109" i="12"/>
  <c r="K109" i="12" s="1"/>
  <c r="I114" i="12"/>
  <c r="K114" i="12" s="1"/>
  <c r="J116" i="12"/>
  <c r="L118" i="12"/>
  <c r="M118" i="12"/>
  <c r="P118" i="12" s="1"/>
  <c r="N118" i="12"/>
  <c r="Q118" i="12"/>
  <c r="R118" i="12"/>
  <c r="S118" i="12"/>
  <c r="O121" i="12"/>
  <c r="P121" i="12"/>
  <c r="T121" i="12"/>
  <c r="U121" i="12"/>
  <c r="L122" i="12"/>
  <c r="M122" i="12"/>
  <c r="N122" i="12"/>
  <c r="N120" i="12" s="1"/>
  <c r="Q122" i="12"/>
  <c r="Q120" i="12" s="1"/>
  <c r="R122" i="12"/>
  <c r="S122" i="12"/>
  <c r="O124" i="12"/>
  <c r="P124" i="12"/>
  <c r="T124" i="12"/>
  <c r="U124" i="12"/>
  <c r="L125" i="12"/>
  <c r="M125" i="12"/>
  <c r="N125" i="12"/>
  <c r="N123" i="12" s="1"/>
  <c r="Q125" i="12"/>
  <c r="Q123" i="12" s="1"/>
  <c r="T123" i="12" s="1"/>
  <c r="R125" i="12"/>
  <c r="S125" i="12"/>
  <c r="S123" i="12" s="1"/>
  <c r="I127" i="12"/>
  <c r="I116" i="12" s="1"/>
  <c r="I128" i="12"/>
  <c r="K128" i="12" s="1"/>
  <c r="I129" i="12"/>
  <c r="K129" i="12" s="1"/>
  <c r="I130" i="12"/>
  <c r="K130" i="12" s="1"/>
  <c r="J136" i="12"/>
  <c r="J137" i="12"/>
  <c r="J138" i="12"/>
  <c r="L140" i="12"/>
  <c r="M140" i="12"/>
  <c r="P140" i="12" s="1"/>
  <c r="N140" i="12"/>
  <c r="Q140" i="12"/>
  <c r="T140" i="12" s="1"/>
  <c r="R140" i="12"/>
  <c r="S140" i="12"/>
  <c r="O143" i="12"/>
  <c r="P143" i="12"/>
  <c r="T143" i="12"/>
  <c r="U143" i="12"/>
  <c r="L144" i="12"/>
  <c r="L142" i="12" s="1"/>
  <c r="M144" i="12"/>
  <c r="N144" i="12"/>
  <c r="Q144" i="12"/>
  <c r="Q142" i="12" s="1"/>
  <c r="R144" i="12"/>
  <c r="S144" i="12"/>
  <c r="O146" i="12"/>
  <c r="P146" i="12"/>
  <c r="T146" i="12"/>
  <c r="U146" i="12"/>
  <c r="L147" i="12"/>
  <c r="M147" i="12"/>
  <c r="N147" i="12"/>
  <c r="N145" i="12" s="1"/>
  <c r="Q147" i="12"/>
  <c r="T147" i="12" s="1"/>
  <c r="R147" i="12"/>
  <c r="R145" i="12" s="1"/>
  <c r="U145" i="12" s="1"/>
  <c r="S147" i="12"/>
  <c r="I150" i="12"/>
  <c r="K150" i="12" s="1"/>
  <c r="I151" i="12"/>
  <c r="K151" i="12" s="1"/>
  <c r="I152" i="12"/>
  <c r="I153" i="12"/>
  <c r="K153" i="12" s="1"/>
  <c r="I154" i="12"/>
  <c r="J156" i="12"/>
  <c r="L158" i="12"/>
  <c r="O158" i="12" s="1"/>
  <c r="M158" i="12"/>
  <c r="N158" i="12"/>
  <c r="P158" i="12"/>
  <c r="Q158" i="12"/>
  <c r="R158" i="12"/>
  <c r="U158" i="12" s="1"/>
  <c r="S158" i="12"/>
  <c r="O161" i="12"/>
  <c r="P161" i="12"/>
  <c r="T161" i="12"/>
  <c r="U161" i="12"/>
  <c r="L162" i="12"/>
  <c r="M162" i="12"/>
  <c r="P162" i="12" s="1"/>
  <c r="N162" i="12"/>
  <c r="Q162" i="12"/>
  <c r="Q160" i="12" s="1"/>
  <c r="T160" i="12" s="1"/>
  <c r="R162" i="12"/>
  <c r="S162" i="12"/>
  <c r="S160" i="12" s="1"/>
  <c r="Q163" i="12"/>
  <c r="R163" i="12"/>
  <c r="U163" i="12" s="1"/>
  <c r="S163" i="12"/>
  <c r="T163" i="12"/>
  <c r="O164" i="12"/>
  <c r="P164" i="12"/>
  <c r="T164" i="12"/>
  <c r="U164" i="12"/>
  <c r="L165" i="12"/>
  <c r="M165" i="12"/>
  <c r="P165" i="12" s="1"/>
  <c r="N165" i="12"/>
  <c r="N163" i="12" s="1"/>
  <c r="T165" i="12"/>
  <c r="U165" i="12"/>
  <c r="I167" i="12"/>
  <c r="K167" i="12" s="1"/>
  <c r="I168" i="12"/>
  <c r="K168" i="12" s="1"/>
  <c r="I169" i="12"/>
  <c r="J172" i="12"/>
  <c r="L174" i="12"/>
  <c r="O174" i="12" s="1"/>
  <c r="M174" i="12"/>
  <c r="N174" i="12"/>
  <c r="P174" i="12"/>
  <c r="Q174" i="12"/>
  <c r="R174" i="12"/>
  <c r="S174" i="12"/>
  <c r="U174" i="12"/>
  <c r="O177" i="12"/>
  <c r="P177" i="12"/>
  <c r="T177" i="12"/>
  <c r="U177" i="12"/>
  <c r="L178" i="12"/>
  <c r="M178" i="12"/>
  <c r="M176" i="12" s="1"/>
  <c r="N178" i="12"/>
  <c r="Q178" i="12"/>
  <c r="R178" i="12"/>
  <c r="S178" i="12"/>
  <c r="Q179" i="12"/>
  <c r="T179" i="12" s="1"/>
  <c r="R179" i="12"/>
  <c r="S179" i="12"/>
  <c r="U179" i="12"/>
  <c r="O180" i="12"/>
  <c r="P180" i="12"/>
  <c r="T180" i="12"/>
  <c r="U180" i="12"/>
  <c r="L181" i="12"/>
  <c r="M181" i="12"/>
  <c r="N181" i="12"/>
  <c r="N179" i="12" s="1"/>
  <c r="T181" i="12"/>
  <c r="U181" i="12"/>
  <c r="I183" i="12"/>
  <c r="I172" i="12" s="1"/>
  <c r="K172" i="12" s="1"/>
  <c r="K184" i="12"/>
  <c r="L187" i="12"/>
  <c r="O187" i="12" s="1"/>
  <c r="M187" i="12"/>
  <c r="P187" i="12" s="1"/>
  <c r="N187" i="12"/>
  <c r="Q187" i="12"/>
  <c r="T187" i="12" s="1"/>
  <c r="R187" i="12"/>
  <c r="S187" i="12"/>
  <c r="U187" i="12"/>
  <c r="O190" i="12"/>
  <c r="P190" i="12"/>
  <c r="T190" i="12"/>
  <c r="U190" i="12"/>
  <c r="L191" i="12"/>
  <c r="L189" i="12" s="1"/>
  <c r="M191" i="12"/>
  <c r="N191" i="12"/>
  <c r="Q191" i="12"/>
  <c r="R191" i="12"/>
  <c r="S191" i="12"/>
  <c r="S189" i="12" s="1"/>
  <c r="O193" i="12"/>
  <c r="P193" i="12"/>
  <c r="T193" i="12"/>
  <c r="U193" i="12"/>
  <c r="L194" i="12"/>
  <c r="M194" i="12"/>
  <c r="N194" i="12"/>
  <c r="N192" i="12" s="1"/>
  <c r="Q194" i="12"/>
  <c r="T194" i="12" s="1"/>
  <c r="R194" i="12"/>
  <c r="S194" i="12"/>
  <c r="S192" i="12" s="1"/>
  <c r="J195" i="12"/>
  <c r="L196" i="12"/>
  <c r="O196" i="12" s="1"/>
  <c r="P196" i="12"/>
  <c r="I198" i="12"/>
  <c r="I195" i="12" s="1"/>
  <c r="J199" i="12"/>
  <c r="J202" i="12"/>
  <c r="N203" i="12"/>
  <c r="P203" i="12"/>
  <c r="S203" i="12"/>
  <c r="U203" i="12"/>
  <c r="L204" i="12"/>
  <c r="L205" i="12"/>
  <c r="L206" i="12"/>
  <c r="Q206" i="12"/>
  <c r="Q203" i="12" s="1"/>
  <c r="L207" i="12"/>
  <c r="I209" i="12"/>
  <c r="I211" i="12"/>
  <c r="K211" i="12" s="1"/>
  <c r="I212" i="12"/>
  <c r="K212" i="12" s="1"/>
  <c r="J213" i="12"/>
  <c r="N214" i="12"/>
  <c r="P214" i="12"/>
  <c r="S214" i="12"/>
  <c r="U214" i="12"/>
  <c r="L215" i="12"/>
  <c r="L216" i="12"/>
  <c r="L217" i="12"/>
  <c r="Q217" i="12"/>
  <c r="Q214" i="12" s="1"/>
  <c r="T214" i="12" s="1"/>
  <c r="I219" i="12"/>
  <c r="K219" i="12" s="1"/>
  <c r="I220" i="12"/>
  <c r="K220" i="12" s="1"/>
  <c r="J221" i="12"/>
  <c r="N222" i="12"/>
  <c r="P222" i="12"/>
  <c r="L223" i="12"/>
  <c r="L224" i="12"/>
  <c r="L225" i="12"/>
  <c r="I228" i="12"/>
  <c r="K228" i="12" s="1"/>
  <c r="I229" i="12"/>
  <c r="I221" i="12" s="1"/>
  <c r="K221" i="12" s="1"/>
  <c r="I230" i="12"/>
  <c r="K230" i="12" s="1"/>
  <c r="N232" i="12"/>
  <c r="N233" i="12"/>
  <c r="N234" i="12"/>
  <c r="N235" i="12"/>
  <c r="N236" i="12"/>
  <c r="J238" i="12"/>
  <c r="I240" i="12"/>
  <c r="K240" i="12" s="1"/>
  <c r="J240" i="12"/>
  <c r="I241" i="12"/>
  <c r="K241" i="12" s="1"/>
  <c r="J241" i="12"/>
  <c r="J242" i="12"/>
  <c r="N243" i="12"/>
  <c r="P243" i="12"/>
  <c r="L244" i="12"/>
  <c r="L245" i="12"/>
  <c r="L246" i="12"/>
  <c r="L247" i="12"/>
  <c r="I249" i="12"/>
  <c r="K249" i="12" s="1"/>
  <c r="K251" i="12"/>
  <c r="K252" i="12"/>
  <c r="J253" i="12"/>
  <c r="N254" i="12"/>
  <c r="P254" i="12"/>
  <c r="L255" i="12"/>
  <c r="L256" i="12"/>
  <c r="L257" i="12"/>
  <c r="L258" i="12"/>
  <c r="I260" i="12"/>
  <c r="K262" i="12"/>
  <c r="K263" i="12"/>
  <c r="J265" i="12"/>
  <c r="L267" i="12"/>
  <c r="O267" i="12" s="1"/>
  <c r="M267" i="12"/>
  <c r="N267" i="12"/>
  <c r="Q267" i="12"/>
  <c r="T267" i="12" s="1"/>
  <c r="R267" i="12"/>
  <c r="U267" i="12" s="1"/>
  <c r="S267" i="12"/>
  <c r="O270" i="12"/>
  <c r="P270" i="12"/>
  <c r="T270" i="12"/>
  <c r="U270" i="12"/>
  <c r="L271" i="12"/>
  <c r="L269" i="12" s="1"/>
  <c r="M271" i="12"/>
  <c r="M269" i="12" s="1"/>
  <c r="N271" i="12"/>
  <c r="Q271" i="12"/>
  <c r="Q268" i="12" s="1"/>
  <c r="R271" i="12"/>
  <c r="S271" i="12"/>
  <c r="S269" i="12" s="1"/>
  <c r="Q272" i="12"/>
  <c r="T272" i="12" s="1"/>
  <c r="R272" i="12"/>
  <c r="U272" i="12" s="1"/>
  <c r="S272" i="12"/>
  <c r="O273" i="12"/>
  <c r="P273" i="12"/>
  <c r="T273" i="12"/>
  <c r="U273" i="12"/>
  <c r="L274" i="12"/>
  <c r="L272" i="12" s="1"/>
  <c r="O272" i="12" s="1"/>
  <c r="M274" i="12"/>
  <c r="M272" i="12" s="1"/>
  <c r="P272" i="12" s="1"/>
  <c r="N274" i="12"/>
  <c r="N272" i="12" s="1"/>
  <c r="T274" i="12"/>
  <c r="U274" i="12"/>
  <c r="I276" i="12"/>
  <c r="K276" i="12" s="1"/>
  <c r="J280" i="12"/>
  <c r="J281" i="12"/>
  <c r="L283" i="12"/>
  <c r="M283" i="12"/>
  <c r="P283" i="12" s="1"/>
  <c r="N283" i="12"/>
  <c r="Q283" i="12"/>
  <c r="T283" i="12" s="1"/>
  <c r="R283" i="12"/>
  <c r="U283" i="12" s="1"/>
  <c r="S283" i="12"/>
  <c r="Q284" i="12"/>
  <c r="R284" i="12"/>
  <c r="S284" i="12"/>
  <c r="U284" i="12"/>
  <c r="Q285" i="12"/>
  <c r="T285" i="12" s="1"/>
  <c r="R285" i="12"/>
  <c r="U285" i="12" s="1"/>
  <c r="S285" i="12"/>
  <c r="O286" i="12"/>
  <c r="P286" i="12"/>
  <c r="T286" i="12"/>
  <c r="U286" i="12"/>
  <c r="L287" i="12"/>
  <c r="L285" i="12" s="1"/>
  <c r="O285" i="12" s="1"/>
  <c r="M287" i="12"/>
  <c r="N287" i="12"/>
  <c r="T287" i="12"/>
  <c r="U287" i="12"/>
  <c r="Q288" i="12"/>
  <c r="T288" i="12" s="1"/>
  <c r="R288" i="12"/>
  <c r="S288" i="12"/>
  <c r="U288" i="12"/>
  <c r="O289" i="12"/>
  <c r="P289" i="12"/>
  <c r="T289" i="12"/>
  <c r="U289" i="12"/>
  <c r="L290" i="12"/>
  <c r="M290" i="12"/>
  <c r="P290" i="12" s="1"/>
  <c r="N290" i="12"/>
  <c r="N288" i="12" s="1"/>
  <c r="T290" i="12"/>
  <c r="U290" i="12"/>
  <c r="I292" i="12"/>
  <c r="I281" i="12" s="1"/>
  <c r="K281" i="12" s="1"/>
  <c r="I293" i="12"/>
  <c r="J293" i="12"/>
  <c r="I295" i="12"/>
  <c r="K295" i="12" s="1"/>
  <c r="I296" i="12"/>
  <c r="K296" i="12" s="1"/>
  <c r="J302" i="12"/>
  <c r="L304" i="12"/>
  <c r="O304" i="12" s="1"/>
  <c r="M304" i="12"/>
  <c r="P304" i="12" s="1"/>
  <c r="N304" i="12"/>
  <c r="Q304" i="12"/>
  <c r="T304" i="12" s="1"/>
  <c r="R304" i="12"/>
  <c r="S304" i="12"/>
  <c r="U304" i="12"/>
  <c r="O307" i="12"/>
  <c r="P307" i="12"/>
  <c r="T307" i="12"/>
  <c r="U307" i="12"/>
  <c r="L308" i="12"/>
  <c r="M308" i="12"/>
  <c r="P308" i="12" s="1"/>
  <c r="N308" i="12"/>
  <c r="Q308" i="12"/>
  <c r="R308" i="12"/>
  <c r="S308" i="12"/>
  <c r="S305" i="12" s="1"/>
  <c r="Q309" i="12"/>
  <c r="T309" i="12" s="1"/>
  <c r="R309" i="12"/>
  <c r="S309" i="12"/>
  <c r="U309" i="12"/>
  <c r="O310" i="12"/>
  <c r="P310" i="12"/>
  <c r="T310" i="12"/>
  <c r="U310" i="12"/>
  <c r="L311" i="12"/>
  <c r="O311" i="12" s="1"/>
  <c r="M311" i="12"/>
  <c r="N311" i="12"/>
  <c r="N309" i="12" s="1"/>
  <c r="T311" i="12"/>
  <c r="U311" i="12"/>
  <c r="I314" i="12"/>
  <c r="I302" i="12" s="1"/>
  <c r="K302" i="12" s="1"/>
  <c r="J319" i="12"/>
  <c r="L321" i="12"/>
  <c r="O321" i="12" s="1"/>
  <c r="M321" i="12"/>
  <c r="N321" i="12"/>
  <c r="P321" i="12"/>
  <c r="Q321" i="12"/>
  <c r="T321" i="12" s="1"/>
  <c r="R321" i="12"/>
  <c r="S321" i="12"/>
  <c r="S320" i="12" s="1"/>
  <c r="U321" i="12"/>
  <c r="Q322" i="12"/>
  <c r="R322" i="12"/>
  <c r="U322" i="12" s="1"/>
  <c r="S322" i="12"/>
  <c r="Q323" i="12"/>
  <c r="T323" i="12" s="1"/>
  <c r="R323" i="12"/>
  <c r="S323" i="12"/>
  <c r="U323" i="12"/>
  <c r="O324" i="12"/>
  <c r="P324" i="12"/>
  <c r="T324" i="12"/>
  <c r="U324" i="12"/>
  <c r="L325" i="12"/>
  <c r="M325" i="12"/>
  <c r="N325" i="12"/>
  <c r="T325" i="12"/>
  <c r="U325" i="12"/>
  <c r="Q326" i="12"/>
  <c r="T326" i="12" s="1"/>
  <c r="R326" i="12"/>
  <c r="U326" i="12" s="1"/>
  <c r="S326" i="12"/>
  <c r="O327" i="12"/>
  <c r="P327" i="12"/>
  <c r="T327" i="12"/>
  <c r="U327" i="12"/>
  <c r="L328" i="12"/>
  <c r="L326" i="12" s="1"/>
  <c r="O326" i="12" s="1"/>
  <c r="M328" i="12"/>
  <c r="N328" i="12"/>
  <c r="N326" i="12" s="1"/>
  <c r="T328" i="12"/>
  <c r="U328" i="12"/>
  <c r="I330" i="12"/>
  <c r="I319" i="12" s="1"/>
  <c r="K319" i="12" s="1"/>
  <c r="L334" i="12"/>
  <c r="O334" i="12" s="1"/>
  <c r="M334" i="12"/>
  <c r="N334" i="12"/>
  <c r="P334" i="12"/>
  <c r="Q334" i="12"/>
  <c r="R334" i="12"/>
  <c r="U334" i="12" s="1"/>
  <c r="S334" i="12"/>
  <c r="Q335" i="12"/>
  <c r="R335" i="12"/>
  <c r="S335" i="12"/>
  <c r="T335" i="12"/>
  <c r="Q336" i="12"/>
  <c r="T336" i="12" s="1"/>
  <c r="R336" i="12"/>
  <c r="S336" i="12"/>
  <c r="U336" i="12"/>
  <c r="O337" i="12"/>
  <c r="P337" i="12"/>
  <c r="T337" i="12"/>
  <c r="U337" i="12"/>
  <c r="L338" i="12"/>
  <c r="M338" i="12"/>
  <c r="N338" i="12"/>
  <c r="T338" i="12"/>
  <c r="U338" i="12"/>
  <c r="Q339" i="12"/>
  <c r="T339" i="12" s="1"/>
  <c r="R339" i="12"/>
  <c r="U339" i="12" s="1"/>
  <c r="S339" i="12"/>
  <c r="O340" i="12"/>
  <c r="P340" i="12"/>
  <c r="T340" i="12"/>
  <c r="U340" i="12"/>
  <c r="L341" i="12"/>
  <c r="M341" i="12"/>
  <c r="N341" i="12"/>
  <c r="N339" i="12" s="1"/>
  <c r="T341" i="12"/>
  <c r="U341" i="12"/>
  <c r="I344" i="12"/>
  <c r="J344" i="12"/>
  <c r="I346" i="12"/>
  <c r="J346" i="12"/>
  <c r="J347" i="12"/>
  <c r="J348" i="12"/>
  <c r="J349" i="12"/>
  <c r="D350" i="12"/>
  <c r="J352" i="12"/>
  <c r="J353" i="12"/>
  <c r="D354" i="12"/>
  <c r="L357" i="12"/>
  <c r="O357" i="12" s="1"/>
  <c r="M357" i="12"/>
  <c r="N357" i="12"/>
  <c r="Q357" i="12"/>
  <c r="T357" i="12" s="1"/>
  <c r="R357" i="12"/>
  <c r="U357" i="12" s="1"/>
  <c r="S357" i="12"/>
  <c r="S356" i="12" s="1"/>
  <c r="Q358" i="12"/>
  <c r="R358" i="12"/>
  <c r="S358" i="12"/>
  <c r="U358" i="12"/>
  <c r="Q359" i="12"/>
  <c r="T359" i="12" s="1"/>
  <c r="R359" i="12"/>
  <c r="U359" i="12" s="1"/>
  <c r="S359" i="12"/>
  <c r="O360" i="12"/>
  <c r="P360" i="12"/>
  <c r="T360" i="12"/>
  <c r="U360" i="12"/>
  <c r="L361" i="12"/>
  <c r="L359" i="12" s="1"/>
  <c r="M361" i="12"/>
  <c r="M359" i="12" s="1"/>
  <c r="N361" i="12"/>
  <c r="T361" i="12"/>
  <c r="U361" i="12"/>
  <c r="Q362" i="12"/>
  <c r="R362" i="12"/>
  <c r="U362" i="12" s="1"/>
  <c r="S362" i="12"/>
  <c r="T362" i="12"/>
  <c r="O363" i="12"/>
  <c r="P363" i="12"/>
  <c r="T363" i="12"/>
  <c r="U363" i="12"/>
  <c r="L364" i="12"/>
  <c r="M364" i="12"/>
  <c r="N364" i="12"/>
  <c r="N362" i="12" s="1"/>
  <c r="T364" i="12"/>
  <c r="U364" i="12"/>
  <c r="J367" i="12"/>
  <c r="K367" i="12"/>
  <c r="I368" i="12"/>
  <c r="J368" i="12"/>
  <c r="I369" i="12"/>
  <c r="J369" i="12"/>
  <c r="J370" i="12"/>
  <c r="K370" i="12"/>
  <c r="I371" i="12"/>
  <c r="I365" i="12" s="1"/>
  <c r="J371" i="12"/>
  <c r="J365" i="12" s="1"/>
  <c r="J372" i="12"/>
  <c r="K372" i="12"/>
  <c r="D373" i="12"/>
  <c r="L376" i="12"/>
  <c r="M376" i="12"/>
  <c r="P376" i="12" s="1"/>
  <c r="N376" i="12"/>
  <c r="O376" i="12"/>
  <c r="Q376" i="12"/>
  <c r="R376" i="12"/>
  <c r="S376" i="12"/>
  <c r="T376" i="12"/>
  <c r="U376" i="12"/>
  <c r="O379" i="12"/>
  <c r="P379" i="12"/>
  <c r="T379" i="12"/>
  <c r="U379" i="12"/>
  <c r="L380" i="12"/>
  <c r="O380" i="12" s="1"/>
  <c r="M380" i="12"/>
  <c r="N380" i="12"/>
  <c r="N378" i="12" s="1"/>
  <c r="Q380" i="12"/>
  <c r="R380" i="12"/>
  <c r="R377" i="12" s="1"/>
  <c r="S380" i="12"/>
  <c r="Q381" i="12"/>
  <c r="R381" i="12"/>
  <c r="U381" i="12" s="1"/>
  <c r="S381" i="12"/>
  <c r="T381" i="12"/>
  <c r="O382" i="12"/>
  <c r="P382" i="12"/>
  <c r="T382" i="12"/>
  <c r="U382" i="12"/>
  <c r="L383" i="12"/>
  <c r="O383" i="12" s="1"/>
  <c r="M383" i="12"/>
  <c r="N383" i="12"/>
  <c r="N381" i="12" s="1"/>
  <c r="T383" i="12"/>
  <c r="U383" i="12"/>
  <c r="J385" i="12"/>
  <c r="K385" i="12"/>
  <c r="I386" i="12"/>
  <c r="J386" i="12"/>
  <c r="J387" i="12"/>
  <c r="K387" i="12"/>
  <c r="I388" i="12"/>
  <c r="K388" i="12" s="1"/>
  <c r="J388" i="12"/>
  <c r="I391" i="12"/>
  <c r="K391" i="12" s="1"/>
  <c r="J391" i="12"/>
  <c r="L393" i="12"/>
  <c r="M393" i="12"/>
  <c r="N393" i="12"/>
  <c r="P393" i="12"/>
  <c r="Q393" i="12"/>
  <c r="R393" i="12"/>
  <c r="S393" i="12"/>
  <c r="L394" i="12"/>
  <c r="O394" i="12" s="1"/>
  <c r="M394" i="12"/>
  <c r="N394" i="12"/>
  <c r="L395" i="12"/>
  <c r="M395" i="12"/>
  <c r="P395" i="12" s="1"/>
  <c r="N395" i="12"/>
  <c r="O395" i="12"/>
  <c r="O396" i="12"/>
  <c r="P396" i="12"/>
  <c r="T396" i="12"/>
  <c r="U396" i="12"/>
  <c r="O397" i="12"/>
  <c r="P397" i="12"/>
  <c r="Q397" i="12"/>
  <c r="R397" i="12"/>
  <c r="R395" i="12" s="1"/>
  <c r="U395" i="12" s="1"/>
  <c r="S397" i="12"/>
  <c r="L398" i="12"/>
  <c r="O398" i="12" s="1"/>
  <c r="M398" i="12"/>
  <c r="P398" i="12" s="1"/>
  <c r="N398" i="12"/>
  <c r="Q398" i="12"/>
  <c r="T398" i="12" s="1"/>
  <c r="R398" i="12"/>
  <c r="U398" i="12" s="1"/>
  <c r="S398" i="12"/>
  <c r="O399" i="12"/>
  <c r="P399" i="12"/>
  <c r="T399" i="12"/>
  <c r="U399" i="12"/>
  <c r="O400" i="12"/>
  <c r="P400" i="12"/>
  <c r="T400" i="12"/>
  <c r="U400" i="12"/>
  <c r="L414" i="12"/>
  <c r="M414" i="12"/>
  <c r="P414" i="12" s="1"/>
  <c r="N414" i="12"/>
  <c r="Q414" i="12"/>
  <c r="R414" i="12"/>
  <c r="S414" i="12"/>
  <c r="O417" i="12"/>
  <c r="P417" i="12"/>
  <c r="T417" i="12"/>
  <c r="U417" i="12"/>
  <c r="L418" i="12"/>
  <c r="M418" i="12"/>
  <c r="N418" i="12"/>
  <c r="N416" i="12" s="1"/>
  <c r="Q418" i="12"/>
  <c r="Q416" i="12" s="1"/>
  <c r="T416" i="12" s="1"/>
  <c r="R418" i="12"/>
  <c r="R415" i="12" s="1"/>
  <c r="U415" i="12" s="1"/>
  <c r="S418" i="12"/>
  <c r="S416" i="12" s="1"/>
  <c r="Q419" i="12"/>
  <c r="R419" i="12"/>
  <c r="S419" i="12"/>
  <c r="T419" i="12"/>
  <c r="U419" i="12"/>
  <c r="O420" i="12"/>
  <c r="P420" i="12"/>
  <c r="T420" i="12"/>
  <c r="U420" i="12"/>
  <c r="L421" i="12"/>
  <c r="M421" i="12"/>
  <c r="N421" i="12"/>
  <c r="N419" i="12" s="1"/>
  <c r="T421" i="12"/>
  <c r="U421" i="12"/>
  <c r="J423" i="12"/>
  <c r="J412" i="12" s="1"/>
  <c r="I424" i="12"/>
  <c r="K424" i="12" s="1"/>
  <c r="J424" i="12"/>
  <c r="I425" i="12"/>
  <c r="K425" i="12" s="1"/>
  <c r="J425" i="12"/>
  <c r="I432" i="12"/>
  <c r="K432" i="12" s="1"/>
  <c r="J432" i="12"/>
  <c r="I433" i="12"/>
  <c r="K433" i="12" s="1"/>
  <c r="J433" i="12"/>
  <c r="I440" i="12"/>
  <c r="I423" i="12" s="1"/>
  <c r="K423" i="12" s="1"/>
  <c r="J440" i="12"/>
  <c r="I441" i="12"/>
  <c r="K441" i="12" s="1"/>
  <c r="J446" i="12"/>
  <c r="J447" i="12"/>
  <c r="J441" i="12" s="1"/>
  <c r="I457" i="12"/>
  <c r="I458" i="12"/>
  <c r="K458" i="12" s="1"/>
  <c r="J459" i="12"/>
  <c r="J460" i="12"/>
  <c r="J467" i="12"/>
  <c r="J468" i="12"/>
  <c r="J475" i="12"/>
  <c r="K475" i="12"/>
  <c r="J476" i="12"/>
  <c r="K476" i="12"/>
  <c r="J477" i="12"/>
  <c r="K477" i="12"/>
  <c r="J482" i="12"/>
  <c r="J483" i="12"/>
  <c r="I484" i="12"/>
  <c r="J484" i="12"/>
  <c r="K484" i="12"/>
  <c r="I485" i="12"/>
  <c r="J485" i="12"/>
  <c r="K485" i="12"/>
  <c r="L494" i="12"/>
  <c r="M494" i="12"/>
  <c r="P494" i="12" s="1"/>
  <c r="N494" i="12"/>
  <c r="O494" i="12"/>
  <c r="Q494" i="12"/>
  <c r="T494" i="12" s="1"/>
  <c r="R494" i="12"/>
  <c r="S494" i="12"/>
  <c r="U494" i="12"/>
  <c r="O497" i="12"/>
  <c r="P497" i="12"/>
  <c r="T497" i="12"/>
  <c r="U497" i="12"/>
  <c r="L498" i="12"/>
  <c r="O498" i="12" s="1"/>
  <c r="M498" i="12"/>
  <c r="N498" i="12"/>
  <c r="N496" i="12" s="1"/>
  <c r="Q498" i="12"/>
  <c r="R498" i="12"/>
  <c r="S498" i="12"/>
  <c r="S495" i="12" s="1"/>
  <c r="S493" i="12" s="1"/>
  <c r="Q499" i="12"/>
  <c r="T499" i="12" s="1"/>
  <c r="R499" i="12"/>
  <c r="U499" i="12" s="1"/>
  <c r="S499" i="12"/>
  <c r="O500" i="12"/>
  <c r="P500" i="12"/>
  <c r="T500" i="12"/>
  <c r="U500" i="12"/>
  <c r="L501" i="12"/>
  <c r="O501" i="12" s="1"/>
  <c r="M501" i="12"/>
  <c r="M499" i="12" s="1"/>
  <c r="P499" i="12" s="1"/>
  <c r="N501" i="12"/>
  <c r="N499" i="12" s="1"/>
  <c r="T501" i="12"/>
  <c r="U501" i="12"/>
  <c r="I503" i="12"/>
  <c r="I504" i="12"/>
  <c r="K504" i="12" s="1"/>
  <c r="I505" i="12"/>
  <c r="K505" i="12" s="1"/>
  <c r="I506" i="12"/>
  <c r="K506" i="12" s="1"/>
  <c r="I507" i="12"/>
  <c r="K507" i="12" s="1"/>
  <c r="K508" i="12"/>
  <c r="I509" i="12"/>
  <c r="K509" i="12" s="1"/>
  <c r="I512" i="12"/>
  <c r="J512" i="12"/>
  <c r="K512" i="12"/>
  <c r="L514" i="12"/>
  <c r="M514" i="12"/>
  <c r="P514" i="12" s="1"/>
  <c r="N514" i="12"/>
  <c r="Q514" i="12"/>
  <c r="T514" i="12" s="1"/>
  <c r="R514" i="12"/>
  <c r="S514" i="12"/>
  <c r="S513" i="12" s="1"/>
  <c r="Q515" i="12"/>
  <c r="R515" i="12"/>
  <c r="U515" i="12" s="1"/>
  <c r="S515" i="12"/>
  <c r="T515" i="12"/>
  <c r="Q516" i="12"/>
  <c r="T516" i="12" s="1"/>
  <c r="R516" i="12"/>
  <c r="U516" i="12" s="1"/>
  <c r="S516" i="12"/>
  <c r="O517" i="12"/>
  <c r="P517" i="12"/>
  <c r="T517" i="12"/>
  <c r="U517" i="12"/>
  <c r="L518" i="12"/>
  <c r="M518" i="12"/>
  <c r="M516" i="12" s="1"/>
  <c r="P516" i="12" s="1"/>
  <c r="N518" i="12"/>
  <c r="N516" i="12" s="1"/>
  <c r="T518" i="12"/>
  <c r="U518" i="12"/>
  <c r="Q519" i="12"/>
  <c r="T519" i="12" s="1"/>
  <c r="R519" i="12"/>
  <c r="U519" i="12" s="1"/>
  <c r="S519" i="12"/>
  <c r="O520" i="12"/>
  <c r="P520" i="12"/>
  <c r="T520" i="12"/>
  <c r="U520" i="12"/>
  <c r="L521" i="12"/>
  <c r="O521" i="12" s="1"/>
  <c r="M521" i="12"/>
  <c r="N521" i="12"/>
  <c r="T521" i="12"/>
  <c r="U521" i="12"/>
  <c r="K523" i="12"/>
  <c r="K524" i="12"/>
  <c r="I533" i="12"/>
  <c r="J533" i="12"/>
  <c r="K533" i="12"/>
  <c r="L535" i="12"/>
  <c r="O535" i="12" s="1"/>
  <c r="M535" i="12"/>
  <c r="N535" i="12"/>
  <c r="Q535" i="12"/>
  <c r="T535" i="12" s="1"/>
  <c r="R535" i="12"/>
  <c r="S535" i="12"/>
  <c r="S534" i="12" s="1"/>
  <c r="Q536" i="12"/>
  <c r="T536" i="12" s="1"/>
  <c r="R536" i="12"/>
  <c r="S536" i="12"/>
  <c r="U536" i="12"/>
  <c r="Q537" i="12"/>
  <c r="R537" i="12"/>
  <c r="U537" i="12" s="1"/>
  <c r="S537" i="12"/>
  <c r="T537" i="12"/>
  <c r="O538" i="12"/>
  <c r="P538" i="12"/>
  <c r="T538" i="12"/>
  <c r="U538" i="12"/>
  <c r="L539" i="12"/>
  <c r="L537" i="12" s="1"/>
  <c r="O537" i="12" s="1"/>
  <c r="M539" i="12"/>
  <c r="N539" i="12"/>
  <c r="N537" i="12" s="1"/>
  <c r="T539" i="12"/>
  <c r="U539" i="12"/>
  <c r="Q540" i="12"/>
  <c r="T540" i="12" s="1"/>
  <c r="R540" i="12"/>
  <c r="S540" i="12"/>
  <c r="U540" i="12"/>
  <c r="O541" i="12"/>
  <c r="P541" i="12"/>
  <c r="T541" i="12"/>
  <c r="U541" i="12"/>
  <c r="L542" i="12"/>
  <c r="L540" i="12" s="1"/>
  <c r="O540" i="12" s="1"/>
  <c r="M542" i="12"/>
  <c r="P542" i="12" s="1"/>
  <c r="N542" i="12"/>
  <c r="N540" i="12" s="1"/>
  <c r="T542" i="12"/>
  <c r="U542" i="12"/>
  <c r="I554" i="12"/>
  <c r="J554" i="12"/>
  <c r="K554" i="12"/>
  <c r="L556" i="12"/>
  <c r="M556" i="12"/>
  <c r="N556" i="12"/>
  <c r="P556" i="12"/>
  <c r="Q556" i="12"/>
  <c r="R556" i="12"/>
  <c r="S556" i="12"/>
  <c r="Q557" i="12"/>
  <c r="R557" i="12"/>
  <c r="U557" i="12" s="1"/>
  <c r="S557" i="12"/>
  <c r="T557" i="12"/>
  <c r="Q558" i="12"/>
  <c r="T558" i="12" s="1"/>
  <c r="R558" i="12"/>
  <c r="S558" i="12"/>
  <c r="U558" i="12"/>
  <c r="O559" i="12"/>
  <c r="P559" i="12"/>
  <c r="T559" i="12"/>
  <c r="U559" i="12"/>
  <c r="L560" i="12"/>
  <c r="L558" i="12" s="1"/>
  <c r="O558" i="12" s="1"/>
  <c r="M560" i="12"/>
  <c r="P560" i="12" s="1"/>
  <c r="N560" i="12"/>
  <c r="N558" i="12" s="1"/>
  <c r="T560" i="12"/>
  <c r="U560" i="12"/>
  <c r="Q561" i="12"/>
  <c r="T561" i="12" s="1"/>
  <c r="R561" i="12"/>
  <c r="U561" i="12" s="1"/>
  <c r="S561" i="12"/>
  <c r="O562" i="12"/>
  <c r="P562" i="12"/>
  <c r="T562" i="12"/>
  <c r="U562" i="12"/>
  <c r="L563" i="12"/>
  <c r="L561" i="12" s="1"/>
  <c r="O561" i="12" s="1"/>
  <c r="M563" i="12"/>
  <c r="N563" i="12"/>
  <c r="N561" i="12" s="1"/>
  <c r="T563" i="12"/>
  <c r="U563" i="12"/>
  <c r="I575" i="12"/>
  <c r="K575" i="12" s="1"/>
  <c r="J575" i="12"/>
  <c r="L577" i="12"/>
  <c r="M577" i="12"/>
  <c r="P577" i="12" s="1"/>
  <c r="N577" i="12"/>
  <c r="O577" i="12"/>
  <c r="Q577" i="12"/>
  <c r="R577" i="12"/>
  <c r="S577" i="12"/>
  <c r="T577" i="12"/>
  <c r="U577" i="12"/>
  <c r="Q578" i="12"/>
  <c r="Q576" i="12" s="1"/>
  <c r="T576" i="12" s="1"/>
  <c r="R578" i="12"/>
  <c r="U578" i="12" s="1"/>
  <c r="S578" i="12"/>
  <c r="Q579" i="12"/>
  <c r="T579" i="12" s="1"/>
  <c r="R579" i="12"/>
  <c r="U579" i="12" s="1"/>
  <c r="S579" i="12"/>
  <c r="O580" i="12"/>
  <c r="P580" i="12"/>
  <c r="T580" i="12"/>
  <c r="U580" i="12"/>
  <c r="L581" i="12"/>
  <c r="L579" i="12" s="1"/>
  <c r="O579" i="12" s="1"/>
  <c r="M581" i="12"/>
  <c r="N581" i="12"/>
  <c r="N579" i="12" s="1"/>
  <c r="T581" i="12"/>
  <c r="U581" i="12"/>
  <c r="Q582" i="12"/>
  <c r="R582" i="12"/>
  <c r="S582" i="12"/>
  <c r="T582" i="12"/>
  <c r="U582" i="12"/>
  <c r="O583" i="12"/>
  <c r="P583" i="12"/>
  <c r="T583" i="12"/>
  <c r="U583" i="12"/>
  <c r="L584" i="12"/>
  <c r="L582" i="12" s="1"/>
  <c r="O582" i="12" s="1"/>
  <c r="M584" i="12"/>
  <c r="N584" i="12"/>
  <c r="N582" i="12" s="1"/>
  <c r="T584" i="12"/>
  <c r="U584" i="12"/>
  <c r="L600" i="12"/>
  <c r="M600" i="12"/>
  <c r="N600" i="12"/>
  <c r="Q600" i="12"/>
  <c r="R600" i="12"/>
  <c r="S600" i="12"/>
  <c r="T600" i="12"/>
  <c r="O603" i="12"/>
  <c r="P603" i="12"/>
  <c r="T603" i="12"/>
  <c r="U603" i="12"/>
  <c r="L604" i="12"/>
  <c r="L602" i="12" s="1"/>
  <c r="M604" i="12"/>
  <c r="N604" i="12"/>
  <c r="N602" i="12" s="1"/>
  <c r="Q604" i="12"/>
  <c r="R604" i="12"/>
  <c r="R602" i="12" s="1"/>
  <c r="U602" i="12" s="1"/>
  <c r="S604" i="12"/>
  <c r="S602" i="12" s="1"/>
  <c r="O606" i="12"/>
  <c r="P606" i="12"/>
  <c r="T606" i="12"/>
  <c r="U606" i="12"/>
  <c r="L607" i="12"/>
  <c r="O607" i="12" s="1"/>
  <c r="M607" i="12"/>
  <c r="P607" i="12" s="1"/>
  <c r="N607" i="12"/>
  <c r="Q607" i="12"/>
  <c r="Q605" i="12" s="1"/>
  <c r="T605" i="12" s="1"/>
  <c r="R607" i="12"/>
  <c r="S607" i="12"/>
  <c r="L617" i="12"/>
  <c r="O617" i="12" s="1"/>
  <c r="M617" i="12"/>
  <c r="N617" i="12"/>
  <c r="P617" i="12"/>
  <c r="Q617" i="12"/>
  <c r="R617" i="12"/>
  <c r="U617" i="12" s="1"/>
  <c r="S617" i="12"/>
  <c r="L618" i="12"/>
  <c r="O618" i="12" s="1"/>
  <c r="M618" i="12"/>
  <c r="P618" i="12" s="1"/>
  <c r="N618" i="12"/>
  <c r="N616" i="12" s="1"/>
  <c r="L619" i="12"/>
  <c r="M619" i="12"/>
  <c r="N619" i="12"/>
  <c r="O619" i="12"/>
  <c r="P619" i="12"/>
  <c r="O620" i="12"/>
  <c r="P620" i="12"/>
  <c r="T620" i="12"/>
  <c r="U620" i="12"/>
  <c r="O621" i="12"/>
  <c r="P621" i="12"/>
  <c r="Q621" i="12"/>
  <c r="Q619" i="12" s="1"/>
  <c r="R621" i="12"/>
  <c r="S621" i="12"/>
  <c r="S618" i="12" s="1"/>
  <c r="S616" i="12" s="1"/>
  <c r="L622" i="12"/>
  <c r="O622" i="12" s="1"/>
  <c r="M622" i="12"/>
  <c r="P622" i="12" s="1"/>
  <c r="N622" i="12"/>
  <c r="Q622" i="12"/>
  <c r="R622" i="12"/>
  <c r="U622" i="12" s="1"/>
  <c r="S622" i="12"/>
  <c r="T622" i="12"/>
  <c r="O623" i="12"/>
  <c r="P623" i="12"/>
  <c r="T623" i="12"/>
  <c r="U623" i="12"/>
  <c r="O624" i="12"/>
  <c r="P624" i="12"/>
  <c r="T624" i="12"/>
  <c r="U624" i="12"/>
  <c r="I626" i="12"/>
  <c r="K629" i="12" s="1"/>
  <c r="I627" i="12"/>
  <c r="K627" i="12" s="1"/>
  <c r="I628" i="12"/>
  <c r="K628" i="12" s="1"/>
  <c r="J632" i="12"/>
  <c r="J626" i="12" s="1"/>
  <c r="J615" i="12" s="1"/>
  <c r="I635" i="12"/>
  <c r="K635" i="12" s="1"/>
  <c r="J636" i="12"/>
  <c r="J635" i="12" s="1"/>
  <c r="L643" i="12"/>
  <c r="M643" i="12"/>
  <c r="N643" i="12"/>
  <c r="P643" i="12"/>
  <c r="Q643" i="12"/>
  <c r="R643" i="12"/>
  <c r="S643" i="12"/>
  <c r="L644" i="12"/>
  <c r="O644" i="12" s="1"/>
  <c r="M644" i="12"/>
  <c r="N644" i="12"/>
  <c r="N642" i="12" s="1"/>
  <c r="L645" i="12"/>
  <c r="O645" i="12" s="1"/>
  <c r="M645" i="12"/>
  <c r="N645" i="12"/>
  <c r="P645" i="12"/>
  <c r="O646" i="12"/>
  <c r="P646" i="12"/>
  <c r="T646" i="12"/>
  <c r="U646" i="12"/>
  <c r="O647" i="12"/>
  <c r="P647" i="12"/>
  <c r="Q647" i="12"/>
  <c r="R647" i="12"/>
  <c r="S647" i="12"/>
  <c r="S645" i="12" s="1"/>
  <c r="L648" i="12"/>
  <c r="O648" i="12" s="1"/>
  <c r="M648" i="12"/>
  <c r="P648" i="12" s="1"/>
  <c r="N648" i="12"/>
  <c r="Q648" i="12"/>
  <c r="T648" i="12" s="1"/>
  <c r="R648" i="12"/>
  <c r="U648" i="12" s="1"/>
  <c r="S648" i="12"/>
  <c r="O649" i="12"/>
  <c r="P649" i="12"/>
  <c r="T649" i="12"/>
  <c r="U649" i="12"/>
  <c r="O650" i="12"/>
  <c r="P650" i="12"/>
  <c r="T650" i="12"/>
  <c r="U650" i="12"/>
  <c r="I652" i="12"/>
  <c r="K652" i="12" s="1"/>
  <c r="J652" i="12"/>
  <c r="I653" i="12"/>
  <c r="K653" i="12" s="1"/>
  <c r="J653" i="12"/>
  <c r="I654" i="12"/>
  <c r="K654" i="12" s="1"/>
  <c r="J654" i="12"/>
  <c r="I657" i="12"/>
  <c r="I660" i="12"/>
  <c r="I661" i="12"/>
  <c r="K661" i="12" s="1"/>
  <c r="J661" i="12"/>
  <c r="J671" i="12"/>
  <c r="J672" i="12"/>
  <c r="I673" i="12"/>
  <c r="K673" i="12" s="1"/>
  <c r="J673" i="12"/>
  <c r="I674" i="12"/>
  <c r="K674" i="12" s="1"/>
  <c r="I675" i="12"/>
  <c r="K675" i="12" s="1"/>
  <c r="I676" i="12"/>
  <c r="K676" i="12" s="1"/>
  <c r="J676" i="12"/>
  <c r="J677" i="12"/>
  <c r="I678" i="12"/>
  <c r="K678" i="12" s="1"/>
  <c r="J678" i="12"/>
  <c r="I679" i="12"/>
  <c r="K679" i="12" s="1"/>
  <c r="J679" i="12"/>
  <c r="J680" i="12"/>
  <c r="I681" i="12"/>
  <c r="K681" i="12" s="1"/>
  <c r="J681" i="12"/>
  <c r="I682" i="12"/>
  <c r="K682" i="12" s="1"/>
  <c r="J682" i="12"/>
  <c r="P690" i="12"/>
  <c r="L691" i="12"/>
  <c r="O691" i="12" s="1"/>
  <c r="M691" i="12"/>
  <c r="N691" i="12"/>
  <c r="P691" i="12"/>
  <c r="Q691" i="12"/>
  <c r="T691" i="12" s="1"/>
  <c r="R691" i="12"/>
  <c r="U691" i="12" s="1"/>
  <c r="S691" i="12"/>
  <c r="L692" i="12"/>
  <c r="O692" i="12" s="1"/>
  <c r="M692" i="12"/>
  <c r="M690" i="12" s="1"/>
  <c r="N692" i="12"/>
  <c r="L693" i="12"/>
  <c r="M693" i="12"/>
  <c r="N693" i="12"/>
  <c r="O693" i="12"/>
  <c r="P693" i="12"/>
  <c r="O694" i="12"/>
  <c r="P694" i="12"/>
  <c r="T694" i="12"/>
  <c r="U694" i="12"/>
  <c r="O695" i="12"/>
  <c r="P695" i="12"/>
  <c r="Q695" i="12"/>
  <c r="R695" i="12"/>
  <c r="R692" i="12" s="1"/>
  <c r="S695" i="12"/>
  <c r="S693" i="12" s="1"/>
  <c r="L696" i="12"/>
  <c r="O696" i="12" s="1"/>
  <c r="M696" i="12"/>
  <c r="P696" i="12" s="1"/>
  <c r="N696" i="12"/>
  <c r="Q696" i="12"/>
  <c r="T696" i="12" s="1"/>
  <c r="R696" i="12"/>
  <c r="S696" i="12"/>
  <c r="U696" i="12"/>
  <c r="O697" i="12"/>
  <c r="P697" i="12"/>
  <c r="T697" i="12"/>
  <c r="U697" i="12"/>
  <c r="O698" i="12"/>
  <c r="P698" i="12"/>
  <c r="T698" i="12"/>
  <c r="U698" i="12"/>
  <c r="I700" i="12"/>
  <c r="K700" i="12" s="1"/>
  <c r="K702" i="12"/>
  <c r="I703" i="12"/>
  <c r="K703" i="12" s="1"/>
  <c r="J703" i="12"/>
  <c r="J704" i="12"/>
  <c r="K704" i="12"/>
  <c r="I705" i="12"/>
  <c r="J705" i="12"/>
  <c r="J706" i="12"/>
  <c r="K706" i="12"/>
  <c r="I707" i="12"/>
  <c r="J707" i="12"/>
  <c r="J689" i="12" s="1"/>
  <c r="J708" i="12"/>
  <c r="K708" i="12"/>
  <c r="I709" i="12"/>
  <c r="J709" i="12"/>
  <c r="J710" i="12"/>
  <c r="K710" i="12"/>
  <c r="J712" i="12"/>
  <c r="K712" i="12"/>
  <c r="S714" i="12"/>
  <c r="L715" i="12"/>
  <c r="O715" i="12" s="1"/>
  <c r="M715" i="12"/>
  <c r="P715" i="12" s="1"/>
  <c r="N715" i="12"/>
  <c r="Q715" i="12"/>
  <c r="R715" i="12"/>
  <c r="R714" i="12" s="1"/>
  <c r="U714" i="12" s="1"/>
  <c r="S715" i="12"/>
  <c r="T715" i="12"/>
  <c r="L716" i="12"/>
  <c r="O716" i="12" s="1"/>
  <c r="M716" i="12"/>
  <c r="N716" i="12"/>
  <c r="N714" i="12" s="1"/>
  <c r="P716" i="12"/>
  <c r="Q716" i="12"/>
  <c r="Q714" i="12" s="1"/>
  <c r="T714" i="12" s="1"/>
  <c r="R716" i="12"/>
  <c r="U716" i="12" s="1"/>
  <c r="S716" i="12"/>
  <c r="L717" i="12"/>
  <c r="O717" i="12" s="1"/>
  <c r="M717" i="12"/>
  <c r="P717" i="12" s="1"/>
  <c r="N717" i="12"/>
  <c r="Q717" i="12"/>
  <c r="T717" i="12" s="1"/>
  <c r="R717" i="12"/>
  <c r="U717" i="12" s="1"/>
  <c r="S717" i="12"/>
  <c r="O718" i="12"/>
  <c r="P718" i="12"/>
  <c r="T718" i="12"/>
  <c r="U718" i="12"/>
  <c r="O719" i="12"/>
  <c r="P719" i="12"/>
  <c r="T719" i="12"/>
  <c r="U719" i="12"/>
  <c r="L720" i="12"/>
  <c r="O720" i="12" s="1"/>
  <c r="M720" i="12"/>
  <c r="P720" i="12" s="1"/>
  <c r="N720" i="12"/>
  <c r="Q720" i="12"/>
  <c r="R720" i="12"/>
  <c r="U720" i="12" s="1"/>
  <c r="S720" i="12"/>
  <c r="T720" i="12"/>
  <c r="O721" i="12"/>
  <c r="P721" i="12"/>
  <c r="T721" i="12"/>
  <c r="U721" i="12"/>
  <c r="O722" i="12"/>
  <c r="P722" i="12"/>
  <c r="T722" i="12"/>
  <c r="U722" i="12"/>
  <c r="I726" i="12"/>
  <c r="J726" i="12"/>
  <c r="I727" i="12"/>
  <c r="J727" i="12"/>
  <c r="L729" i="12"/>
  <c r="O729" i="12" s="1"/>
  <c r="M729" i="12"/>
  <c r="M728" i="12" s="1"/>
  <c r="P728" i="12" s="1"/>
  <c r="N729" i="12"/>
  <c r="Q729" i="12"/>
  <c r="R729" i="12"/>
  <c r="S729" i="12"/>
  <c r="T729" i="12"/>
  <c r="L730" i="12"/>
  <c r="O730" i="12" s="1"/>
  <c r="M730" i="12"/>
  <c r="N730" i="12"/>
  <c r="P730" i="12"/>
  <c r="L731" i="12"/>
  <c r="O731" i="12" s="1"/>
  <c r="M731" i="12"/>
  <c r="P731" i="12" s="1"/>
  <c r="N731" i="12"/>
  <c r="O732" i="12"/>
  <c r="P732" i="12"/>
  <c r="T732" i="12"/>
  <c r="U732" i="12"/>
  <c r="O733" i="12"/>
  <c r="P733" i="12"/>
  <c r="Q733" i="12"/>
  <c r="Q731" i="12" s="1"/>
  <c r="R733" i="12"/>
  <c r="R730" i="12" s="1"/>
  <c r="S733" i="12"/>
  <c r="L734" i="12"/>
  <c r="O734" i="12" s="1"/>
  <c r="M734" i="12"/>
  <c r="P734" i="12" s="1"/>
  <c r="N734" i="12"/>
  <c r="Q734" i="12"/>
  <c r="T734" i="12" s="1"/>
  <c r="R734" i="12"/>
  <c r="S734" i="12"/>
  <c r="U734" i="12"/>
  <c r="O735" i="12"/>
  <c r="P735" i="12"/>
  <c r="T735" i="12"/>
  <c r="U735" i="12"/>
  <c r="O736" i="12"/>
  <c r="P736" i="12"/>
  <c r="T736" i="12"/>
  <c r="U736" i="12"/>
  <c r="I740" i="12"/>
  <c r="K740" i="12" s="1"/>
  <c r="I742" i="12"/>
  <c r="K742" i="12" s="1"/>
  <c r="I744" i="12"/>
  <c r="K744" i="12" s="1"/>
  <c r="I746" i="12"/>
  <c r="K746" i="12" s="1"/>
  <c r="I749" i="12"/>
  <c r="K749" i="12" s="1"/>
  <c r="I752" i="12"/>
  <c r="K752" i="12" s="1"/>
  <c r="I755" i="12"/>
  <c r="K755" i="12" s="1"/>
  <c r="J758" i="12"/>
  <c r="J759" i="12"/>
  <c r="L761" i="12"/>
  <c r="O761" i="12" s="1"/>
  <c r="M761" i="12"/>
  <c r="N761" i="12"/>
  <c r="N760" i="12" s="1"/>
  <c r="P761" i="12"/>
  <c r="Q761" i="12"/>
  <c r="T761" i="12" s="1"/>
  <c r="R761" i="12"/>
  <c r="U761" i="12" s="1"/>
  <c r="S761" i="12"/>
  <c r="L762" i="12"/>
  <c r="M762" i="12"/>
  <c r="P762" i="12" s="1"/>
  <c r="N762" i="12"/>
  <c r="O762" i="12"/>
  <c r="L763" i="12"/>
  <c r="M763" i="12"/>
  <c r="P763" i="12" s="1"/>
  <c r="N763" i="12"/>
  <c r="O763" i="12"/>
  <c r="O764" i="12"/>
  <c r="P764" i="12"/>
  <c r="T764" i="12"/>
  <c r="U764" i="12"/>
  <c r="O765" i="12"/>
  <c r="P765" i="12"/>
  <c r="Q765" i="12"/>
  <c r="Q762" i="12" s="1"/>
  <c r="R765" i="12"/>
  <c r="R763" i="12" s="1"/>
  <c r="S765" i="12"/>
  <c r="S763" i="12" s="1"/>
  <c r="L766" i="12"/>
  <c r="O766" i="12" s="1"/>
  <c r="M766" i="12"/>
  <c r="P766" i="12" s="1"/>
  <c r="N766" i="12"/>
  <c r="Q766" i="12"/>
  <c r="T766" i="12" s="1"/>
  <c r="R766" i="12"/>
  <c r="U766" i="12" s="1"/>
  <c r="S766" i="12"/>
  <c r="O767" i="12"/>
  <c r="P767" i="12"/>
  <c r="T767" i="12"/>
  <c r="U767" i="12"/>
  <c r="O768" i="12"/>
  <c r="P768" i="12"/>
  <c r="T768" i="12"/>
  <c r="U768" i="12"/>
  <c r="I770" i="12"/>
  <c r="K770" i="12" s="1"/>
  <c r="I772" i="12"/>
  <c r="I774" i="12"/>
  <c r="I775" i="12"/>
  <c r="I776" i="12"/>
  <c r="H777" i="12"/>
  <c r="I778" i="12"/>
  <c r="J778" i="12"/>
  <c r="I779" i="12"/>
  <c r="J779" i="12"/>
  <c r="I780" i="12"/>
  <c r="J780" i="12"/>
  <c r="I781" i="12"/>
  <c r="J781" i="12"/>
  <c r="I782" i="12"/>
  <c r="K782" i="12" s="1"/>
  <c r="J782" i="12"/>
  <c r="I783" i="12"/>
  <c r="K783" i="12" s="1"/>
  <c r="J783" i="12"/>
  <c r="I784" i="12"/>
  <c r="J784" i="12"/>
  <c r="I785" i="12"/>
  <c r="J785" i="12"/>
  <c r="A788" i="12"/>
  <c r="A789" i="12"/>
  <c r="L22" i="11"/>
  <c r="L19" i="11" s="1"/>
  <c r="M22" i="11"/>
  <c r="M19" i="11" s="1"/>
  <c r="N22" i="11"/>
  <c r="Q22" i="11"/>
  <c r="R22" i="11"/>
  <c r="S22" i="11"/>
  <c r="L25" i="11"/>
  <c r="M25" i="11"/>
  <c r="N25" i="11"/>
  <c r="Q25" i="11"/>
  <c r="T25" i="11" s="1"/>
  <c r="R25" i="11"/>
  <c r="S25" i="11"/>
  <c r="Q44" i="11"/>
  <c r="T44" i="11" s="1"/>
  <c r="L45" i="11"/>
  <c r="M45" i="11"/>
  <c r="N45" i="11"/>
  <c r="Q45" i="11"/>
  <c r="R45" i="11"/>
  <c r="U45" i="11" s="1"/>
  <c r="S45" i="11"/>
  <c r="S44" i="11" s="1"/>
  <c r="T45" i="11"/>
  <c r="Q46" i="11"/>
  <c r="R46" i="11"/>
  <c r="U46" i="11" s="1"/>
  <c r="S46" i="11"/>
  <c r="T46" i="11"/>
  <c r="Q47" i="11"/>
  <c r="T47" i="11" s="1"/>
  <c r="R47" i="11"/>
  <c r="U47" i="11" s="1"/>
  <c r="S47" i="11"/>
  <c r="O48" i="11"/>
  <c r="P48" i="11"/>
  <c r="T48" i="11"/>
  <c r="U48" i="11"/>
  <c r="L49" i="11"/>
  <c r="L47" i="11" s="1"/>
  <c r="M49" i="11"/>
  <c r="M47" i="11" s="1"/>
  <c r="N49" i="11"/>
  <c r="N47" i="11" s="1"/>
  <c r="T49" i="11"/>
  <c r="U49" i="11"/>
  <c r="Q50" i="11"/>
  <c r="R50" i="11"/>
  <c r="U50" i="11" s="1"/>
  <c r="S50" i="11"/>
  <c r="T50" i="11"/>
  <c r="O51" i="11"/>
  <c r="P51" i="11"/>
  <c r="T51" i="11"/>
  <c r="U51" i="11"/>
  <c r="L52" i="11"/>
  <c r="M52" i="11"/>
  <c r="P52" i="11" s="1"/>
  <c r="N52" i="11"/>
  <c r="N50" i="11" s="1"/>
  <c r="T52" i="11"/>
  <c r="U52" i="11"/>
  <c r="L60" i="11"/>
  <c r="M60" i="11"/>
  <c r="N60" i="11"/>
  <c r="Q60" i="11"/>
  <c r="R60" i="11"/>
  <c r="U60" i="11" s="1"/>
  <c r="S60" i="11"/>
  <c r="S59" i="11" s="1"/>
  <c r="Q61" i="11"/>
  <c r="R61" i="11"/>
  <c r="S61" i="11"/>
  <c r="T61" i="11"/>
  <c r="Q62" i="11"/>
  <c r="T62" i="11" s="1"/>
  <c r="R62" i="11"/>
  <c r="U62" i="11" s="1"/>
  <c r="S62" i="11"/>
  <c r="O63" i="11"/>
  <c r="P63" i="11"/>
  <c r="T63" i="11"/>
  <c r="U63" i="11"/>
  <c r="L64" i="11"/>
  <c r="L62" i="11" s="1"/>
  <c r="M64" i="11"/>
  <c r="M62" i="11" s="1"/>
  <c r="N64" i="11"/>
  <c r="N62" i="11" s="1"/>
  <c r="T64" i="11"/>
  <c r="U64" i="11"/>
  <c r="Q65" i="11"/>
  <c r="R65" i="11"/>
  <c r="U65" i="11" s="1"/>
  <c r="S65" i="11"/>
  <c r="T65" i="11"/>
  <c r="O66" i="11"/>
  <c r="P66" i="11"/>
  <c r="T66" i="11"/>
  <c r="U66" i="11"/>
  <c r="L67" i="11"/>
  <c r="M67" i="11"/>
  <c r="P67" i="11" s="1"/>
  <c r="N67" i="11"/>
  <c r="N65" i="11" s="1"/>
  <c r="T67" i="11"/>
  <c r="U67" i="11"/>
  <c r="L73" i="11"/>
  <c r="O73" i="11" s="1"/>
  <c r="M73" i="11"/>
  <c r="N73" i="11"/>
  <c r="Q73" i="11"/>
  <c r="T73" i="11" s="1"/>
  <c r="R73" i="11"/>
  <c r="U73" i="11" s="1"/>
  <c r="S73" i="11"/>
  <c r="O76" i="11"/>
  <c r="P76" i="11"/>
  <c r="T76" i="11"/>
  <c r="U76" i="11"/>
  <c r="L77" i="11"/>
  <c r="M77" i="11"/>
  <c r="P77" i="11" s="1"/>
  <c r="N77" i="11"/>
  <c r="N75" i="11" s="1"/>
  <c r="Q77" i="11"/>
  <c r="T77" i="11" s="1"/>
  <c r="R77" i="11"/>
  <c r="R75" i="11" s="1"/>
  <c r="U75" i="11" s="1"/>
  <c r="S77" i="11"/>
  <c r="O79" i="11"/>
  <c r="P79" i="11"/>
  <c r="T79" i="11"/>
  <c r="U79" i="11"/>
  <c r="L80" i="11"/>
  <c r="O80" i="11" s="1"/>
  <c r="M80" i="11"/>
  <c r="N80" i="11"/>
  <c r="N78" i="11" s="1"/>
  <c r="Q80" i="11"/>
  <c r="Q78" i="11" s="1"/>
  <c r="T78" i="11" s="1"/>
  <c r="R80" i="11"/>
  <c r="R78" i="11" s="1"/>
  <c r="U78" i="11" s="1"/>
  <c r="S80" i="11"/>
  <c r="S78" i="11" s="1"/>
  <c r="J82" i="11"/>
  <c r="J70" i="11" s="1"/>
  <c r="J83" i="11"/>
  <c r="J71" i="11" s="1"/>
  <c r="I84" i="11"/>
  <c r="K84" i="11" s="1"/>
  <c r="I85" i="11"/>
  <c r="I86" i="11"/>
  <c r="I87" i="11"/>
  <c r="K87" i="11" s="1"/>
  <c r="I88" i="11"/>
  <c r="K88" i="11" s="1"/>
  <c r="I89" i="11"/>
  <c r="K89" i="11" s="1"/>
  <c r="I90" i="11"/>
  <c r="K90" i="11" s="1"/>
  <c r="J92" i="11"/>
  <c r="J93" i="11"/>
  <c r="L95" i="11"/>
  <c r="M95" i="11"/>
  <c r="P95" i="11" s="1"/>
  <c r="N95" i="11"/>
  <c r="Q95" i="11"/>
  <c r="R95" i="11"/>
  <c r="S95" i="11"/>
  <c r="O98" i="11"/>
  <c r="P98" i="11"/>
  <c r="T98" i="11"/>
  <c r="U98" i="11"/>
  <c r="L99" i="11"/>
  <c r="M99" i="11"/>
  <c r="N99" i="11"/>
  <c r="N97" i="11" s="1"/>
  <c r="Q99" i="11"/>
  <c r="Q96" i="11" s="1"/>
  <c r="T96" i="11" s="1"/>
  <c r="R99" i="11"/>
  <c r="S99" i="11"/>
  <c r="Q100" i="11"/>
  <c r="T100" i="11" s="1"/>
  <c r="R100" i="11"/>
  <c r="S100" i="11"/>
  <c r="U100" i="11"/>
  <c r="O101" i="11"/>
  <c r="P101" i="11"/>
  <c r="T101" i="11"/>
  <c r="U101" i="11"/>
  <c r="L102" i="11"/>
  <c r="M102" i="11"/>
  <c r="N102" i="11"/>
  <c r="N100" i="11" s="1"/>
  <c r="T102" i="11"/>
  <c r="U102" i="11"/>
  <c r="I108" i="11"/>
  <c r="I92" i="11" s="1"/>
  <c r="K92" i="11" s="1"/>
  <c r="I109" i="11"/>
  <c r="I114" i="11"/>
  <c r="K114" i="11" s="1"/>
  <c r="J116" i="11"/>
  <c r="L118" i="11"/>
  <c r="M118" i="11"/>
  <c r="N118" i="11"/>
  <c r="P118" i="11"/>
  <c r="Q118" i="11"/>
  <c r="R118" i="11"/>
  <c r="S118" i="11"/>
  <c r="O121" i="11"/>
  <c r="P121" i="11"/>
  <c r="T121" i="11"/>
  <c r="U121" i="11"/>
  <c r="L122" i="11"/>
  <c r="M122" i="11"/>
  <c r="N122" i="11"/>
  <c r="Q122" i="11"/>
  <c r="R122" i="11"/>
  <c r="S122" i="11"/>
  <c r="S120" i="11" s="1"/>
  <c r="O124" i="11"/>
  <c r="P124" i="11"/>
  <c r="T124" i="11"/>
  <c r="U124" i="11"/>
  <c r="L125" i="11"/>
  <c r="M125" i="11"/>
  <c r="N125" i="11"/>
  <c r="N123" i="11" s="1"/>
  <c r="Q125" i="11"/>
  <c r="T125" i="11" s="1"/>
  <c r="R125" i="11"/>
  <c r="S125" i="11"/>
  <c r="I127" i="11"/>
  <c r="K127" i="11" s="1"/>
  <c r="I128" i="11"/>
  <c r="K128" i="11" s="1"/>
  <c r="I129" i="11"/>
  <c r="K129" i="11" s="1"/>
  <c r="I130" i="11"/>
  <c r="K130" i="11" s="1"/>
  <c r="J136" i="11"/>
  <c r="J137" i="11"/>
  <c r="J138" i="11"/>
  <c r="L140" i="11"/>
  <c r="M140" i="11"/>
  <c r="N140" i="11"/>
  <c r="Q140" i="11"/>
  <c r="T140" i="11" s="1"/>
  <c r="R140" i="11"/>
  <c r="S140" i="11"/>
  <c r="O143" i="11"/>
  <c r="P143" i="11"/>
  <c r="T143" i="11"/>
  <c r="U143" i="11"/>
  <c r="L144" i="11"/>
  <c r="M144" i="11"/>
  <c r="N144" i="11"/>
  <c r="Q144" i="11"/>
  <c r="Q142" i="11" s="1"/>
  <c r="T142" i="11" s="1"/>
  <c r="R144" i="11"/>
  <c r="R142" i="11" s="1"/>
  <c r="U142" i="11" s="1"/>
  <c r="S144" i="11"/>
  <c r="O146" i="11"/>
  <c r="P146" i="11"/>
  <c r="T146" i="11"/>
  <c r="U146" i="11"/>
  <c r="L147" i="11"/>
  <c r="L145" i="11" s="1"/>
  <c r="O145" i="11" s="1"/>
  <c r="M147" i="11"/>
  <c r="N147" i="11"/>
  <c r="N145" i="11" s="1"/>
  <c r="Q147" i="11"/>
  <c r="Q145" i="11" s="1"/>
  <c r="T145" i="11" s="1"/>
  <c r="R147" i="11"/>
  <c r="U147" i="11" s="1"/>
  <c r="S147" i="11"/>
  <c r="S145" i="11" s="1"/>
  <c r="I150" i="11"/>
  <c r="K150" i="11" s="1"/>
  <c r="I151" i="11"/>
  <c r="K151" i="11" s="1"/>
  <c r="I152" i="11"/>
  <c r="I153" i="11"/>
  <c r="I138" i="11" s="1"/>
  <c r="K138" i="11" s="1"/>
  <c r="I154" i="11"/>
  <c r="I136" i="11" s="1"/>
  <c r="K136" i="11" s="1"/>
  <c r="J156" i="11"/>
  <c r="L158" i="11"/>
  <c r="M158" i="11"/>
  <c r="N158" i="11"/>
  <c r="P158" i="11"/>
  <c r="Q158" i="11"/>
  <c r="R158" i="11"/>
  <c r="S158" i="11"/>
  <c r="O161" i="11"/>
  <c r="P161" i="11"/>
  <c r="T161" i="11"/>
  <c r="U161" i="11"/>
  <c r="L162" i="11"/>
  <c r="M162" i="11"/>
  <c r="N162" i="11"/>
  <c r="N160" i="11" s="1"/>
  <c r="Q162" i="11"/>
  <c r="Q159" i="11" s="1"/>
  <c r="T159" i="11" s="1"/>
  <c r="R162" i="11"/>
  <c r="R159" i="11" s="1"/>
  <c r="U159" i="11" s="1"/>
  <c r="S162" i="11"/>
  <c r="Q163" i="11"/>
  <c r="R163" i="11"/>
  <c r="S163" i="11"/>
  <c r="T163" i="11"/>
  <c r="U163" i="11"/>
  <c r="O164" i="11"/>
  <c r="P164" i="11"/>
  <c r="T164" i="11"/>
  <c r="U164" i="11"/>
  <c r="L165" i="11"/>
  <c r="M165" i="11"/>
  <c r="N165" i="11"/>
  <c r="N163" i="11" s="1"/>
  <c r="T165" i="11"/>
  <c r="U165" i="11"/>
  <c r="I167" i="11"/>
  <c r="K167" i="11" s="1"/>
  <c r="I168" i="11"/>
  <c r="K168" i="11" s="1"/>
  <c r="I169" i="11"/>
  <c r="K169" i="11" s="1"/>
  <c r="J172" i="11"/>
  <c r="L174" i="11"/>
  <c r="O174" i="11" s="1"/>
  <c r="M174" i="11"/>
  <c r="P174" i="11" s="1"/>
  <c r="N174" i="11"/>
  <c r="Q174" i="11"/>
  <c r="R174" i="11"/>
  <c r="S174" i="11"/>
  <c r="U174" i="11"/>
  <c r="O177" i="11"/>
  <c r="P177" i="11"/>
  <c r="T177" i="11"/>
  <c r="U177" i="11"/>
  <c r="L178" i="11"/>
  <c r="M178" i="11"/>
  <c r="N178" i="11"/>
  <c r="Q178" i="11"/>
  <c r="R178" i="11"/>
  <c r="R175" i="11" s="1"/>
  <c r="U175" i="11" s="1"/>
  <c r="S178" i="11"/>
  <c r="Q179" i="11"/>
  <c r="R179" i="11"/>
  <c r="S179" i="11"/>
  <c r="T179" i="11"/>
  <c r="U179" i="11"/>
  <c r="O180" i="11"/>
  <c r="P180" i="11"/>
  <c r="T180" i="11"/>
  <c r="U180" i="11"/>
  <c r="L181" i="11"/>
  <c r="M181" i="11"/>
  <c r="N181" i="11"/>
  <c r="N179" i="11" s="1"/>
  <c r="T181" i="11"/>
  <c r="U181" i="11"/>
  <c r="I183" i="11"/>
  <c r="I172" i="11" s="1"/>
  <c r="K172" i="11" s="1"/>
  <c r="K184" i="11"/>
  <c r="L187" i="11"/>
  <c r="M187" i="11"/>
  <c r="P187" i="11" s="1"/>
  <c r="N187" i="11"/>
  <c r="Q187" i="11"/>
  <c r="T187" i="11" s="1"/>
  <c r="R187" i="11"/>
  <c r="U187" i="11" s="1"/>
  <c r="S187" i="11"/>
  <c r="O190" i="11"/>
  <c r="P190" i="11"/>
  <c r="T190" i="11"/>
  <c r="U190" i="11"/>
  <c r="L191" i="11"/>
  <c r="M191" i="11"/>
  <c r="N191" i="11"/>
  <c r="N189" i="11" s="1"/>
  <c r="Q191" i="11"/>
  <c r="R191" i="11"/>
  <c r="R189" i="11" s="1"/>
  <c r="S191" i="11"/>
  <c r="O193" i="11"/>
  <c r="P193" i="11"/>
  <c r="T193" i="11"/>
  <c r="U193" i="11"/>
  <c r="L194" i="11"/>
  <c r="O194" i="11" s="1"/>
  <c r="M194" i="11"/>
  <c r="N194" i="11"/>
  <c r="N192" i="11" s="1"/>
  <c r="Q194" i="11"/>
  <c r="T194" i="11" s="1"/>
  <c r="R194" i="11"/>
  <c r="U194" i="11" s="1"/>
  <c r="S194" i="11"/>
  <c r="S192" i="11" s="1"/>
  <c r="J195" i="11"/>
  <c r="L196" i="11"/>
  <c r="O196" i="11" s="1"/>
  <c r="P196" i="11"/>
  <c r="I198" i="11"/>
  <c r="J199" i="11"/>
  <c r="J202" i="11"/>
  <c r="N203" i="11"/>
  <c r="P203" i="11"/>
  <c r="S203" i="11"/>
  <c r="U203" i="11"/>
  <c r="L204" i="11"/>
  <c r="L205" i="11"/>
  <c r="L206" i="11"/>
  <c r="Q206" i="11"/>
  <c r="Q203" i="11" s="1"/>
  <c r="L207" i="11"/>
  <c r="I209" i="11"/>
  <c r="I211" i="11"/>
  <c r="K211" i="11" s="1"/>
  <c r="I212" i="11"/>
  <c r="K212" i="11" s="1"/>
  <c r="J213" i="11"/>
  <c r="N214" i="11"/>
  <c r="P214" i="11"/>
  <c r="S214" i="11"/>
  <c r="U214" i="11"/>
  <c r="L215" i="11"/>
  <c r="L216" i="11"/>
  <c r="L217" i="11"/>
  <c r="Q217" i="11"/>
  <c r="Q214" i="11" s="1"/>
  <c r="T214" i="11" s="1"/>
  <c r="I219" i="11"/>
  <c r="K219" i="11" s="1"/>
  <c r="I220" i="11"/>
  <c r="K220" i="11" s="1"/>
  <c r="J221" i="11"/>
  <c r="N222" i="11"/>
  <c r="P222" i="11"/>
  <c r="L223" i="11"/>
  <c r="L224" i="11"/>
  <c r="L225" i="11"/>
  <c r="I228" i="11"/>
  <c r="K228" i="11" s="1"/>
  <c r="I229" i="11"/>
  <c r="I221" i="11" s="1"/>
  <c r="I230" i="11"/>
  <c r="K230" i="11" s="1"/>
  <c r="N233" i="11"/>
  <c r="N234" i="11"/>
  <c r="N235" i="11"/>
  <c r="N236" i="11"/>
  <c r="J238" i="11"/>
  <c r="I240" i="11"/>
  <c r="K240" i="11" s="1"/>
  <c r="J240" i="11"/>
  <c r="I241" i="11"/>
  <c r="K241" i="11" s="1"/>
  <c r="J241" i="11"/>
  <c r="J242" i="11"/>
  <c r="J231" i="11" s="1"/>
  <c r="J185" i="11" s="1"/>
  <c r="N243" i="11"/>
  <c r="P243" i="11"/>
  <c r="L244" i="11"/>
  <c r="L245" i="11"/>
  <c r="L246" i="11"/>
  <c r="L247" i="11"/>
  <c r="I249" i="11"/>
  <c r="I242" i="11" s="1"/>
  <c r="K242" i="11" s="1"/>
  <c r="K251" i="11"/>
  <c r="K252" i="11"/>
  <c r="J253" i="11"/>
  <c r="N254" i="11"/>
  <c r="P254" i="11"/>
  <c r="L255" i="11"/>
  <c r="L256" i="11"/>
  <c r="L257" i="11"/>
  <c r="L258" i="11"/>
  <c r="I260" i="11"/>
  <c r="K260" i="11" s="1"/>
  <c r="K262" i="11"/>
  <c r="K263" i="11"/>
  <c r="J265" i="11"/>
  <c r="L267" i="11"/>
  <c r="O267" i="11" s="1"/>
  <c r="M267" i="11"/>
  <c r="N267" i="11"/>
  <c r="Q267" i="11"/>
  <c r="R267" i="11"/>
  <c r="U267" i="11" s="1"/>
  <c r="S267" i="11"/>
  <c r="T267" i="11"/>
  <c r="O270" i="11"/>
  <c r="P270" i="11"/>
  <c r="T270" i="11"/>
  <c r="U270" i="11"/>
  <c r="L271" i="11"/>
  <c r="M271" i="11"/>
  <c r="M269" i="11" s="1"/>
  <c r="N271" i="11"/>
  <c r="N269" i="11" s="1"/>
  <c r="Q271" i="11"/>
  <c r="Q268" i="11" s="1"/>
  <c r="R271" i="11"/>
  <c r="R268" i="11" s="1"/>
  <c r="S271" i="11"/>
  <c r="S269" i="11" s="1"/>
  <c r="Q272" i="11"/>
  <c r="T272" i="11" s="1"/>
  <c r="R272" i="11"/>
  <c r="U272" i="11" s="1"/>
  <c r="S272" i="11"/>
  <c r="O273" i="11"/>
  <c r="P273" i="11"/>
  <c r="T273" i="11"/>
  <c r="U273" i="11"/>
  <c r="L274" i="11"/>
  <c r="L272" i="11" s="1"/>
  <c r="O272" i="11" s="1"/>
  <c r="M274" i="11"/>
  <c r="M272" i="11" s="1"/>
  <c r="P272" i="11" s="1"/>
  <c r="N274" i="11"/>
  <c r="N272" i="11" s="1"/>
  <c r="T274" i="11"/>
  <c r="U274" i="11"/>
  <c r="I276" i="11"/>
  <c r="I265" i="11" s="1"/>
  <c r="K265" i="11" s="1"/>
  <c r="J281" i="11"/>
  <c r="L283" i="11"/>
  <c r="O283" i="11" s="1"/>
  <c r="M283" i="11"/>
  <c r="P283" i="11" s="1"/>
  <c r="N283" i="11"/>
  <c r="Q283" i="11"/>
  <c r="R283" i="11"/>
  <c r="U283" i="11" s="1"/>
  <c r="S283" i="11"/>
  <c r="T283" i="11"/>
  <c r="Q284" i="11"/>
  <c r="R284" i="11"/>
  <c r="S284" i="11"/>
  <c r="U284" i="11"/>
  <c r="Q285" i="11"/>
  <c r="T285" i="11" s="1"/>
  <c r="R285" i="11"/>
  <c r="U285" i="11" s="1"/>
  <c r="S285" i="11"/>
  <c r="O286" i="11"/>
  <c r="P286" i="11"/>
  <c r="T286" i="11"/>
  <c r="U286" i="11"/>
  <c r="L287" i="11"/>
  <c r="M287" i="11"/>
  <c r="N287" i="11"/>
  <c r="N285" i="11" s="1"/>
  <c r="T287" i="11"/>
  <c r="U287" i="11"/>
  <c r="Q288" i="11"/>
  <c r="T288" i="11" s="1"/>
  <c r="R288" i="11"/>
  <c r="S288" i="11"/>
  <c r="U288" i="11"/>
  <c r="O289" i="11"/>
  <c r="P289" i="11"/>
  <c r="T289" i="11"/>
  <c r="U289" i="11"/>
  <c r="L290" i="11"/>
  <c r="M290" i="11"/>
  <c r="N290" i="11"/>
  <c r="N288" i="11" s="1"/>
  <c r="T290" i="11"/>
  <c r="U290" i="11"/>
  <c r="I292" i="11"/>
  <c r="I293" i="11"/>
  <c r="K293" i="11" s="1"/>
  <c r="J293" i="11"/>
  <c r="J280" i="11" s="1"/>
  <c r="I295" i="11"/>
  <c r="K295" i="11" s="1"/>
  <c r="I296" i="11"/>
  <c r="K296" i="11" s="1"/>
  <c r="J302" i="11"/>
  <c r="L304" i="11"/>
  <c r="M304" i="11"/>
  <c r="P304" i="11" s="1"/>
  <c r="N304" i="11"/>
  <c r="O304" i="11"/>
  <c r="Q304" i="11"/>
  <c r="R304" i="11"/>
  <c r="S304" i="11"/>
  <c r="T304" i="11"/>
  <c r="U304" i="11"/>
  <c r="O307" i="11"/>
  <c r="P307" i="11"/>
  <c r="T307" i="11"/>
  <c r="U307" i="11"/>
  <c r="L308" i="11"/>
  <c r="M308" i="11"/>
  <c r="N308" i="11"/>
  <c r="N306" i="11" s="1"/>
  <c r="Q308" i="11"/>
  <c r="R308" i="11"/>
  <c r="R305" i="11" s="1"/>
  <c r="S308" i="11"/>
  <c r="S305" i="11" s="1"/>
  <c r="S303" i="11" s="1"/>
  <c r="Q309" i="11"/>
  <c r="T309" i="11" s="1"/>
  <c r="R309" i="11"/>
  <c r="U309" i="11" s="1"/>
  <c r="S309" i="11"/>
  <c r="O310" i="11"/>
  <c r="P310" i="11"/>
  <c r="T310" i="11"/>
  <c r="U310" i="11"/>
  <c r="L311" i="11"/>
  <c r="L309" i="11" s="1"/>
  <c r="O309" i="11" s="1"/>
  <c r="M311" i="11"/>
  <c r="N311" i="11"/>
  <c r="N309" i="11" s="1"/>
  <c r="T311" i="11"/>
  <c r="U311" i="11"/>
  <c r="I314" i="11"/>
  <c r="I302" i="11" s="1"/>
  <c r="K302" i="11" s="1"/>
  <c r="J319" i="11"/>
  <c r="L321" i="11"/>
  <c r="M321" i="11"/>
  <c r="N321" i="11"/>
  <c r="Q321" i="11"/>
  <c r="R321" i="11"/>
  <c r="S321" i="11"/>
  <c r="Q322" i="11"/>
  <c r="R322" i="11"/>
  <c r="S322" i="11"/>
  <c r="T322" i="11"/>
  <c r="U322" i="11"/>
  <c r="Q323" i="11"/>
  <c r="T323" i="11" s="1"/>
  <c r="R323" i="11"/>
  <c r="S323" i="11"/>
  <c r="U323" i="11"/>
  <c r="O324" i="11"/>
  <c r="P324" i="11"/>
  <c r="T324" i="11"/>
  <c r="U324" i="11"/>
  <c r="L325" i="11"/>
  <c r="O325" i="11" s="1"/>
  <c r="M325" i="11"/>
  <c r="N325" i="11"/>
  <c r="N323" i="11" s="1"/>
  <c r="T325" i="11"/>
  <c r="U325" i="11"/>
  <c r="Q326" i="11"/>
  <c r="T326" i="11" s="1"/>
  <c r="R326" i="11"/>
  <c r="U326" i="11" s="1"/>
  <c r="S326" i="11"/>
  <c r="O327" i="11"/>
  <c r="P327" i="11"/>
  <c r="T327" i="11"/>
  <c r="U327" i="11"/>
  <c r="L328" i="11"/>
  <c r="O328" i="11" s="1"/>
  <c r="M328" i="11"/>
  <c r="M326" i="11" s="1"/>
  <c r="P326" i="11" s="1"/>
  <c r="N328" i="11"/>
  <c r="N326" i="11" s="1"/>
  <c r="T328" i="11"/>
  <c r="U328" i="11"/>
  <c r="I330" i="11"/>
  <c r="I319" i="11" s="1"/>
  <c r="K319" i="11" s="1"/>
  <c r="L334" i="11"/>
  <c r="O334" i="11" s="1"/>
  <c r="M334" i="11"/>
  <c r="N334" i="11"/>
  <c r="Q334" i="11"/>
  <c r="R334" i="11"/>
  <c r="U334" i="11" s="1"/>
  <c r="S334" i="11"/>
  <c r="T334" i="11"/>
  <c r="Q335" i="11"/>
  <c r="T335" i="11" s="1"/>
  <c r="R335" i="11"/>
  <c r="U335" i="11" s="1"/>
  <c r="S335" i="11"/>
  <c r="Q336" i="11"/>
  <c r="T336" i="11" s="1"/>
  <c r="R336" i="11"/>
  <c r="U336" i="11" s="1"/>
  <c r="S336" i="11"/>
  <c r="O337" i="11"/>
  <c r="P337" i="11"/>
  <c r="T337" i="11"/>
  <c r="U337" i="11"/>
  <c r="L338" i="11"/>
  <c r="L336" i="11" s="1"/>
  <c r="M338" i="11"/>
  <c r="M336" i="11" s="1"/>
  <c r="N338" i="11"/>
  <c r="N336" i="11" s="1"/>
  <c r="T338" i="11"/>
  <c r="U338" i="11"/>
  <c r="Q339" i="11"/>
  <c r="R339" i="11"/>
  <c r="U339" i="11" s="1"/>
  <c r="S339" i="11"/>
  <c r="T339" i="11"/>
  <c r="O340" i="11"/>
  <c r="P340" i="11"/>
  <c r="T340" i="11"/>
  <c r="U340" i="11"/>
  <c r="L341" i="11"/>
  <c r="M341" i="11"/>
  <c r="P341" i="11" s="1"/>
  <c r="N341" i="11"/>
  <c r="N339" i="11" s="1"/>
  <c r="T341" i="11"/>
  <c r="U341" i="11"/>
  <c r="I344" i="11"/>
  <c r="I332" i="11" s="1"/>
  <c r="J344" i="11"/>
  <c r="I346" i="11"/>
  <c r="J346" i="11"/>
  <c r="J347" i="11"/>
  <c r="J348" i="11"/>
  <c r="J349" i="11"/>
  <c r="D350" i="11"/>
  <c r="J352" i="11"/>
  <c r="J353" i="11"/>
  <c r="D354" i="11"/>
  <c r="L357" i="11"/>
  <c r="O357" i="11" s="1"/>
  <c r="M357" i="11"/>
  <c r="P357" i="11" s="1"/>
  <c r="N357" i="11"/>
  <c r="Q357" i="11"/>
  <c r="R357" i="11"/>
  <c r="U357" i="11" s="1"/>
  <c r="S357" i="11"/>
  <c r="Q358" i="11"/>
  <c r="T358" i="11" s="1"/>
  <c r="R358" i="11"/>
  <c r="U358" i="11" s="1"/>
  <c r="S358" i="11"/>
  <c r="Q359" i="11"/>
  <c r="R359" i="11"/>
  <c r="S359" i="11"/>
  <c r="T359" i="11"/>
  <c r="U359" i="11"/>
  <c r="O360" i="11"/>
  <c r="P360" i="11"/>
  <c r="T360" i="11"/>
  <c r="U360" i="11"/>
  <c r="L361" i="11"/>
  <c r="M361" i="11"/>
  <c r="M359" i="11" s="1"/>
  <c r="N361" i="11"/>
  <c r="N359" i="11" s="1"/>
  <c r="T361" i="11"/>
  <c r="U361" i="11"/>
  <c r="Q362" i="11"/>
  <c r="T362" i="11" s="1"/>
  <c r="R362" i="11"/>
  <c r="U362" i="11" s="1"/>
  <c r="S362" i="11"/>
  <c r="O363" i="11"/>
  <c r="P363" i="11"/>
  <c r="T363" i="11"/>
  <c r="U363" i="11"/>
  <c r="L364" i="11"/>
  <c r="L362" i="11" s="1"/>
  <c r="O362" i="11" s="1"/>
  <c r="M364" i="11"/>
  <c r="M362" i="11" s="1"/>
  <c r="P362" i="11" s="1"/>
  <c r="N364" i="11"/>
  <c r="N362" i="11" s="1"/>
  <c r="T364" i="11"/>
  <c r="U364" i="11"/>
  <c r="J367" i="11"/>
  <c r="K367" i="11"/>
  <c r="I368" i="11"/>
  <c r="J368" i="11"/>
  <c r="I369" i="11"/>
  <c r="J369" i="11"/>
  <c r="J370" i="11"/>
  <c r="K370" i="11"/>
  <c r="I371" i="11"/>
  <c r="J371" i="11"/>
  <c r="J365" i="11" s="1"/>
  <c r="J372" i="11"/>
  <c r="K372" i="11"/>
  <c r="D373" i="11"/>
  <c r="L376" i="11"/>
  <c r="M376" i="11"/>
  <c r="N376" i="11"/>
  <c r="Q376" i="11"/>
  <c r="T376" i="11" s="1"/>
  <c r="R376" i="11"/>
  <c r="S376" i="11"/>
  <c r="O379" i="11"/>
  <c r="P379" i="11"/>
  <c r="T379" i="11"/>
  <c r="U379" i="11"/>
  <c r="L380" i="11"/>
  <c r="L378" i="11" s="1"/>
  <c r="O378" i="11" s="1"/>
  <c r="M380" i="11"/>
  <c r="N380" i="11"/>
  <c r="N378" i="11" s="1"/>
  <c r="Q380" i="11"/>
  <c r="Q377" i="11" s="1"/>
  <c r="R380" i="11"/>
  <c r="S380" i="11"/>
  <c r="S378" i="11" s="1"/>
  <c r="Q381" i="11"/>
  <c r="T381" i="11" s="1"/>
  <c r="R381" i="11"/>
  <c r="S381" i="11"/>
  <c r="U381" i="11"/>
  <c r="O382" i="11"/>
  <c r="P382" i="11"/>
  <c r="T382" i="11"/>
  <c r="U382" i="11"/>
  <c r="L383" i="11"/>
  <c r="L381" i="11" s="1"/>
  <c r="O381" i="11" s="1"/>
  <c r="M383" i="11"/>
  <c r="N383" i="11"/>
  <c r="N381" i="11" s="1"/>
  <c r="T383" i="11"/>
  <c r="U383" i="11"/>
  <c r="J385" i="11"/>
  <c r="K385" i="11"/>
  <c r="I386" i="11"/>
  <c r="J386" i="11"/>
  <c r="J387" i="11"/>
  <c r="K387" i="11"/>
  <c r="I388" i="11"/>
  <c r="K388" i="11" s="1"/>
  <c r="J388" i="11"/>
  <c r="I391" i="11"/>
  <c r="J391" i="11"/>
  <c r="K391" i="11"/>
  <c r="L393" i="11"/>
  <c r="L392" i="11" s="1"/>
  <c r="O392" i="11" s="1"/>
  <c r="M393" i="11"/>
  <c r="N393" i="11"/>
  <c r="Q393" i="11"/>
  <c r="R393" i="11"/>
  <c r="S393" i="11"/>
  <c r="T393" i="11"/>
  <c r="U393" i="11"/>
  <c r="L394" i="11"/>
  <c r="M394" i="11"/>
  <c r="N394" i="11"/>
  <c r="O394" i="11"/>
  <c r="P394" i="11"/>
  <c r="L395" i="11"/>
  <c r="O395" i="11" s="1"/>
  <c r="M395" i="11"/>
  <c r="P395" i="11" s="1"/>
  <c r="N395" i="11"/>
  <c r="O396" i="11"/>
  <c r="P396" i="11"/>
  <c r="T396" i="11"/>
  <c r="U396" i="11"/>
  <c r="O397" i="11"/>
  <c r="P397" i="11"/>
  <c r="Q397" i="11"/>
  <c r="Q394" i="11" s="1"/>
  <c r="T394" i="11" s="1"/>
  <c r="R397" i="11"/>
  <c r="R395" i="11" s="1"/>
  <c r="U395" i="11" s="1"/>
  <c r="S397" i="11"/>
  <c r="S394" i="11" s="1"/>
  <c r="L398" i="11"/>
  <c r="O398" i="11" s="1"/>
  <c r="M398" i="11"/>
  <c r="P398" i="11" s="1"/>
  <c r="N398" i="11"/>
  <c r="Q398" i="11"/>
  <c r="T398" i="11" s="1"/>
  <c r="R398" i="11"/>
  <c r="U398" i="11" s="1"/>
  <c r="S398" i="11"/>
  <c r="O399" i="11"/>
  <c r="P399" i="11"/>
  <c r="T399" i="11"/>
  <c r="U399" i="11"/>
  <c r="O400" i="11"/>
  <c r="P400" i="11"/>
  <c r="T400" i="11"/>
  <c r="U400" i="11"/>
  <c r="L414" i="11"/>
  <c r="O414" i="11" s="1"/>
  <c r="M414" i="11"/>
  <c r="P414" i="11" s="1"/>
  <c r="N414" i="11"/>
  <c r="Q414" i="11"/>
  <c r="R414" i="11"/>
  <c r="U414" i="11" s="1"/>
  <c r="S414" i="11"/>
  <c r="T414" i="11"/>
  <c r="O417" i="11"/>
  <c r="P417" i="11"/>
  <c r="T417" i="11"/>
  <c r="U417" i="11"/>
  <c r="L418" i="11"/>
  <c r="L416" i="11" s="1"/>
  <c r="M418" i="11"/>
  <c r="M416" i="11" s="1"/>
  <c r="N418" i="11"/>
  <c r="Q418" i="11"/>
  <c r="Q415" i="11" s="1"/>
  <c r="R418" i="11"/>
  <c r="R415" i="11" s="1"/>
  <c r="S418" i="11"/>
  <c r="S415" i="11" s="1"/>
  <c r="Q419" i="11"/>
  <c r="T419" i="11" s="1"/>
  <c r="R419" i="11"/>
  <c r="U419" i="11" s="1"/>
  <c r="S419" i="11"/>
  <c r="O420" i="11"/>
  <c r="P420" i="11"/>
  <c r="T420" i="11"/>
  <c r="U420" i="11"/>
  <c r="L421" i="11"/>
  <c r="L419" i="11" s="1"/>
  <c r="O419" i="11" s="1"/>
  <c r="M421" i="11"/>
  <c r="N421" i="11"/>
  <c r="N419" i="11" s="1"/>
  <c r="T421" i="11"/>
  <c r="U421" i="11"/>
  <c r="I424" i="11"/>
  <c r="K424" i="11" s="1"/>
  <c r="J424" i="11"/>
  <c r="I425" i="11"/>
  <c r="K425" i="11" s="1"/>
  <c r="J425" i="11"/>
  <c r="I432" i="11"/>
  <c r="K432" i="11" s="1"/>
  <c r="J432" i="11"/>
  <c r="I433" i="11"/>
  <c r="K433" i="11" s="1"/>
  <c r="J433" i="11"/>
  <c r="I440" i="11"/>
  <c r="I441" i="11"/>
  <c r="K441" i="11" s="1"/>
  <c r="J446" i="11"/>
  <c r="J440" i="11" s="1"/>
  <c r="J423" i="11" s="1"/>
  <c r="J412" i="11" s="1"/>
  <c r="J447" i="11"/>
  <c r="J441" i="11" s="1"/>
  <c r="I457" i="11"/>
  <c r="I456" i="11" s="1"/>
  <c r="J457" i="11"/>
  <c r="J456" i="11" s="1"/>
  <c r="I458" i="11"/>
  <c r="K458" i="11" s="1"/>
  <c r="J459" i="11"/>
  <c r="J460" i="11"/>
  <c r="J458" i="11" s="1"/>
  <c r="J467" i="11"/>
  <c r="J468" i="11"/>
  <c r="J475" i="11"/>
  <c r="K475" i="11"/>
  <c r="J476" i="11"/>
  <c r="K476" i="11"/>
  <c r="J477" i="11"/>
  <c r="K477" i="11"/>
  <c r="J482" i="11"/>
  <c r="J483" i="11"/>
  <c r="I484" i="11"/>
  <c r="J484" i="11"/>
  <c r="K484" i="11"/>
  <c r="I485" i="11"/>
  <c r="K485" i="11" s="1"/>
  <c r="J485" i="11"/>
  <c r="L494" i="11"/>
  <c r="M494" i="11"/>
  <c r="N494" i="11"/>
  <c r="Q494" i="11"/>
  <c r="T494" i="11" s="1"/>
  <c r="R494" i="11"/>
  <c r="S494" i="11"/>
  <c r="O497" i="11"/>
  <c r="P497" i="11"/>
  <c r="T497" i="11"/>
  <c r="U497" i="11"/>
  <c r="L498" i="11"/>
  <c r="O498" i="11" s="1"/>
  <c r="M498" i="11"/>
  <c r="N498" i="11"/>
  <c r="N496" i="11" s="1"/>
  <c r="Q498" i="11"/>
  <c r="Q495" i="11" s="1"/>
  <c r="T495" i="11" s="1"/>
  <c r="R498" i="11"/>
  <c r="R495" i="11" s="1"/>
  <c r="U495" i="11" s="1"/>
  <c r="S498" i="11"/>
  <c r="S496" i="11" s="1"/>
  <c r="Q499" i="11"/>
  <c r="T499" i="11" s="1"/>
  <c r="R499" i="11"/>
  <c r="U499" i="11" s="1"/>
  <c r="S499" i="11"/>
  <c r="O500" i="11"/>
  <c r="P500" i="11"/>
  <c r="T500" i="11"/>
  <c r="U500" i="11"/>
  <c r="L501" i="11"/>
  <c r="M501" i="11"/>
  <c r="N501" i="11"/>
  <c r="N499" i="11" s="1"/>
  <c r="T501" i="11"/>
  <c r="U501" i="11"/>
  <c r="I503" i="11"/>
  <c r="I504" i="11"/>
  <c r="K504" i="11" s="1"/>
  <c r="I505" i="11"/>
  <c r="K505" i="11" s="1"/>
  <c r="I506" i="11"/>
  <c r="K506" i="11" s="1"/>
  <c r="I507" i="11"/>
  <c r="K507" i="11" s="1"/>
  <c r="K508" i="11"/>
  <c r="I509" i="11"/>
  <c r="K509" i="11" s="1"/>
  <c r="I512" i="11"/>
  <c r="K512" i="11" s="1"/>
  <c r="J512" i="11"/>
  <c r="L514" i="11"/>
  <c r="M514" i="11"/>
  <c r="N514" i="11"/>
  <c r="O514" i="11"/>
  <c r="P514" i="11"/>
  <c r="Q514" i="11"/>
  <c r="R514" i="11"/>
  <c r="S514" i="11"/>
  <c r="U514" i="11"/>
  <c r="Q515" i="11"/>
  <c r="T515" i="11" s="1"/>
  <c r="R515" i="11"/>
  <c r="U515" i="11" s="1"/>
  <c r="S515" i="11"/>
  <c r="S513" i="11" s="1"/>
  <c r="Q516" i="11"/>
  <c r="R516" i="11"/>
  <c r="U516" i="11" s="1"/>
  <c r="S516" i="11"/>
  <c r="T516" i="11"/>
  <c r="O517" i="11"/>
  <c r="P517" i="11"/>
  <c r="T517" i="11"/>
  <c r="U517" i="11"/>
  <c r="L518" i="11"/>
  <c r="M518" i="11"/>
  <c r="P518" i="11" s="1"/>
  <c r="N518" i="11"/>
  <c r="N516" i="11" s="1"/>
  <c r="T518" i="11"/>
  <c r="U518" i="11"/>
  <c r="Q519" i="11"/>
  <c r="T519" i="11" s="1"/>
  <c r="R519" i="11"/>
  <c r="U519" i="11" s="1"/>
  <c r="S519" i="11"/>
  <c r="O520" i="11"/>
  <c r="P520" i="11"/>
  <c r="T520" i="11"/>
  <c r="U520" i="11"/>
  <c r="L521" i="11"/>
  <c r="L519" i="11" s="1"/>
  <c r="O519" i="11" s="1"/>
  <c r="M521" i="11"/>
  <c r="M519" i="11" s="1"/>
  <c r="P519" i="11" s="1"/>
  <c r="N521" i="11"/>
  <c r="N519" i="11" s="1"/>
  <c r="T521" i="11"/>
  <c r="U521" i="11"/>
  <c r="K523" i="11"/>
  <c r="K524" i="11"/>
  <c r="I533" i="11"/>
  <c r="K533" i="11" s="1"/>
  <c r="J533" i="11"/>
  <c r="L535" i="11"/>
  <c r="M535" i="11"/>
  <c r="P535" i="11" s="1"/>
  <c r="N535" i="11"/>
  <c r="Q535" i="11"/>
  <c r="R535" i="11"/>
  <c r="S535" i="11"/>
  <c r="Q536" i="11"/>
  <c r="R536" i="11"/>
  <c r="U536" i="11" s="1"/>
  <c r="S536" i="11"/>
  <c r="T536" i="11"/>
  <c r="Q537" i="11"/>
  <c r="R537" i="11"/>
  <c r="S537" i="11"/>
  <c r="T537" i="11"/>
  <c r="U537" i="11"/>
  <c r="O538" i="11"/>
  <c r="P538" i="11"/>
  <c r="T538" i="11"/>
  <c r="U538" i="11"/>
  <c r="L539" i="11"/>
  <c r="M539" i="11"/>
  <c r="N539" i="11"/>
  <c r="N537" i="11" s="1"/>
  <c r="T539" i="11"/>
  <c r="U539" i="11"/>
  <c r="Q540" i="11"/>
  <c r="T540" i="11" s="1"/>
  <c r="R540" i="11"/>
  <c r="U540" i="11" s="1"/>
  <c r="S540" i="11"/>
  <c r="O541" i="11"/>
  <c r="P541" i="11"/>
  <c r="T541" i="11"/>
  <c r="U541" i="11"/>
  <c r="L542" i="11"/>
  <c r="L540" i="11" s="1"/>
  <c r="O540" i="11" s="1"/>
  <c r="M542" i="11"/>
  <c r="M540" i="11" s="1"/>
  <c r="P540" i="11" s="1"/>
  <c r="N542" i="11"/>
  <c r="N540" i="11" s="1"/>
  <c r="T542" i="11"/>
  <c r="U542" i="11"/>
  <c r="I554" i="11"/>
  <c r="J554" i="11"/>
  <c r="K554" i="11"/>
  <c r="Q555" i="11"/>
  <c r="T555" i="11" s="1"/>
  <c r="L556" i="11"/>
  <c r="O556" i="11" s="1"/>
  <c r="M556" i="11"/>
  <c r="P556" i="11" s="1"/>
  <c r="N556" i="11"/>
  <c r="Q556" i="11"/>
  <c r="R556" i="11"/>
  <c r="U556" i="11" s="1"/>
  <c r="S556" i="11"/>
  <c r="T556" i="11"/>
  <c r="Q557" i="11"/>
  <c r="T557" i="11" s="1"/>
  <c r="R557" i="11"/>
  <c r="S557" i="11"/>
  <c r="U557" i="11"/>
  <c r="Q558" i="11"/>
  <c r="T558" i="11" s="1"/>
  <c r="R558" i="11"/>
  <c r="U558" i="11" s="1"/>
  <c r="S558" i="11"/>
  <c r="O559" i="11"/>
  <c r="P559" i="11"/>
  <c r="T559" i="11"/>
  <c r="U559" i="11"/>
  <c r="L560" i="11"/>
  <c r="M560" i="11"/>
  <c r="N560" i="11"/>
  <c r="N558" i="11" s="1"/>
  <c r="T560" i="11"/>
  <c r="U560" i="11"/>
  <c r="Q561" i="11"/>
  <c r="T561" i="11" s="1"/>
  <c r="R561" i="11"/>
  <c r="U561" i="11" s="1"/>
  <c r="S561" i="11"/>
  <c r="O562" i="11"/>
  <c r="P562" i="11"/>
  <c r="T562" i="11"/>
  <c r="U562" i="11"/>
  <c r="L563" i="11"/>
  <c r="L561" i="11" s="1"/>
  <c r="O561" i="11" s="1"/>
  <c r="M563" i="11"/>
  <c r="N563" i="11"/>
  <c r="N561" i="11" s="1"/>
  <c r="T563" i="11"/>
  <c r="U563" i="11"/>
  <c r="I575" i="11"/>
  <c r="K575" i="11" s="1"/>
  <c r="J575" i="11"/>
  <c r="L577" i="11"/>
  <c r="M577" i="11"/>
  <c r="N577" i="11"/>
  <c r="Q577" i="11"/>
  <c r="T577" i="11" s="1"/>
  <c r="R577" i="11"/>
  <c r="S577" i="11"/>
  <c r="Q578" i="11"/>
  <c r="R578" i="11"/>
  <c r="U578" i="11" s="1"/>
  <c r="S578" i="11"/>
  <c r="T578" i="11"/>
  <c r="Q579" i="11"/>
  <c r="T579" i="11" s="1"/>
  <c r="R579" i="11"/>
  <c r="U579" i="11" s="1"/>
  <c r="S579" i="11"/>
  <c r="O580" i="11"/>
  <c r="P580" i="11"/>
  <c r="T580" i="11"/>
  <c r="U580" i="11"/>
  <c r="L581" i="11"/>
  <c r="L579" i="11" s="1"/>
  <c r="O579" i="11" s="1"/>
  <c r="M581" i="11"/>
  <c r="N581" i="11"/>
  <c r="T581" i="11"/>
  <c r="U581" i="11"/>
  <c r="Q582" i="11"/>
  <c r="T582" i="11" s="1"/>
  <c r="R582" i="11"/>
  <c r="U582" i="11" s="1"/>
  <c r="S582" i="11"/>
  <c r="O583" i="11"/>
  <c r="P583" i="11"/>
  <c r="T583" i="11"/>
  <c r="U583" i="11"/>
  <c r="L584" i="11"/>
  <c r="L582" i="11" s="1"/>
  <c r="O582" i="11" s="1"/>
  <c r="M584" i="11"/>
  <c r="M582" i="11" s="1"/>
  <c r="P582" i="11" s="1"/>
  <c r="N584" i="11"/>
  <c r="N582" i="11" s="1"/>
  <c r="T584" i="11"/>
  <c r="U584" i="11"/>
  <c r="L600" i="11"/>
  <c r="M600" i="11"/>
  <c r="P600" i="11" s="1"/>
  <c r="N600" i="11"/>
  <c r="Q600" i="11"/>
  <c r="T600" i="11" s="1"/>
  <c r="R600" i="11"/>
  <c r="S600" i="11"/>
  <c r="O603" i="11"/>
  <c r="P603" i="11"/>
  <c r="T603" i="11"/>
  <c r="U603" i="11"/>
  <c r="L604" i="11"/>
  <c r="L602" i="11" s="1"/>
  <c r="O602" i="11" s="1"/>
  <c r="M604" i="11"/>
  <c r="M602" i="11" s="1"/>
  <c r="P602" i="11" s="1"/>
  <c r="N604" i="11"/>
  <c r="Q604" i="11"/>
  <c r="T604" i="11" s="1"/>
  <c r="R604" i="11"/>
  <c r="S604" i="11"/>
  <c r="S602" i="11" s="1"/>
  <c r="O606" i="11"/>
  <c r="P606" i="11"/>
  <c r="T606" i="11"/>
  <c r="U606" i="11"/>
  <c r="L607" i="11"/>
  <c r="M607" i="11"/>
  <c r="M605" i="11" s="1"/>
  <c r="P605" i="11" s="1"/>
  <c r="N607" i="11"/>
  <c r="N605" i="11" s="1"/>
  <c r="Q607" i="11"/>
  <c r="T607" i="11" s="1"/>
  <c r="R607" i="11"/>
  <c r="S607" i="11"/>
  <c r="S605" i="11" s="1"/>
  <c r="L616" i="11"/>
  <c r="O616" i="11" s="1"/>
  <c r="L617" i="11"/>
  <c r="M617" i="11"/>
  <c r="N617" i="11"/>
  <c r="N616" i="11" s="1"/>
  <c r="O617" i="11"/>
  <c r="Q617" i="11"/>
  <c r="R617" i="11"/>
  <c r="S617" i="11"/>
  <c r="T617" i="11"/>
  <c r="U617" i="11"/>
  <c r="L618" i="11"/>
  <c r="O618" i="11" s="1"/>
  <c r="M618" i="11"/>
  <c r="P618" i="11" s="1"/>
  <c r="N618" i="11"/>
  <c r="L619" i="11"/>
  <c r="O619" i="11" s="1"/>
  <c r="M619" i="11"/>
  <c r="P619" i="11" s="1"/>
  <c r="N619" i="11"/>
  <c r="O620" i="11"/>
  <c r="P620" i="11"/>
  <c r="T620" i="11"/>
  <c r="U620" i="11"/>
  <c r="O621" i="11"/>
  <c r="P621" i="11"/>
  <c r="Q621" i="11"/>
  <c r="Q619" i="11" s="1"/>
  <c r="R621" i="11"/>
  <c r="R619" i="11" s="1"/>
  <c r="S621" i="11"/>
  <c r="S618" i="11" s="1"/>
  <c r="L622" i="11"/>
  <c r="M622" i="11"/>
  <c r="N622" i="11"/>
  <c r="O622" i="11"/>
  <c r="P622" i="11"/>
  <c r="Q622" i="11"/>
  <c r="T622" i="11" s="1"/>
  <c r="R622" i="11"/>
  <c r="S622" i="11"/>
  <c r="U622" i="11"/>
  <c r="O623" i="11"/>
  <c r="P623" i="11"/>
  <c r="T623" i="11"/>
  <c r="U623" i="11"/>
  <c r="O624" i="11"/>
  <c r="P624" i="11"/>
  <c r="T624" i="11"/>
  <c r="U624" i="11"/>
  <c r="I626" i="11"/>
  <c r="K629" i="11" s="1"/>
  <c r="I627" i="11"/>
  <c r="K627" i="11" s="1"/>
  <c r="I628" i="11"/>
  <c r="K628" i="11" s="1"/>
  <c r="J632" i="11"/>
  <c r="J626" i="11" s="1"/>
  <c r="J615" i="11" s="1"/>
  <c r="I635" i="11"/>
  <c r="K635" i="11" s="1"/>
  <c r="J636" i="11"/>
  <c r="J635" i="11" s="1"/>
  <c r="L643" i="11"/>
  <c r="O643" i="11" s="1"/>
  <c r="M643" i="11"/>
  <c r="P643" i="11" s="1"/>
  <c r="N643" i="11"/>
  <c r="Q643" i="11"/>
  <c r="R643" i="11"/>
  <c r="S643" i="11"/>
  <c r="T643" i="11"/>
  <c r="L644" i="11"/>
  <c r="O644" i="11" s="1"/>
  <c r="M644" i="11"/>
  <c r="N644" i="11"/>
  <c r="P644" i="11"/>
  <c r="L645" i="11"/>
  <c r="O645" i="11" s="1"/>
  <c r="M645" i="11"/>
  <c r="P645" i="11" s="1"/>
  <c r="N645" i="11"/>
  <c r="O646" i="11"/>
  <c r="P646" i="11"/>
  <c r="T646" i="11"/>
  <c r="U646" i="11"/>
  <c r="O647" i="11"/>
  <c r="P647" i="11"/>
  <c r="Q647" i="11"/>
  <c r="Q644" i="11" s="1"/>
  <c r="R647" i="11"/>
  <c r="S647" i="11"/>
  <c r="S644" i="11" s="1"/>
  <c r="L648" i="11"/>
  <c r="M648" i="11"/>
  <c r="P648" i="11" s="1"/>
  <c r="N648" i="11"/>
  <c r="O648" i="11"/>
  <c r="Q648" i="11"/>
  <c r="T648" i="11" s="1"/>
  <c r="R648" i="11"/>
  <c r="S648" i="11"/>
  <c r="U648" i="11"/>
  <c r="O649" i="11"/>
  <c r="P649" i="11"/>
  <c r="T649" i="11"/>
  <c r="U649" i="11"/>
  <c r="O650" i="11"/>
  <c r="P650" i="11"/>
  <c r="T650" i="11"/>
  <c r="U650" i="11"/>
  <c r="I652" i="11"/>
  <c r="K652" i="11" s="1"/>
  <c r="J652" i="11"/>
  <c r="I653" i="11"/>
  <c r="K653" i="11" s="1"/>
  <c r="J653" i="11"/>
  <c r="I654" i="11"/>
  <c r="K654" i="11" s="1"/>
  <c r="J654" i="11"/>
  <c r="I657" i="11"/>
  <c r="I660" i="11"/>
  <c r="I661" i="11"/>
  <c r="K661" i="11" s="1"/>
  <c r="J661" i="11"/>
  <c r="J671" i="11"/>
  <c r="J672" i="11"/>
  <c r="I673" i="11"/>
  <c r="K673" i="11" s="1"/>
  <c r="J673" i="11"/>
  <c r="I674" i="11"/>
  <c r="K674" i="11" s="1"/>
  <c r="I675" i="11"/>
  <c r="K675" i="11" s="1"/>
  <c r="I676" i="11"/>
  <c r="K676" i="11" s="1"/>
  <c r="J676" i="11"/>
  <c r="J677" i="11"/>
  <c r="I678" i="11"/>
  <c r="K678" i="11" s="1"/>
  <c r="J678" i="11"/>
  <c r="I679" i="11"/>
  <c r="K679" i="11" s="1"/>
  <c r="J679" i="11"/>
  <c r="J680" i="11"/>
  <c r="I681" i="11"/>
  <c r="K681" i="11" s="1"/>
  <c r="J681" i="11"/>
  <c r="I682" i="11"/>
  <c r="K682" i="11" s="1"/>
  <c r="J682" i="11"/>
  <c r="L691" i="11"/>
  <c r="M691" i="11"/>
  <c r="M690" i="11" s="1"/>
  <c r="P690" i="11" s="1"/>
  <c r="N691" i="11"/>
  <c r="N690" i="11" s="1"/>
  <c r="O691" i="11"/>
  <c r="P691" i="11"/>
  <c r="Q691" i="11"/>
  <c r="R691" i="11"/>
  <c r="S691" i="11"/>
  <c r="T691" i="11"/>
  <c r="U691" i="11"/>
  <c r="L692" i="11"/>
  <c r="O692" i="11" s="1"/>
  <c r="M692" i="11"/>
  <c r="N692" i="11"/>
  <c r="P692" i="11"/>
  <c r="L693" i="11"/>
  <c r="O693" i="11" s="1"/>
  <c r="M693" i="11"/>
  <c r="P693" i="11" s="1"/>
  <c r="N693" i="11"/>
  <c r="O694" i="11"/>
  <c r="P694" i="11"/>
  <c r="T694" i="11"/>
  <c r="U694" i="11"/>
  <c r="O695" i="11"/>
  <c r="P695" i="11"/>
  <c r="Q695" i="11"/>
  <c r="Q693" i="11" s="1"/>
  <c r="R695" i="11"/>
  <c r="R693" i="11" s="1"/>
  <c r="S695" i="11"/>
  <c r="S692" i="11" s="1"/>
  <c r="L696" i="11"/>
  <c r="O696" i="11" s="1"/>
  <c r="M696" i="11"/>
  <c r="P696" i="11" s="1"/>
  <c r="N696" i="11"/>
  <c r="Q696" i="11"/>
  <c r="R696" i="11"/>
  <c r="U696" i="11" s="1"/>
  <c r="S696" i="11"/>
  <c r="T696" i="11"/>
  <c r="O697" i="11"/>
  <c r="P697" i="11"/>
  <c r="T697" i="11"/>
  <c r="U697" i="11"/>
  <c r="O698" i="11"/>
  <c r="P698" i="11"/>
  <c r="T698" i="11"/>
  <c r="U698" i="11"/>
  <c r="I700" i="11"/>
  <c r="K700" i="11" s="1"/>
  <c r="K702" i="11"/>
  <c r="I703" i="11"/>
  <c r="J703" i="11"/>
  <c r="J704" i="11"/>
  <c r="K704" i="11"/>
  <c r="I705" i="11"/>
  <c r="J705" i="11"/>
  <c r="J706" i="11"/>
  <c r="K706" i="11"/>
  <c r="I707" i="11"/>
  <c r="I689" i="11" s="1"/>
  <c r="J707" i="11"/>
  <c r="J689" i="11" s="1"/>
  <c r="J708" i="11"/>
  <c r="K708" i="11"/>
  <c r="I709" i="11"/>
  <c r="J709" i="11"/>
  <c r="J710" i="11"/>
  <c r="K710" i="11"/>
  <c r="J712" i="11"/>
  <c r="K712" i="11"/>
  <c r="Q714" i="11"/>
  <c r="T714" i="11" s="1"/>
  <c r="L715" i="11"/>
  <c r="O715" i="11" s="1"/>
  <c r="M715" i="11"/>
  <c r="N715" i="11"/>
  <c r="Q715" i="11"/>
  <c r="R715" i="11"/>
  <c r="S715" i="11"/>
  <c r="S714" i="11" s="1"/>
  <c r="T715" i="11"/>
  <c r="L716" i="11"/>
  <c r="M716" i="11"/>
  <c r="N716" i="11"/>
  <c r="O716" i="11"/>
  <c r="P716" i="11"/>
  <c r="Q716" i="11"/>
  <c r="T716" i="11" s="1"/>
  <c r="R716" i="11"/>
  <c r="S716" i="11"/>
  <c r="U716" i="11"/>
  <c r="L717" i="11"/>
  <c r="O717" i="11" s="1"/>
  <c r="M717" i="11"/>
  <c r="P717" i="11" s="1"/>
  <c r="N717" i="11"/>
  <c r="Q717" i="11"/>
  <c r="T717" i="11" s="1"/>
  <c r="R717" i="11"/>
  <c r="U717" i="11" s="1"/>
  <c r="S717" i="11"/>
  <c r="O718" i="11"/>
  <c r="P718" i="11"/>
  <c r="T718" i="11"/>
  <c r="U718" i="11"/>
  <c r="O719" i="11"/>
  <c r="P719" i="11"/>
  <c r="T719" i="11"/>
  <c r="U719" i="11"/>
  <c r="L720" i="11"/>
  <c r="O720" i="11" s="1"/>
  <c r="M720" i="11"/>
  <c r="N720" i="11"/>
  <c r="P720" i="11"/>
  <c r="Q720" i="11"/>
  <c r="T720" i="11" s="1"/>
  <c r="R720" i="11"/>
  <c r="U720" i="11" s="1"/>
  <c r="S720" i="11"/>
  <c r="O721" i="11"/>
  <c r="P721" i="11"/>
  <c r="T721" i="11"/>
  <c r="U721" i="11"/>
  <c r="O722" i="11"/>
  <c r="P722" i="11"/>
  <c r="T722" i="11"/>
  <c r="U722" i="11"/>
  <c r="I726" i="11"/>
  <c r="K726" i="11" s="1"/>
  <c r="J726" i="11"/>
  <c r="I727" i="11"/>
  <c r="K727" i="11" s="1"/>
  <c r="J727" i="11"/>
  <c r="L729" i="11"/>
  <c r="M729" i="11"/>
  <c r="M728" i="11" s="1"/>
  <c r="P728" i="11" s="1"/>
  <c r="N729" i="11"/>
  <c r="Q729" i="11"/>
  <c r="R729" i="11"/>
  <c r="U729" i="11" s="1"/>
  <c r="S729" i="11"/>
  <c r="T729" i="11"/>
  <c r="L730" i="11"/>
  <c r="O730" i="11" s="1"/>
  <c r="M730" i="11"/>
  <c r="P730" i="11" s="1"/>
  <c r="N730" i="11"/>
  <c r="L731" i="11"/>
  <c r="O731" i="11" s="1"/>
  <c r="M731" i="11"/>
  <c r="P731" i="11" s="1"/>
  <c r="N731" i="11"/>
  <c r="O732" i="11"/>
  <c r="P732" i="11"/>
  <c r="T732" i="11"/>
  <c r="U732" i="11"/>
  <c r="O733" i="11"/>
  <c r="P733" i="11"/>
  <c r="Q733" i="11"/>
  <c r="R733" i="11"/>
  <c r="R730" i="11" s="1"/>
  <c r="S733" i="11"/>
  <c r="S731" i="11" s="1"/>
  <c r="L734" i="11"/>
  <c r="M734" i="11"/>
  <c r="P734" i="11" s="1"/>
  <c r="N734" i="11"/>
  <c r="O734" i="11"/>
  <c r="Q734" i="11"/>
  <c r="T734" i="11" s="1"/>
  <c r="R734" i="11"/>
  <c r="S734" i="11"/>
  <c r="U734" i="11"/>
  <c r="O735" i="11"/>
  <c r="P735" i="11"/>
  <c r="T735" i="11"/>
  <c r="U735" i="11"/>
  <c r="O736" i="11"/>
  <c r="P736" i="11"/>
  <c r="T736" i="11"/>
  <c r="U736" i="11"/>
  <c r="I740" i="11"/>
  <c r="K740" i="11" s="1"/>
  <c r="I742" i="11"/>
  <c r="K742" i="11" s="1"/>
  <c r="I744" i="11"/>
  <c r="K744" i="11" s="1"/>
  <c r="I746" i="11"/>
  <c r="K746" i="11" s="1"/>
  <c r="I749" i="11"/>
  <c r="K749" i="11" s="1"/>
  <c r="I752" i="11"/>
  <c r="K752" i="11" s="1"/>
  <c r="I755" i="11"/>
  <c r="K755" i="11" s="1"/>
  <c r="J758" i="11"/>
  <c r="J759" i="11"/>
  <c r="M760" i="11"/>
  <c r="P760" i="11" s="1"/>
  <c r="L761" i="11"/>
  <c r="O761" i="11" s="1"/>
  <c r="M761" i="11"/>
  <c r="P761" i="11" s="1"/>
  <c r="N761" i="11"/>
  <c r="Q761" i="11"/>
  <c r="T761" i="11" s="1"/>
  <c r="R761" i="11"/>
  <c r="U761" i="11" s="1"/>
  <c r="S761" i="11"/>
  <c r="L762" i="11"/>
  <c r="M762" i="11"/>
  <c r="P762" i="11" s="1"/>
  <c r="N762" i="11"/>
  <c r="O762" i="11"/>
  <c r="L763" i="11"/>
  <c r="O763" i="11" s="1"/>
  <c r="M763" i="11"/>
  <c r="P763" i="11" s="1"/>
  <c r="N763" i="11"/>
  <c r="O764" i="11"/>
  <c r="P764" i="11"/>
  <c r="T764" i="11"/>
  <c r="U764" i="11"/>
  <c r="O765" i="11"/>
  <c r="P765" i="11"/>
  <c r="Q765" i="11"/>
  <c r="Q762" i="11" s="1"/>
  <c r="T762" i="11" s="1"/>
  <c r="R765" i="11"/>
  <c r="R762" i="11" s="1"/>
  <c r="S765" i="11"/>
  <c r="L766" i="11"/>
  <c r="M766" i="11"/>
  <c r="N766" i="11"/>
  <c r="O766" i="11"/>
  <c r="P766" i="11"/>
  <c r="Q766" i="11"/>
  <c r="T766" i="11" s="1"/>
  <c r="R766" i="11"/>
  <c r="S766" i="11"/>
  <c r="U766" i="11"/>
  <c r="O767" i="11"/>
  <c r="P767" i="11"/>
  <c r="T767" i="11"/>
  <c r="U767" i="11"/>
  <c r="O768" i="11"/>
  <c r="P768" i="11"/>
  <c r="T768" i="11"/>
  <c r="U768" i="11"/>
  <c r="I770" i="11"/>
  <c r="K770" i="11" s="1"/>
  <c r="I772" i="11"/>
  <c r="I758" i="11" s="1"/>
  <c r="K758" i="11" s="1"/>
  <c r="I774" i="11"/>
  <c r="K774" i="11" s="1"/>
  <c r="I775" i="11"/>
  <c r="I776" i="11"/>
  <c r="H777" i="11"/>
  <c r="I778" i="11"/>
  <c r="J778" i="11"/>
  <c r="I779" i="11"/>
  <c r="J779" i="11"/>
  <c r="I780" i="11"/>
  <c r="J780" i="11"/>
  <c r="I781" i="11"/>
  <c r="J781" i="11"/>
  <c r="I782" i="11"/>
  <c r="J782" i="11"/>
  <c r="I783" i="11"/>
  <c r="J783" i="11"/>
  <c r="I784" i="11"/>
  <c r="J784" i="11"/>
  <c r="I785" i="11"/>
  <c r="J785" i="11"/>
  <c r="A788" i="11"/>
  <c r="A789" i="11"/>
  <c r="L22" i="10"/>
  <c r="L19" i="10" s="1"/>
  <c r="M22" i="10"/>
  <c r="N22" i="10"/>
  <c r="Q22" i="10"/>
  <c r="T22" i="10" s="1"/>
  <c r="R22" i="10"/>
  <c r="S22" i="10"/>
  <c r="L25" i="10"/>
  <c r="M25" i="10"/>
  <c r="N25" i="10"/>
  <c r="O25" i="10"/>
  <c r="Q25" i="10"/>
  <c r="T25" i="10" s="1"/>
  <c r="R25" i="10"/>
  <c r="U25" i="10" s="1"/>
  <c r="S25" i="10"/>
  <c r="L45" i="10"/>
  <c r="O45" i="10" s="1"/>
  <c r="M45" i="10"/>
  <c r="P45" i="10" s="1"/>
  <c r="N45" i="10"/>
  <c r="Q45" i="10"/>
  <c r="R45" i="10"/>
  <c r="U45" i="10" s="1"/>
  <c r="S45" i="10"/>
  <c r="T45" i="10"/>
  <c r="Q46" i="10"/>
  <c r="R46" i="10"/>
  <c r="U46" i="10" s="1"/>
  <c r="S46" i="10"/>
  <c r="T46" i="10"/>
  <c r="Q47" i="10"/>
  <c r="T47" i="10" s="1"/>
  <c r="R47" i="10"/>
  <c r="U47" i="10" s="1"/>
  <c r="S47" i="10"/>
  <c r="O48" i="10"/>
  <c r="P48" i="10"/>
  <c r="T48" i="10"/>
  <c r="U48" i="10"/>
  <c r="L49" i="10"/>
  <c r="L47" i="10" s="1"/>
  <c r="M49" i="10"/>
  <c r="M47" i="10" s="1"/>
  <c r="N49" i="10"/>
  <c r="N47" i="10" s="1"/>
  <c r="T49" i="10"/>
  <c r="U49" i="10"/>
  <c r="Q50" i="10"/>
  <c r="T50" i="10" s="1"/>
  <c r="R50" i="10"/>
  <c r="U50" i="10" s="1"/>
  <c r="S50" i="10"/>
  <c r="O51" i="10"/>
  <c r="P51" i="10"/>
  <c r="T51" i="10"/>
  <c r="U51" i="10"/>
  <c r="L52" i="10"/>
  <c r="L50" i="10" s="1"/>
  <c r="O50" i="10" s="1"/>
  <c r="M52" i="10"/>
  <c r="N52" i="10"/>
  <c r="T52" i="10"/>
  <c r="U52" i="10"/>
  <c r="L60" i="10"/>
  <c r="O60" i="10" s="1"/>
  <c r="M60" i="10"/>
  <c r="N60" i="10"/>
  <c r="P60" i="10"/>
  <c r="Q60" i="10"/>
  <c r="R60" i="10"/>
  <c r="U60" i="10" s="1"/>
  <c r="S60" i="10"/>
  <c r="Q61" i="10"/>
  <c r="R61" i="10"/>
  <c r="U61" i="10" s="1"/>
  <c r="S61" i="10"/>
  <c r="S59" i="10" s="1"/>
  <c r="T61" i="10"/>
  <c r="Q62" i="10"/>
  <c r="R62" i="10"/>
  <c r="U62" i="10" s="1"/>
  <c r="S62" i="10"/>
  <c r="T62" i="10"/>
  <c r="O63" i="10"/>
  <c r="P63" i="10"/>
  <c r="T63" i="10"/>
  <c r="U63" i="10"/>
  <c r="L64" i="10"/>
  <c r="M64" i="10"/>
  <c r="N64" i="10"/>
  <c r="N62" i="10" s="1"/>
  <c r="T64" i="10"/>
  <c r="U64" i="10"/>
  <c r="Q65" i="10"/>
  <c r="T65" i="10" s="1"/>
  <c r="R65" i="10"/>
  <c r="U65" i="10" s="1"/>
  <c r="S65" i="10"/>
  <c r="O66" i="10"/>
  <c r="P66" i="10"/>
  <c r="T66" i="10"/>
  <c r="U66" i="10"/>
  <c r="L67" i="10"/>
  <c r="L65" i="10" s="1"/>
  <c r="M67" i="10"/>
  <c r="N67" i="10"/>
  <c r="N65" i="10" s="1"/>
  <c r="T67" i="10"/>
  <c r="U67" i="10"/>
  <c r="L73" i="10"/>
  <c r="O73" i="10" s="1"/>
  <c r="M73" i="10"/>
  <c r="N73" i="10"/>
  <c r="P73" i="10"/>
  <c r="Q73" i="10"/>
  <c r="T73" i="10" s="1"/>
  <c r="R73" i="10"/>
  <c r="U73" i="10" s="1"/>
  <c r="S73" i="10"/>
  <c r="O76" i="10"/>
  <c r="P76" i="10"/>
  <c r="T76" i="10"/>
  <c r="U76" i="10"/>
  <c r="L77" i="10"/>
  <c r="M77" i="10"/>
  <c r="N77" i="10"/>
  <c r="N75" i="10" s="1"/>
  <c r="Q77" i="10"/>
  <c r="T77" i="10" s="1"/>
  <c r="R77" i="10"/>
  <c r="R75" i="10" s="1"/>
  <c r="U75" i="10" s="1"/>
  <c r="S77" i="10"/>
  <c r="S75" i="10" s="1"/>
  <c r="O79" i="10"/>
  <c r="P79" i="10"/>
  <c r="T79" i="10"/>
  <c r="U79" i="10"/>
  <c r="L80" i="10"/>
  <c r="L78" i="10" s="1"/>
  <c r="O78" i="10" s="1"/>
  <c r="M80" i="10"/>
  <c r="M78" i="10" s="1"/>
  <c r="P78" i="10" s="1"/>
  <c r="N80" i="10"/>
  <c r="N78" i="10" s="1"/>
  <c r="Q80" i="10"/>
  <c r="R80" i="10"/>
  <c r="R78" i="10" s="1"/>
  <c r="U78" i="10" s="1"/>
  <c r="S80" i="10"/>
  <c r="S78" i="10" s="1"/>
  <c r="J82" i="10"/>
  <c r="J70" i="10" s="1"/>
  <c r="J83" i="10"/>
  <c r="J71" i="10" s="1"/>
  <c r="I84" i="10"/>
  <c r="K84" i="10" s="1"/>
  <c r="I85" i="10"/>
  <c r="I86" i="10"/>
  <c r="K86" i="10" s="1"/>
  <c r="I87" i="10"/>
  <c r="K87" i="10" s="1"/>
  <c r="I88" i="10"/>
  <c r="K88" i="10" s="1"/>
  <c r="I89" i="10"/>
  <c r="K89" i="10" s="1"/>
  <c r="I90" i="10"/>
  <c r="K90" i="10" s="1"/>
  <c r="J92" i="10"/>
  <c r="J93" i="10"/>
  <c r="L95" i="10"/>
  <c r="M95" i="10"/>
  <c r="P95" i="10" s="1"/>
  <c r="N95" i="10"/>
  <c r="Q95" i="10"/>
  <c r="R95" i="10"/>
  <c r="S95" i="10"/>
  <c r="T95" i="10"/>
  <c r="O98" i="10"/>
  <c r="P98" i="10"/>
  <c r="T98" i="10"/>
  <c r="U98" i="10"/>
  <c r="L99" i="10"/>
  <c r="O99" i="10" s="1"/>
  <c r="M99" i="10"/>
  <c r="P99" i="10" s="1"/>
  <c r="N99" i="10"/>
  <c r="N97" i="10" s="1"/>
  <c r="Q99" i="10"/>
  <c r="R99" i="10"/>
  <c r="U99" i="10" s="1"/>
  <c r="S99" i="10"/>
  <c r="S96" i="10" s="1"/>
  <c r="S94" i="10" s="1"/>
  <c r="Q100" i="10"/>
  <c r="T100" i="10" s="1"/>
  <c r="R100" i="10"/>
  <c r="U100" i="10" s="1"/>
  <c r="S100" i="10"/>
  <c r="O101" i="10"/>
  <c r="P101" i="10"/>
  <c r="T101" i="10"/>
  <c r="U101" i="10"/>
  <c r="L102" i="10"/>
  <c r="O102" i="10" s="1"/>
  <c r="M102" i="10"/>
  <c r="M100" i="10" s="1"/>
  <c r="P100" i="10" s="1"/>
  <c r="N102" i="10"/>
  <c r="N100" i="10" s="1"/>
  <c r="T102" i="10"/>
  <c r="U102" i="10"/>
  <c r="I108" i="10"/>
  <c r="K108" i="10" s="1"/>
  <c r="I109" i="10"/>
  <c r="I93" i="10" s="1"/>
  <c r="K93" i="10" s="1"/>
  <c r="I114" i="10"/>
  <c r="K114" i="10" s="1"/>
  <c r="J116" i="10"/>
  <c r="L118" i="10"/>
  <c r="M118" i="10"/>
  <c r="N118" i="10"/>
  <c r="P118" i="10"/>
  <c r="Q118" i="10"/>
  <c r="T118" i="10" s="1"/>
  <c r="R118" i="10"/>
  <c r="S118" i="10"/>
  <c r="O121" i="10"/>
  <c r="P121" i="10"/>
  <c r="T121" i="10"/>
  <c r="U121" i="10"/>
  <c r="L122" i="10"/>
  <c r="O122" i="10" s="1"/>
  <c r="M122" i="10"/>
  <c r="P122" i="10" s="1"/>
  <c r="N122" i="10"/>
  <c r="N120" i="10" s="1"/>
  <c r="Q122" i="10"/>
  <c r="Q120" i="10" s="1"/>
  <c r="R122" i="10"/>
  <c r="S122" i="10"/>
  <c r="O124" i="10"/>
  <c r="P124" i="10"/>
  <c r="T124" i="10"/>
  <c r="U124" i="10"/>
  <c r="L125" i="10"/>
  <c r="O125" i="10" s="1"/>
  <c r="M125" i="10"/>
  <c r="P125" i="10" s="1"/>
  <c r="N125" i="10"/>
  <c r="N123" i="10" s="1"/>
  <c r="Q125" i="10"/>
  <c r="Q123" i="10" s="1"/>
  <c r="T123" i="10" s="1"/>
  <c r="R125" i="10"/>
  <c r="S125" i="10"/>
  <c r="S123" i="10" s="1"/>
  <c r="I127" i="10"/>
  <c r="I116" i="10" s="1"/>
  <c r="I128" i="10"/>
  <c r="K128" i="10" s="1"/>
  <c r="I129" i="10"/>
  <c r="K129" i="10" s="1"/>
  <c r="I130" i="10"/>
  <c r="K130" i="10" s="1"/>
  <c r="J136" i="10"/>
  <c r="J137" i="10"/>
  <c r="J138" i="10"/>
  <c r="L140" i="10"/>
  <c r="M140" i="10"/>
  <c r="P140" i="10" s="1"/>
  <c r="N140" i="10"/>
  <c r="O140" i="10"/>
  <c r="Q140" i="10"/>
  <c r="T140" i="10" s="1"/>
  <c r="R140" i="10"/>
  <c r="S140" i="10"/>
  <c r="U140" i="10"/>
  <c r="O143" i="10"/>
  <c r="P143" i="10"/>
  <c r="T143" i="10"/>
  <c r="U143" i="10"/>
  <c r="L144" i="10"/>
  <c r="M144" i="10"/>
  <c r="P144" i="10" s="1"/>
  <c r="N144" i="10"/>
  <c r="N142" i="10" s="1"/>
  <c r="Q144" i="10"/>
  <c r="T144" i="10" s="1"/>
  <c r="R144" i="10"/>
  <c r="S144" i="10"/>
  <c r="O146" i="10"/>
  <c r="P146" i="10"/>
  <c r="T146" i="10"/>
  <c r="U146" i="10"/>
  <c r="L147" i="10"/>
  <c r="L145" i="10" s="1"/>
  <c r="O145" i="10" s="1"/>
  <c r="M147" i="10"/>
  <c r="P147" i="10" s="1"/>
  <c r="N147" i="10"/>
  <c r="N145" i="10" s="1"/>
  <c r="Q147" i="10"/>
  <c r="Q145" i="10" s="1"/>
  <c r="T145" i="10" s="1"/>
  <c r="R147" i="10"/>
  <c r="S147" i="10"/>
  <c r="S145" i="10" s="1"/>
  <c r="I150" i="10"/>
  <c r="K150" i="10" s="1"/>
  <c r="I151" i="10"/>
  <c r="K151" i="10" s="1"/>
  <c r="I152" i="10"/>
  <c r="I153" i="10"/>
  <c r="I154" i="10"/>
  <c r="I136" i="10" s="1"/>
  <c r="K136" i="10" s="1"/>
  <c r="J156" i="10"/>
  <c r="L158" i="10"/>
  <c r="O158" i="10" s="1"/>
  <c r="M158" i="10"/>
  <c r="P158" i="10" s="1"/>
  <c r="N158" i="10"/>
  <c r="Q158" i="10"/>
  <c r="R158" i="10"/>
  <c r="U158" i="10" s="1"/>
  <c r="S158" i="10"/>
  <c r="T158" i="10"/>
  <c r="O161" i="10"/>
  <c r="P161" i="10"/>
  <c r="T161" i="10"/>
  <c r="U161" i="10"/>
  <c r="L162" i="10"/>
  <c r="M162" i="10"/>
  <c r="N162" i="10"/>
  <c r="N160" i="10" s="1"/>
  <c r="Q162" i="10"/>
  <c r="R162" i="10"/>
  <c r="U162" i="10" s="1"/>
  <c r="S162" i="10"/>
  <c r="S159" i="10" s="1"/>
  <c r="S157" i="10" s="1"/>
  <c r="Q163" i="10"/>
  <c r="R163" i="10"/>
  <c r="U163" i="10" s="1"/>
  <c r="S163" i="10"/>
  <c r="T163" i="10"/>
  <c r="O164" i="10"/>
  <c r="P164" i="10"/>
  <c r="T164" i="10"/>
  <c r="U164" i="10"/>
  <c r="L165" i="10"/>
  <c r="O165" i="10" s="1"/>
  <c r="M165" i="10"/>
  <c r="N165" i="10"/>
  <c r="N163" i="10" s="1"/>
  <c r="T165" i="10"/>
  <c r="U165" i="10"/>
  <c r="I167" i="10"/>
  <c r="K167" i="10" s="1"/>
  <c r="I168" i="10"/>
  <c r="K168" i="10" s="1"/>
  <c r="I169" i="10"/>
  <c r="J172" i="10"/>
  <c r="L174" i="10"/>
  <c r="O174" i="10" s="1"/>
  <c r="M174" i="10"/>
  <c r="P174" i="10" s="1"/>
  <c r="N174" i="10"/>
  <c r="Q174" i="10"/>
  <c r="R174" i="10"/>
  <c r="U174" i="10" s="1"/>
  <c r="S174" i="10"/>
  <c r="T174" i="10"/>
  <c r="O177" i="10"/>
  <c r="P177" i="10"/>
  <c r="T177" i="10"/>
  <c r="U177" i="10"/>
  <c r="L178" i="10"/>
  <c r="O178" i="10" s="1"/>
  <c r="M178" i="10"/>
  <c r="N178" i="10"/>
  <c r="Q178" i="10"/>
  <c r="Q175" i="10" s="1"/>
  <c r="R178" i="10"/>
  <c r="S178" i="10"/>
  <c r="S175" i="10" s="1"/>
  <c r="Q179" i="10"/>
  <c r="T179" i="10" s="1"/>
  <c r="R179" i="10"/>
  <c r="U179" i="10" s="1"/>
  <c r="S179" i="10"/>
  <c r="O180" i="10"/>
  <c r="P180" i="10"/>
  <c r="T180" i="10"/>
  <c r="U180" i="10"/>
  <c r="L181" i="10"/>
  <c r="O181" i="10" s="1"/>
  <c r="M181" i="10"/>
  <c r="M179" i="10" s="1"/>
  <c r="P179" i="10" s="1"/>
  <c r="N181" i="10"/>
  <c r="N179" i="10" s="1"/>
  <c r="T181" i="10"/>
  <c r="U181" i="10"/>
  <c r="I183" i="10"/>
  <c r="I172" i="10" s="1"/>
  <c r="K172" i="10" s="1"/>
  <c r="K184" i="10"/>
  <c r="L187" i="10"/>
  <c r="M187" i="10"/>
  <c r="N187" i="10"/>
  <c r="Q187" i="10"/>
  <c r="R187" i="10"/>
  <c r="S187" i="10"/>
  <c r="O190" i="10"/>
  <c r="P190" i="10"/>
  <c r="T190" i="10"/>
  <c r="U190" i="10"/>
  <c r="L191" i="10"/>
  <c r="L189" i="10" s="1"/>
  <c r="M191" i="10"/>
  <c r="N191" i="10"/>
  <c r="Q191" i="10"/>
  <c r="R191" i="10"/>
  <c r="S191" i="10"/>
  <c r="S189" i="10" s="1"/>
  <c r="O193" i="10"/>
  <c r="P193" i="10"/>
  <c r="T193" i="10"/>
  <c r="U193" i="10"/>
  <c r="L194" i="10"/>
  <c r="L192" i="10" s="1"/>
  <c r="O192" i="10" s="1"/>
  <c r="M194" i="10"/>
  <c r="N194" i="10"/>
  <c r="N192" i="10" s="1"/>
  <c r="Q194" i="10"/>
  <c r="T194" i="10" s="1"/>
  <c r="R194" i="10"/>
  <c r="S194" i="10"/>
  <c r="S192" i="10" s="1"/>
  <c r="J195" i="10"/>
  <c r="L196" i="10"/>
  <c r="O196" i="10" s="1"/>
  <c r="P196" i="10"/>
  <c r="I198" i="10"/>
  <c r="I195" i="10" s="1"/>
  <c r="K195" i="10" s="1"/>
  <c r="J199" i="10"/>
  <c r="J202" i="10"/>
  <c r="N203" i="10"/>
  <c r="P203" i="10"/>
  <c r="S203" i="10"/>
  <c r="U203" i="10"/>
  <c r="L204" i="10"/>
  <c r="L205" i="10"/>
  <c r="L206" i="10"/>
  <c r="Q206" i="10"/>
  <c r="Q203" i="10" s="1"/>
  <c r="T203" i="10" s="1"/>
  <c r="L207" i="10"/>
  <c r="I209" i="10"/>
  <c r="K209" i="10" s="1"/>
  <c r="I211" i="10"/>
  <c r="K211" i="10" s="1"/>
  <c r="I212" i="10"/>
  <c r="K212" i="10" s="1"/>
  <c r="J213" i="10"/>
  <c r="N214" i="10"/>
  <c r="P214" i="10"/>
  <c r="S214" i="10"/>
  <c r="U214" i="10"/>
  <c r="L215" i="10"/>
  <c r="L216" i="10"/>
  <c r="L217" i="10"/>
  <c r="Q217" i="10"/>
  <c r="Q214" i="10" s="1"/>
  <c r="T214" i="10" s="1"/>
  <c r="I219" i="10"/>
  <c r="K219" i="10" s="1"/>
  <c r="I220" i="10"/>
  <c r="I213" i="10" s="1"/>
  <c r="K213" i="10" s="1"/>
  <c r="J221" i="10"/>
  <c r="N222" i="10"/>
  <c r="P222" i="10"/>
  <c r="L223" i="10"/>
  <c r="L224" i="10"/>
  <c r="L225" i="10"/>
  <c r="I228" i="10"/>
  <c r="K228" i="10" s="1"/>
  <c r="I229" i="10"/>
  <c r="I221" i="10" s="1"/>
  <c r="K221" i="10" s="1"/>
  <c r="I230" i="10"/>
  <c r="K230" i="10" s="1"/>
  <c r="N232" i="10"/>
  <c r="N233" i="10"/>
  <c r="N234" i="10"/>
  <c r="N235" i="10"/>
  <c r="N236" i="10"/>
  <c r="J238" i="10"/>
  <c r="I240" i="10"/>
  <c r="K240" i="10" s="1"/>
  <c r="J240" i="10"/>
  <c r="I241" i="10"/>
  <c r="K241" i="10" s="1"/>
  <c r="J241" i="10"/>
  <c r="J242" i="10"/>
  <c r="N243" i="10"/>
  <c r="P243" i="10"/>
  <c r="L244" i="10"/>
  <c r="L245" i="10"/>
  <c r="L246" i="10"/>
  <c r="L247" i="10"/>
  <c r="I249" i="10"/>
  <c r="K251" i="10"/>
  <c r="K252" i="10"/>
  <c r="J253" i="10"/>
  <c r="N254" i="10"/>
  <c r="P254" i="10"/>
  <c r="L255" i="10"/>
  <c r="L256" i="10"/>
  <c r="L257" i="10"/>
  <c r="L258" i="10"/>
  <c r="I260" i="10"/>
  <c r="K260" i="10" s="1"/>
  <c r="K262" i="10"/>
  <c r="K263" i="10"/>
  <c r="J265" i="10"/>
  <c r="L267" i="10"/>
  <c r="M267" i="10"/>
  <c r="N267" i="10"/>
  <c r="P267" i="10"/>
  <c r="Q267" i="10"/>
  <c r="R267" i="10"/>
  <c r="S267" i="10"/>
  <c r="O270" i="10"/>
  <c r="P270" i="10"/>
  <c r="T270" i="10"/>
  <c r="U270" i="10"/>
  <c r="L271" i="10"/>
  <c r="M271" i="10"/>
  <c r="N271" i="10"/>
  <c r="N269" i="10" s="1"/>
  <c r="Q271" i="10"/>
  <c r="Q268" i="10" s="1"/>
  <c r="R271" i="10"/>
  <c r="R268" i="10" s="1"/>
  <c r="S271" i="10"/>
  <c r="S268" i="10" s="1"/>
  <c r="Q272" i="10"/>
  <c r="T272" i="10" s="1"/>
  <c r="R272" i="10"/>
  <c r="U272" i="10" s="1"/>
  <c r="S272" i="10"/>
  <c r="O273" i="10"/>
  <c r="P273" i="10"/>
  <c r="T273" i="10"/>
  <c r="U273" i="10"/>
  <c r="L274" i="10"/>
  <c r="M274" i="10"/>
  <c r="N274" i="10"/>
  <c r="N272" i="10" s="1"/>
  <c r="T274" i="10"/>
  <c r="U274" i="10"/>
  <c r="I276" i="10"/>
  <c r="I265" i="10" s="1"/>
  <c r="K265" i="10" s="1"/>
  <c r="J281" i="10"/>
  <c r="L283" i="10"/>
  <c r="M283" i="10"/>
  <c r="N283" i="10"/>
  <c r="Q283" i="10"/>
  <c r="T283" i="10" s="1"/>
  <c r="R283" i="10"/>
  <c r="S283" i="10"/>
  <c r="Q284" i="10"/>
  <c r="R284" i="10"/>
  <c r="S284" i="10"/>
  <c r="T284" i="10"/>
  <c r="U284" i="10"/>
  <c r="Q285" i="10"/>
  <c r="T285" i="10" s="1"/>
  <c r="R285" i="10"/>
  <c r="S285" i="10"/>
  <c r="U285" i="10"/>
  <c r="O286" i="10"/>
  <c r="P286" i="10"/>
  <c r="T286" i="10"/>
  <c r="U286" i="10"/>
  <c r="L287" i="10"/>
  <c r="M287" i="10"/>
  <c r="P287" i="10" s="1"/>
  <c r="N287" i="10"/>
  <c r="N285" i="10" s="1"/>
  <c r="T287" i="10"/>
  <c r="U287" i="10"/>
  <c r="Q288" i="10"/>
  <c r="T288" i="10" s="1"/>
  <c r="R288" i="10"/>
  <c r="U288" i="10" s="1"/>
  <c r="S288" i="10"/>
  <c r="O289" i="10"/>
  <c r="P289" i="10"/>
  <c r="T289" i="10"/>
  <c r="U289" i="10"/>
  <c r="L290" i="10"/>
  <c r="O290" i="10" s="1"/>
  <c r="M290" i="10"/>
  <c r="M288" i="10" s="1"/>
  <c r="P288" i="10" s="1"/>
  <c r="N290" i="10"/>
  <c r="N288" i="10" s="1"/>
  <c r="T290" i="10"/>
  <c r="U290" i="10"/>
  <c r="I292" i="10"/>
  <c r="I281" i="10" s="1"/>
  <c r="K281" i="10" s="1"/>
  <c r="I293" i="10"/>
  <c r="J293" i="10"/>
  <c r="J280" i="10" s="1"/>
  <c r="I295" i="10"/>
  <c r="K295" i="10" s="1"/>
  <c r="I296" i="10"/>
  <c r="K296" i="10" s="1"/>
  <c r="J302" i="10"/>
  <c r="L304" i="10"/>
  <c r="M304" i="10"/>
  <c r="P304" i="10" s="1"/>
  <c r="N304" i="10"/>
  <c r="Q304" i="10"/>
  <c r="T304" i="10" s="1"/>
  <c r="R304" i="10"/>
  <c r="S304" i="10"/>
  <c r="O307" i="10"/>
  <c r="P307" i="10"/>
  <c r="T307" i="10"/>
  <c r="U307" i="10"/>
  <c r="L308" i="10"/>
  <c r="O308" i="10" s="1"/>
  <c r="M308" i="10"/>
  <c r="P308" i="10" s="1"/>
  <c r="N308" i="10"/>
  <c r="Q308" i="10"/>
  <c r="Q306" i="10" s="1"/>
  <c r="T306" i="10" s="1"/>
  <c r="R308" i="10"/>
  <c r="R305" i="10" s="1"/>
  <c r="U305" i="10" s="1"/>
  <c r="S308" i="10"/>
  <c r="S306" i="10" s="1"/>
  <c r="Q309" i="10"/>
  <c r="T309" i="10" s="1"/>
  <c r="R309" i="10"/>
  <c r="U309" i="10" s="1"/>
  <c r="S309" i="10"/>
  <c r="O310" i="10"/>
  <c r="P310" i="10"/>
  <c r="T310" i="10"/>
  <c r="U310" i="10"/>
  <c r="L311" i="10"/>
  <c r="O311" i="10" s="1"/>
  <c r="M311" i="10"/>
  <c r="P311" i="10" s="1"/>
  <c r="N311" i="10"/>
  <c r="N309" i="10" s="1"/>
  <c r="T311" i="10"/>
  <c r="U311" i="10"/>
  <c r="I314" i="10"/>
  <c r="J319" i="10"/>
  <c r="S320" i="10"/>
  <c r="L321" i="10"/>
  <c r="M321" i="10"/>
  <c r="P321" i="10" s="1"/>
  <c r="N321" i="10"/>
  <c r="O321" i="10"/>
  <c r="Q321" i="10"/>
  <c r="R321" i="10"/>
  <c r="S321" i="10"/>
  <c r="Q322" i="10"/>
  <c r="T322" i="10" s="1"/>
  <c r="R322" i="10"/>
  <c r="U322" i="10" s="1"/>
  <c r="S322" i="10"/>
  <c r="Q323" i="10"/>
  <c r="T323" i="10" s="1"/>
  <c r="R323" i="10"/>
  <c r="U323" i="10" s="1"/>
  <c r="S323" i="10"/>
  <c r="O324" i="10"/>
  <c r="P324" i="10"/>
  <c r="T324" i="10"/>
  <c r="U324" i="10"/>
  <c r="L325" i="10"/>
  <c r="L323" i="10" s="1"/>
  <c r="O323" i="10" s="1"/>
  <c r="M325" i="10"/>
  <c r="N325" i="10"/>
  <c r="N323" i="10" s="1"/>
  <c r="T325" i="10"/>
  <c r="U325" i="10"/>
  <c r="Q326" i="10"/>
  <c r="R326" i="10"/>
  <c r="U326" i="10" s="1"/>
  <c r="S326" i="10"/>
  <c r="T326" i="10"/>
  <c r="O327" i="10"/>
  <c r="P327" i="10"/>
  <c r="T327" i="10"/>
  <c r="U327" i="10"/>
  <c r="L328" i="10"/>
  <c r="M328" i="10"/>
  <c r="N328" i="10"/>
  <c r="N326" i="10" s="1"/>
  <c r="T328" i="10"/>
  <c r="U328" i="10"/>
  <c r="I330" i="10"/>
  <c r="L334" i="10"/>
  <c r="O334" i="10" s="1"/>
  <c r="M334" i="10"/>
  <c r="N334" i="10"/>
  <c r="Q334" i="10"/>
  <c r="R334" i="10"/>
  <c r="U334" i="10" s="1"/>
  <c r="S334" i="10"/>
  <c r="Q335" i="10"/>
  <c r="T335" i="10" s="1"/>
  <c r="R335" i="10"/>
  <c r="U335" i="10" s="1"/>
  <c r="S335" i="10"/>
  <c r="Q336" i="10"/>
  <c r="R336" i="10"/>
  <c r="U336" i="10" s="1"/>
  <c r="S336" i="10"/>
  <c r="T336" i="10"/>
  <c r="O337" i="10"/>
  <c r="P337" i="10"/>
  <c r="T337" i="10"/>
  <c r="U337" i="10"/>
  <c r="L338" i="10"/>
  <c r="M338" i="10"/>
  <c r="N338" i="10"/>
  <c r="T338" i="10"/>
  <c r="U338" i="10"/>
  <c r="Q339" i="10"/>
  <c r="R339" i="10"/>
  <c r="U339" i="10" s="1"/>
  <c r="S339" i="10"/>
  <c r="T339" i="10"/>
  <c r="O340" i="10"/>
  <c r="P340" i="10"/>
  <c r="T340" i="10"/>
  <c r="U340" i="10"/>
  <c r="L341" i="10"/>
  <c r="O341" i="10" s="1"/>
  <c r="M341" i="10"/>
  <c r="N341" i="10"/>
  <c r="N339" i="10" s="1"/>
  <c r="T341" i="10"/>
  <c r="U341" i="10"/>
  <c r="I344" i="10"/>
  <c r="J344" i="10"/>
  <c r="I346" i="10"/>
  <c r="J346" i="10"/>
  <c r="J347" i="10"/>
  <c r="J348" i="10"/>
  <c r="J349" i="10"/>
  <c r="D350" i="10"/>
  <c r="J352" i="10"/>
  <c r="J353" i="10"/>
  <c r="D354" i="10"/>
  <c r="L357" i="10"/>
  <c r="O357" i="10" s="1"/>
  <c r="M357" i="10"/>
  <c r="P357" i="10" s="1"/>
  <c r="N357" i="10"/>
  <c r="Q357" i="10"/>
  <c r="R357" i="10"/>
  <c r="U357" i="10" s="1"/>
  <c r="S357" i="10"/>
  <c r="Q358" i="10"/>
  <c r="T358" i="10" s="1"/>
  <c r="R358" i="10"/>
  <c r="S358" i="10"/>
  <c r="S356" i="10" s="1"/>
  <c r="Q359" i="10"/>
  <c r="T359" i="10" s="1"/>
  <c r="R359" i="10"/>
  <c r="U359" i="10" s="1"/>
  <c r="S359" i="10"/>
  <c r="O360" i="10"/>
  <c r="P360" i="10"/>
  <c r="T360" i="10"/>
  <c r="U360" i="10"/>
  <c r="L361" i="10"/>
  <c r="L359" i="10" s="1"/>
  <c r="M361" i="10"/>
  <c r="M359" i="10" s="1"/>
  <c r="N361" i="10"/>
  <c r="T361" i="10"/>
  <c r="U361" i="10"/>
  <c r="Q362" i="10"/>
  <c r="T362" i="10" s="1"/>
  <c r="R362" i="10"/>
  <c r="U362" i="10" s="1"/>
  <c r="S362" i="10"/>
  <c r="O363" i="10"/>
  <c r="P363" i="10"/>
  <c r="T363" i="10"/>
  <c r="U363" i="10"/>
  <c r="L364" i="10"/>
  <c r="M364" i="10"/>
  <c r="N364" i="10"/>
  <c r="N362" i="10" s="1"/>
  <c r="T364" i="10"/>
  <c r="U364" i="10"/>
  <c r="J367" i="10"/>
  <c r="K367" i="10"/>
  <c r="I368" i="10"/>
  <c r="J368" i="10"/>
  <c r="I369" i="10"/>
  <c r="J369" i="10"/>
  <c r="J370" i="10"/>
  <c r="K370" i="10"/>
  <c r="I371" i="10"/>
  <c r="J371" i="10"/>
  <c r="J365" i="10" s="1"/>
  <c r="J372" i="10"/>
  <c r="K372" i="10"/>
  <c r="D373" i="10"/>
  <c r="L376" i="10"/>
  <c r="M376" i="10"/>
  <c r="N376" i="10"/>
  <c r="Q376" i="10"/>
  <c r="T376" i="10" s="1"/>
  <c r="R376" i="10"/>
  <c r="S376" i="10"/>
  <c r="O379" i="10"/>
  <c r="P379" i="10"/>
  <c r="T379" i="10"/>
  <c r="U379" i="10"/>
  <c r="L380" i="10"/>
  <c r="M380" i="10"/>
  <c r="N380" i="10"/>
  <c r="Q380" i="10"/>
  <c r="Q377" i="10" s="1"/>
  <c r="R380" i="10"/>
  <c r="R378" i="10" s="1"/>
  <c r="S380" i="10"/>
  <c r="S378" i="10" s="1"/>
  <c r="Q381" i="10"/>
  <c r="T381" i="10" s="1"/>
  <c r="R381" i="10"/>
  <c r="U381" i="10" s="1"/>
  <c r="S381" i="10"/>
  <c r="O382" i="10"/>
  <c r="P382" i="10"/>
  <c r="T382" i="10"/>
  <c r="U382" i="10"/>
  <c r="L383" i="10"/>
  <c r="M383" i="10"/>
  <c r="N383" i="10"/>
  <c r="N381" i="10" s="1"/>
  <c r="T383" i="10"/>
  <c r="U383" i="10"/>
  <c r="J385" i="10"/>
  <c r="K385" i="10"/>
  <c r="I386" i="10"/>
  <c r="J386" i="10"/>
  <c r="J387" i="10"/>
  <c r="K387" i="10"/>
  <c r="I388" i="10"/>
  <c r="K388" i="10" s="1"/>
  <c r="J388" i="10"/>
  <c r="I391" i="10"/>
  <c r="K391" i="10" s="1"/>
  <c r="J391" i="10"/>
  <c r="L393" i="10"/>
  <c r="L392" i="10" s="1"/>
  <c r="O392" i="10" s="1"/>
  <c r="M393" i="10"/>
  <c r="N393" i="10"/>
  <c r="N392" i="10" s="1"/>
  <c r="O393" i="10"/>
  <c r="P393" i="10"/>
  <c r="Q393" i="10"/>
  <c r="R393" i="10"/>
  <c r="S393" i="10"/>
  <c r="U393" i="10"/>
  <c r="L394" i="10"/>
  <c r="O394" i="10" s="1"/>
  <c r="M394" i="10"/>
  <c r="P394" i="10" s="1"/>
  <c r="N394" i="10"/>
  <c r="L395" i="10"/>
  <c r="O395" i="10" s="1"/>
  <c r="M395" i="10"/>
  <c r="P395" i="10" s="1"/>
  <c r="N395" i="10"/>
  <c r="O396" i="10"/>
  <c r="P396" i="10"/>
  <c r="T396" i="10"/>
  <c r="U396" i="10"/>
  <c r="O397" i="10"/>
  <c r="P397" i="10"/>
  <c r="Q397" i="10"/>
  <c r="Q395" i="10" s="1"/>
  <c r="T395" i="10" s="1"/>
  <c r="R397" i="10"/>
  <c r="U397" i="10" s="1"/>
  <c r="S397" i="10"/>
  <c r="S394" i="10" s="1"/>
  <c r="S392" i="10" s="1"/>
  <c r="L398" i="10"/>
  <c r="M398" i="10"/>
  <c r="N398" i="10"/>
  <c r="O398" i="10"/>
  <c r="P398" i="10"/>
  <c r="Q398" i="10"/>
  <c r="T398" i="10" s="1"/>
  <c r="R398" i="10"/>
  <c r="U398" i="10" s="1"/>
  <c r="S398" i="10"/>
  <c r="O399" i="10"/>
  <c r="P399" i="10"/>
  <c r="T399" i="10"/>
  <c r="U399" i="10"/>
  <c r="O400" i="10"/>
  <c r="P400" i="10"/>
  <c r="T400" i="10"/>
  <c r="U400" i="10"/>
  <c r="L414" i="10"/>
  <c r="M414" i="10"/>
  <c r="N414" i="10"/>
  <c r="O414" i="10"/>
  <c r="P414" i="10"/>
  <c r="Q414" i="10"/>
  <c r="R414" i="10"/>
  <c r="S414" i="10"/>
  <c r="T414" i="10"/>
  <c r="U414" i="10"/>
  <c r="O417" i="10"/>
  <c r="P417" i="10"/>
  <c r="T417" i="10"/>
  <c r="U417" i="10"/>
  <c r="L418" i="10"/>
  <c r="M418" i="10"/>
  <c r="M416" i="10" s="1"/>
  <c r="P416" i="10" s="1"/>
  <c r="N418" i="10"/>
  <c r="N416" i="10" s="1"/>
  <c r="Q418" i="10"/>
  <c r="R418" i="10"/>
  <c r="R415" i="10" s="1"/>
  <c r="S418" i="10"/>
  <c r="S415" i="10" s="1"/>
  <c r="Q419" i="10"/>
  <c r="T419" i="10" s="1"/>
  <c r="R419" i="10"/>
  <c r="U419" i="10" s="1"/>
  <c r="S419" i="10"/>
  <c r="O420" i="10"/>
  <c r="P420" i="10"/>
  <c r="T420" i="10"/>
  <c r="U420" i="10"/>
  <c r="L421" i="10"/>
  <c r="O421" i="10" s="1"/>
  <c r="M421" i="10"/>
  <c r="P421" i="10" s="1"/>
  <c r="N421" i="10"/>
  <c r="N419" i="10" s="1"/>
  <c r="T421" i="10"/>
  <c r="U421" i="10"/>
  <c r="I424" i="10"/>
  <c r="K424" i="10" s="1"/>
  <c r="J424" i="10"/>
  <c r="I425" i="10"/>
  <c r="K425" i="10" s="1"/>
  <c r="J425" i="10"/>
  <c r="I432" i="10"/>
  <c r="K432" i="10" s="1"/>
  <c r="J432" i="10"/>
  <c r="I433" i="10"/>
  <c r="K433" i="10" s="1"/>
  <c r="J433" i="10"/>
  <c r="I440" i="10"/>
  <c r="I441" i="10"/>
  <c r="K441" i="10" s="1"/>
  <c r="J446" i="10"/>
  <c r="J440" i="10" s="1"/>
  <c r="J423" i="10" s="1"/>
  <c r="J412" i="10" s="1"/>
  <c r="J447" i="10"/>
  <c r="J441" i="10" s="1"/>
  <c r="I457" i="10"/>
  <c r="K457" i="10" s="1"/>
  <c r="I458" i="10"/>
  <c r="K458" i="10" s="1"/>
  <c r="J459" i="10"/>
  <c r="J460" i="10"/>
  <c r="J467" i="10"/>
  <c r="J468" i="10"/>
  <c r="J475" i="10"/>
  <c r="K475" i="10"/>
  <c r="J476" i="10"/>
  <c r="K476" i="10"/>
  <c r="J477" i="10"/>
  <c r="K477" i="10"/>
  <c r="J482" i="10"/>
  <c r="J483" i="10"/>
  <c r="I484" i="10"/>
  <c r="J484" i="10"/>
  <c r="K484" i="10"/>
  <c r="I485" i="10"/>
  <c r="K485" i="10" s="1"/>
  <c r="J485" i="10"/>
  <c r="L494" i="10"/>
  <c r="M494" i="10"/>
  <c r="N494" i="10"/>
  <c r="Q494" i="10"/>
  <c r="T494" i="10" s="1"/>
  <c r="R494" i="10"/>
  <c r="S494" i="10"/>
  <c r="O497" i="10"/>
  <c r="P497" i="10"/>
  <c r="T497" i="10"/>
  <c r="U497" i="10"/>
  <c r="L498" i="10"/>
  <c r="M498" i="10"/>
  <c r="N498" i="10"/>
  <c r="N496" i="10" s="1"/>
  <c r="Q498" i="10"/>
  <c r="Q495" i="10" s="1"/>
  <c r="R498" i="10"/>
  <c r="S498" i="10"/>
  <c r="S495" i="10" s="1"/>
  <c r="Q499" i="10"/>
  <c r="T499" i="10" s="1"/>
  <c r="R499" i="10"/>
  <c r="U499" i="10" s="1"/>
  <c r="S499" i="10"/>
  <c r="O500" i="10"/>
  <c r="P500" i="10"/>
  <c r="T500" i="10"/>
  <c r="U500" i="10"/>
  <c r="L501" i="10"/>
  <c r="M501" i="10"/>
  <c r="M499" i="10" s="1"/>
  <c r="P499" i="10" s="1"/>
  <c r="N501" i="10"/>
  <c r="N499" i="10" s="1"/>
  <c r="T501" i="10"/>
  <c r="U501" i="10"/>
  <c r="I503" i="10"/>
  <c r="I492" i="10" s="1"/>
  <c r="K492" i="10" s="1"/>
  <c r="I504" i="10"/>
  <c r="K504" i="10" s="1"/>
  <c r="I505" i="10"/>
  <c r="K505" i="10" s="1"/>
  <c r="I506" i="10"/>
  <c r="K506" i="10" s="1"/>
  <c r="I507" i="10"/>
  <c r="K507" i="10" s="1"/>
  <c r="K508" i="10"/>
  <c r="I509" i="10"/>
  <c r="K509" i="10" s="1"/>
  <c r="I512" i="10"/>
  <c r="K512" i="10" s="1"/>
  <c r="J512" i="10"/>
  <c r="L514" i="10"/>
  <c r="M514" i="10"/>
  <c r="N514" i="10"/>
  <c r="P514" i="10"/>
  <c r="Q514" i="10"/>
  <c r="R514" i="10"/>
  <c r="S514" i="10"/>
  <c r="Q515" i="10"/>
  <c r="T515" i="10" s="1"/>
  <c r="R515" i="10"/>
  <c r="U515" i="10" s="1"/>
  <c r="S515" i="10"/>
  <c r="Q516" i="10"/>
  <c r="R516" i="10"/>
  <c r="U516" i="10" s="1"/>
  <c r="S516" i="10"/>
  <c r="T516" i="10"/>
  <c r="O517" i="10"/>
  <c r="P517" i="10"/>
  <c r="T517" i="10"/>
  <c r="U517" i="10"/>
  <c r="L518" i="10"/>
  <c r="M518" i="10"/>
  <c r="N518" i="10"/>
  <c r="T518" i="10"/>
  <c r="U518" i="10"/>
  <c r="Q519" i="10"/>
  <c r="T519" i="10" s="1"/>
  <c r="R519" i="10"/>
  <c r="U519" i="10" s="1"/>
  <c r="S519" i="10"/>
  <c r="O520" i="10"/>
  <c r="P520" i="10"/>
  <c r="T520" i="10"/>
  <c r="U520" i="10"/>
  <c r="L521" i="10"/>
  <c r="O521" i="10" s="1"/>
  <c r="M521" i="10"/>
  <c r="N521" i="10"/>
  <c r="N519" i="10" s="1"/>
  <c r="T521" i="10"/>
  <c r="U521" i="10"/>
  <c r="K523" i="10"/>
  <c r="K524" i="10"/>
  <c r="I533" i="10"/>
  <c r="K533" i="10" s="1"/>
  <c r="J533" i="10"/>
  <c r="L535" i="10"/>
  <c r="M535" i="10"/>
  <c r="N535" i="10"/>
  <c r="Q535" i="10"/>
  <c r="T535" i="10" s="1"/>
  <c r="R535" i="10"/>
  <c r="S535" i="10"/>
  <c r="Q536" i="10"/>
  <c r="R536" i="10"/>
  <c r="U536" i="10" s="1"/>
  <c r="S536" i="10"/>
  <c r="T536" i="10"/>
  <c r="Q537" i="10"/>
  <c r="T537" i="10" s="1"/>
  <c r="R537" i="10"/>
  <c r="U537" i="10" s="1"/>
  <c r="S537" i="10"/>
  <c r="O538" i="10"/>
  <c r="P538" i="10"/>
  <c r="T538" i="10"/>
  <c r="U538" i="10"/>
  <c r="L539" i="10"/>
  <c r="L537" i="10" s="1"/>
  <c r="O537" i="10" s="1"/>
  <c r="M539" i="10"/>
  <c r="P539" i="10" s="1"/>
  <c r="N539" i="10"/>
  <c r="N537" i="10" s="1"/>
  <c r="T539" i="10"/>
  <c r="U539" i="10"/>
  <c r="Q540" i="10"/>
  <c r="R540" i="10"/>
  <c r="U540" i="10" s="1"/>
  <c r="S540" i="10"/>
  <c r="T540" i="10"/>
  <c r="O541" i="10"/>
  <c r="P541" i="10"/>
  <c r="T541" i="10"/>
  <c r="U541" i="10"/>
  <c r="L542" i="10"/>
  <c r="O542" i="10" s="1"/>
  <c r="M542" i="10"/>
  <c r="N542" i="10"/>
  <c r="N540" i="10" s="1"/>
  <c r="T542" i="10"/>
  <c r="U542" i="10"/>
  <c r="I554" i="10"/>
  <c r="K554" i="10" s="1"/>
  <c r="J554" i="10"/>
  <c r="L556" i="10"/>
  <c r="M556" i="10"/>
  <c r="N556" i="10"/>
  <c r="P556" i="10"/>
  <c r="Q556" i="10"/>
  <c r="Q555" i="10" s="1"/>
  <c r="T555" i="10" s="1"/>
  <c r="R556" i="10"/>
  <c r="S556" i="10"/>
  <c r="Q557" i="10"/>
  <c r="T557" i="10" s="1"/>
  <c r="R557" i="10"/>
  <c r="U557" i="10" s="1"/>
  <c r="S557" i="10"/>
  <c r="S555" i="10" s="1"/>
  <c r="Q558" i="10"/>
  <c r="T558" i="10" s="1"/>
  <c r="R558" i="10"/>
  <c r="U558" i="10" s="1"/>
  <c r="S558" i="10"/>
  <c r="O559" i="10"/>
  <c r="P559" i="10"/>
  <c r="T559" i="10"/>
  <c r="U559" i="10"/>
  <c r="L560" i="10"/>
  <c r="O560" i="10" s="1"/>
  <c r="M560" i="10"/>
  <c r="M558" i="10" s="1"/>
  <c r="P558" i="10" s="1"/>
  <c r="N560" i="10"/>
  <c r="N558" i="10" s="1"/>
  <c r="T560" i="10"/>
  <c r="U560" i="10"/>
  <c r="Q561" i="10"/>
  <c r="T561" i="10" s="1"/>
  <c r="R561" i="10"/>
  <c r="S561" i="10"/>
  <c r="U561" i="10"/>
  <c r="O562" i="10"/>
  <c r="P562" i="10"/>
  <c r="T562" i="10"/>
  <c r="U562" i="10"/>
  <c r="L563" i="10"/>
  <c r="M563" i="10"/>
  <c r="N563" i="10"/>
  <c r="N561" i="10" s="1"/>
  <c r="T563" i="10"/>
  <c r="U563" i="10"/>
  <c r="I575" i="10"/>
  <c r="K575" i="10" s="1"/>
  <c r="J575" i="10"/>
  <c r="L577" i="10"/>
  <c r="O577" i="10" s="1"/>
  <c r="M577" i="10"/>
  <c r="P577" i="10" s="1"/>
  <c r="N577" i="10"/>
  <c r="Q577" i="10"/>
  <c r="R577" i="10"/>
  <c r="R576" i="10" s="1"/>
  <c r="U576" i="10" s="1"/>
  <c r="S577" i="10"/>
  <c r="S576" i="10" s="1"/>
  <c r="U577" i="10"/>
  <c r="Q578" i="10"/>
  <c r="R578" i="10"/>
  <c r="S578" i="10"/>
  <c r="T578" i="10"/>
  <c r="U578" i="10"/>
  <c r="Q579" i="10"/>
  <c r="T579" i="10" s="1"/>
  <c r="R579" i="10"/>
  <c r="S579" i="10"/>
  <c r="U579" i="10"/>
  <c r="O580" i="10"/>
  <c r="P580" i="10"/>
  <c r="T580" i="10"/>
  <c r="U580" i="10"/>
  <c r="L581" i="10"/>
  <c r="M581" i="10"/>
  <c r="N581" i="10"/>
  <c r="N579" i="10" s="1"/>
  <c r="T581" i="10"/>
  <c r="U581" i="10"/>
  <c r="Q582" i="10"/>
  <c r="R582" i="10"/>
  <c r="S582" i="10"/>
  <c r="T582" i="10"/>
  <c r="U582" i="10"/>
  <c r="O583" i="10"/>
  <c r="P583" i="10"/>
  <c r="T583" i="10"/>
  <c r="U583" i="10"/>
  <c r="L584" i="10"/>
  <c r="O584" i="10" s="1"/>
  <c r="M584" i="10"/>
  <c r="N584" i="10"/>
  <c r="N582" i="10" s="1"/>
  <c r="T584" i="10"/>
  <c r="U584" i="10"/>
  <c r="L600" i="10"/>
  <c r="M600" i="10"/>
  <c r="P600" i="10" s="1"/>
  <c r="N600" i="10"/>
  <c r="O600" i="10"/>
  <c r="Q600" i="10"/>
  <c r="T600" i="10" s="1"/>
  <c r="R600" i="10"/>
  <c r="S600" i="10"/>
  <c r="O603" i="10"/>
  <c r="P603" i="10"/>
  <c r="T603" i="10"/>
  <c r="U603" i="10"/>
  <c r="L604" i="10"/>
  <c r="M604" i="10"/>
  <c r="N604" i="10"/>
  <c r="N602" i="10" s="1"/>
  <c r="Q604" i="10"/>
  <c r="R604" i="10"/>
  <c r="R602" i="10" s="1"/>
  <c r="U602" i="10" s="1"/>
  <c r="S604" i="10"/>
  <c r="S602" i="10" s="1"/>
  <c r="O606" i="10"/>
  <c r="P606" i="10"/>
  <c r="T606" i="10"/>
  <c r="U606" i="10"/>
  <c r="L607" i="10"/>
  <c r="O607" i="10" s="1"/>
  <c r="M607" i="10"/>
  <c r="P607" i="10" s="1"/>
  <c r="N607" i="10"/>
  <c r="Q607" i="10"/>
  <c r="Q605" i="10" s="1"/>
  <c r="T605" i="10" s="1"/>
  <c r="R607" i="10"/>
  <c r="R605" i="10" s="1"/>
  <c r="U605" i="10" s="1"/>
  <c r="S607" i="10"/>
  <c r="L617" i="10"/>
  <c r="M617" i="10"/>
  <c r="N617" i="10"/>
  <c r="N616" i="10" s="1"/>
  <c r="O617" i="10"/>
  <c r="P617" i="10"/>
  <c r="Q617" i="10"/>
  <c r="R617" i="10"/>
  <c r="S617" i="10"/>
  <c r="U617" i="10"/>
  <c r="L618" i="10"/>
  <c r="O618" i="10" s="1"/>
  <c r="M618" i="10"/>
  <c r="N618" i="10"/>
  <c r="L619" i="10"/>
  <c r="M619" i="10"/>
  <c r="P619" i="10" s="1"/>
  <c r="N619" i="10"/>
  <c r="O619" i="10"/>
  <c r="O620" i="10"/>
  <c r="P620" i="10"/>
  <c r="T620" i="10"/>
  <c r="U620" i="10"/>
  <c r="O621" i="10"/>
  <c r="P621" i="10"/>
  <c r="Q621" i="10"/>
  <c r="Q619" i="10" s="1"/>
  <c r="R621" i="10"/>
  <c r="R618" i="10" s="1"/>
  <c r="S621" i="10"/>
  <c r="L622" i="10"/>
  <c r="O622" i="10" s="1"/>
  <c r="M622" i="10"/>
  <c r="P622" i="10" s="1"/>
  <c r="N622" i="10"/>
  <c r="Q622" i="10"/>
  <c r="T622" i="10" s="1"/>
  <c r="R622" i="10"/>
  <c r="U622" i="10" s="1"/>
  <c r="S622" i="10"/>
  <c r="O623" i="10"/>
  <c r="P623" i="10"/>
  <c r="T623" i="10"/>
  <c r="U623" i="10"/>
  <c r="O624" i="10"/>
  <c r="P624" i="10"/>
  <c r="T624" i="10"/>
  <c r="U624" i="10"/>
  <c r="I626" i="10"/>
  <c r="K629" i="10" s="1"/>
  <c r="I627" i="10"/>
  <c r="K627" i="10" s="1"/>
  <c r="I628" i="10"/>
  <c r="K628" i="10" s="1"/>
  <c r="J632" i="10"/>
  <c r="J626" i="10" s="1"/>
  <c r="J615" i="10" s="1"/>
  <c r="I635" i="10"/>
  <c r="K635" i="10" s="1"/>
  <c r="J636" i="10"/>
  <c r="J635" i="10" s="1"/>
  <c r="L643" i="10"/>
  <c r="M643" i="10"/>
  <c r="N643" i="10"/>
  <c r="N642" i="10" s="1"/>
  <c r="O643" i="10"/>
  <c r="P643" i="10"/>
  <c r="Q643" i="10"/>
  <c r="R643" i="10"/>
  <c r="S643" i="10"/>
  <c r="U643" i="10"/>
  <c r="L644" i="10"/>
  <c r="O644" i="10" s="1"/>
  <c r="M644" i="10"/>
  <c r="P644" i="10" s="1"/>
  <c r="N644" i="10"/>
  <c r="L645" i="10"/>
  <c r="M645" i="10"/>
  <c r="P645" i="10" s="1"/>
  <c r="N645" i="10"/>
  <c r="O645" i="10"/>
  <c r="O646" i="10"/>
  <c r="P646" i="10"/>
  <c r="T646" i="10"/>
  <c r="U646" i="10"/>
  <c r="O647" i="10"/>
  <c r="P647" i="10"/>
  <c r="Q647" i="10"/>
  <c r="Q645" i="10" s="1"/>
  <c r="T645" i="10" s="1"/>
  <c r="R647" i="10"/>
  <c r="S647" i="10"/>
  <c r="L648" i="10"/>
  <c r="M648" i="10"/>
  <c r="N648" i="10"/>
  <c r="O648" i="10"/>
  <c r="P648" i="10"/>
  <c r="Q648" i="10"/>
  <c r="R648" i="10"/>
  <c r="S648" i="10"/>
  <c r="T648" i="10"/>
  <c r="U648" i="10"/>
  <c r="O649" i="10"/>
  <c r="P649" i="10"/>
  <c r="T649" i="10"/>
  <c r="U649" i="10"/>
  <c r="O650" i="10"/>
  <c r="P650" i="10"/>
  <c r="T650" i="10"/>
  <c r="U650" i="10"/>
  <c r="I652" i="10"/>
  <c r="K652" i="10" s="1"/>
  <c r="J652" i="10"/>
  <c r="I653" i="10"/>
  <c r="K653" i="10" s="1"/>
  <c r="J653" i="10"/>
  <c r="I654" i="10"/>
  <c r="K654" i="10" s="1"/>
  <c r="J654" i="10"/>
  <c r="I657" i="10"/>
  <c r="I660" i="10"/>
  <c r="I661" i="10"/>
  <c r="K661" i="10" s="1"/>
  <c r="J661" i="10"/>
  <c r="J671" i="10"/>
  <c r="J672" i="10"/>
  <c r="I673" i="10"/>
  <c r="K673" i="10" s="1"/>
  <c r="J673" i="10"/>
  <c r="I674" i="10"/>
  <c r="K674" i="10" s="1"/>
  <c r="I675" i="10"/>
  <c r="K675" i="10" s="1"/>
  <c r="I676" i="10"/>
  <c r="K676" i="10" s="1"/>
  <c r="J676" i="10"/>
  <c r="J677" i="10"/>
  <c r="I678" i="10"/>
  <c r="K678" i="10" s="1"/>
  <c r="J678" i="10"/>
  <c r="I679" i="10"/>
  <c r="K679" i="10" s="1"/>
  <c r="J679" i="10"/>
  <c r="J680" i="10"/>
  <c r="I681" i="10"/>
  <c r="K681" i="10" s="1"/>
  <c r="J681" i="10"/>
  <c r="I682" i="10"/>
  <c r="K682" i="10" s="1"/>
  <c r="J682" i="10"/>
  <c r="L691" i="10"/>
  <c r="M691" i="10"/>
  <c r="N691" i="10"/>
  <c r="N690" i="10" s="1"/>
  <c r="O691" i="10"/>
  <c r="Q691" i="10"/>
  <c r="R691" i="10"/>
  <c r="S691" i="10"/>
  <c r="T691" i="10"/>
  <c r="U691" i="10"/>
  <c r="L692" i="10"/>
  <c r="M692" i="10"/>
  <c r="N692" i="10"/>
  <c r="P692" i="10"/>
  <c r="L693" i="10"/>
  <c r="O693" i="10" s="1"/>
  <c r="M693" i="10"/>
  <c r="P693" i="10" s="1"/>
  <c r="N693" i="10"/>
  <c r="O694" i="10"/>
  <c r="P694" i="10"/>
  <c r="T694" i="10"/>
  <c r="U694" i="10"/>
  <c r="O695" i="10"/>
  <c r="P695" i="10"/>
  <c r="Q695" i="10"/>
  <c r="Q692" i="10" s="1"/>
  <c r="T692" i="10" s="1"/>
  <c r="R695" i="10"/>
  <c r="R692" i="10" s="1"/>
  <c r="S695" i="10"/>
  <c r="L696" i="10"/>
  <c r="M696" i="10"/>
  <c r="N696" i="10"/>
  <c r="O696" i="10"/>
  <c r="P696" i="10"/>
  <c r="Q696" i="10"/>
  <c r="T696" i="10" s="1"/>
  <c r="R696" i="10"/>
  <c r="S696" i="10"/>
  <c r="U696" i="10"/>
  <c r="O697" i="10"/>
  <c r="P697" i="10"/>
  <c r="T697" i="10"/>
  <c r="U697" i="10"/>
  <c r="O698" i="10"/>
  <c r="P698" i="10"/>
  <c r="T698" i="10"/>
  <c r="U698" i="10"/>
  <c r="I700" i="10"/>
  <c r="K700" i="10" s="1"/>
  <c r="K702" i="10"/>
  <c r="I703" i="10"/>
  <c r="J703" i="10"/>
  <c r="J704" i="10"/>
  <c r="K704" i="10"/>
  <c r="I705" i="10"/>
  <c r="K705" i="10" s="1"/>
  <c r="J705" i="10"/>
  <c r="J706" i="10"/>
  <c r="K706" i="10"/>
  <c r="I707" i="10"/>
  <c r="J707" i="10"/>
  <c r="J689" i="10" s="1"/>
  <c r="J708" i="10"/>
  <c r="K708" i="10"/>
  <c r="I709" i="10"/>
  <c r="K709" i="10" s="1"/>
  <c r="J709" i="10"/>
  <c r="J710" i="10"/>
  <c r="K710" i="10"/>
  <c r="J712" i="10"/>
  <c r="K712" i="10"/>
  <c r="Q714" i="10"/>
  <c r="T714" i="10" s="1"/>
  <c r="L715" i="10"/>
  <c r="O715" i="10" s="1"/>
  <c r="M715" i="10"/>
  <c r="N715" i="10"/>
  <c r="Q715" i="10"/>
  <c r="T715" i="10" s="1"/>
  <c r="R715" i="10"/>
  <c r="U715" i="10" s="1"/>
  <c r="S715" i="10"/>
  <c r="S714" i="10" s="1"/>
  <c r="L716" i="10"/>
  <c r="L714" i="10" s="1"/>
  <c r="O714" i="10" s="1"/>
  <c r="M716" i="10"/>
  <c r="N716" i="10"/>
  <c r="O716" i="10"/>
  <c r="P716" i="10"/>
  <c r="Q716" i="10"/>
  <c r="R716" i="10"/>
  <c r="S716" i="10"/>
  <c r="T716" i="10"/>
  <c r="U716" i="10"/>
  <c r="L717" i="10"/>
  <c r="O717" i="10" s="1"/>
  <c r="M717" i="10"/>
  <c r="N717" i="10"/>
  <c r="P717" i="10"/>
  <c r="Q717" i="10"/>
  <c r="T717" i="10" s="1"/>
  <c r="R717" i="10"/>
  <c r="U717" i="10" s="1"/>
  <c r="S717" i="10"/>
  <c r="O718" i="10"/>
  <c r="P718" i="10"/>
  <c r="T718" i="10"/>
  <c r="U718" i="10"/>
  <c r="O719" i="10"/>
  <c r="P719" i="10"/>
  <c r="T719" i="10"/>
  <c r="U719" i="10"/>
  <c r="L720" i="10"/>
  <c r="O720" i="10" s="1"/>
  <c r="M720" i="10"/>
  <c r="N720" i="10"/>
  <c r="P720" i="10"/>
  <c r="Q720" i="10"/>
  <c r="T720" i="10" s="1"/>
  <c r="R720" i="10"/>
  <c r="U720" i="10" s="1"/>
  <c r="S720" i="10"/>
  <c r="O721" i="10"/>
  <c r="P721" i="10"/>
  <c r="T721" i="10"/>
  <c r="U721" i="10"/>
  <c r="O722" i="10"/>
  <c r="P722" i="10"/>
  <c r="T722" i="10"/>
  <c r="U722" i="10"/>
  <c r="I726" i="10"/>
  <c r="K726" i="10" s="1"/>
  <c r="J726" i="10"/>
  <c r="I727" i="10"/>
  <c r="K727" i="10" s="1"/>
  <c r="J727" i="10"/>
  <c r="L728" i="10"/>
  <c r="O728" i="10" s="1"/>
  <c r="L729" i="10"/>
  <c r="O729" i="10" s="1"/>
  <c r="M729" i="10"/>
  <c r="N729" i="10"/>
  <c r="N728" i="10" s="1"/>
  <c r="Q729" i="10"/>
  <c r="R729" i="10"/>
  <c r="U729" i="10" s="1"/>
  <c r="S729" i="10"/>
  <c r="T729" i="10"/>
  <c r="L730" i="10"/>
  <c r="M730" i="10"/>
  <c r="N730" i="10"/>
  <c r="O730" i="10"/>
  <c r="P730" i="10"/>
  <c r="L731" i="10"/>
  <c r="O731" i="10" s="1"/>
  <c r="M731" i="10"/>
  <c r="P731" i="10" s="1"/>
  <c r="N731" i="10"/>
  <c r="O732" i="10"/>
  <c r="P732" i="10"/>
  <c r="T732" i="10"/>
  <c r="U732" i="10"/>
  <c r="O733" i="10"/>
  <c r="P733" i="10"/>
  <c r="Q733" i="10"/>
  <c r="Q730" i="10" s="1"/>
  <c r="R733" i="10"/>
  <c r="R730" i="10" s="1"/>
  <c r="R728" i="10" s="1"/>
  <c r="S733" i="10"/>
  <c r="L734" i="10"/>
  <c r="M734" i="10"/>
  <c r="P734" i="10" s="1"/>
  <c r="N734" i="10"/>
  <c r="O734" i="10"/>
  <c r="Q734" i="10"/>
  <c r="R734" i="10"/>
  <c r="S734" i="10"/>
  <c r="T734" i="10"/>
  <c r="U734" i="10"/>
  <c r="O735" i="10"/>
  <c r="P735" i="10"/>
  <c r="T735" i="10"/>
  <c r="U735" i="10"/>
  <c r="O736" i="10"/>
  <c r="P736" i="10"/>
  <c r="T736" i="10"/>
  <c r="U736" i="10"/>
  <c r="I740" i="10"/>
  <c r="K740" i="10" s="1"/>
  <c r="I742" i="10"/>
  <c r="K742" i="10" s="1"/>
  <c r="I744" i="10"/>
  <c r="K744" i="10" s="1"/>
  <c r="I746" i="10"/>
  <c r="K746" i="10" s="1"/>
  <c r="I749" i="10"/>
  <c r="K749" i="10" s="1"/>
  <c r="I752" i="10"/>
  <c r="K752" i="10" s="1"/>
  <c r="I755" i="10"/>
  <c r="K755" i="10" s="1"/>
  <c r="J758" i="10"/>
  <c r="J759" i="10"/>
  <c r="L761" i="10"/>
  <c r="M761" i="10"/>
  <c r="N761" i="10"/>
  <c r="N760" i="10" s="1"/>
  <c r="O761" i="10"/>
  <c r="Q761" i="10"/>
  <c r="R761" i="10"/>
  <c r="S761" i="10"/>
  <c r="T761" i="10"/>
  <c r="U761" i="10"/>
  <c r="L762" i="10"/>
  <c r="L760" i="10" s="1"/>
  <c r="O760" i="10" s="1"/>
  <c r="M762" i="10"/>
  <c r="N762" i="10"/>
  <c r="P762" i="10"/>
  <c r="L763" i="10"/>
  <c r="O763" i="10" s="1"/>
  <c r="M763" i="10"/>
  <c r="P763" i="10" s="1"/>
  <c r="N763" i="10"/>
  <c r="O764" i="10"/>
  <c r="P764" i="10"/>
  <c r="T764" i="10"/>
  <c r="U764" i="10"/>
  <c r="O765" i="10"/>
  <c r="P765" i="10"/>
  <c r="Q765" i="10"/>
  <c r="Q763" i="10" s="1"/>
  <c r="R765" i="10"/>
  <c r="R762" i="10" s="1"/>
  <c r="S765" i="10"/>
  <c r="S762" i="10" s="1"/>
  <c r="S760" i="10" s="1"/>
  <c r="L766" i="10"/>
  <c r="O766" i="10" s="1"/>
  <c r="M766" i="10"/>
  <c r="P766" i="10" s="1"/>
  <c r="N766" i="10"/>
  <c r="Q766" i="10"/>
  <c r="R766" i="10"/>
  <c r="U766" i="10" s="1"/>
  <c r="S766" i="10"/>
  <c r="T766" i="10"/>
  <c r="O767" i="10"/>
  <c r="P767" i="10"/>
  <c r="T767" i="10"/>
  <c r="U767" i="10"/>
  <c r="O768" i="10"/>
  <c r="P768" i="10"/>
  <c r="T768" i="10"/>
  <c r="U768" i="10"/>
  <c r="I770" i="10"/>
  <c r="K770" i="10" s="1"/>
  <c r="I772" i="10"/>
  <c r="I758" i="10" s="1"/>
  <c r="I774" i="10"/>
  <c r="I775" i="10"/>
  <c r="I776" i="10"/>
  <c r="H777" i="10"/>
  <c r="I778" i="10"/>
  <c r="J778" i="10"/>
  <c r="I779" i="10"/>
  <c r="J779" i="10"/>
  <c r="I780" i="10"/>
  <c r="J780" i="10"/>
  <c r="I781" i="10"/>
  <c r="J781" i="10"/>
  <c r="I782" i="10"/>
  <c r="K782" i="10" s="1"/>
  <c r="J782" i="10"/>
  <c r="I783" i="10"/>
  <c r="K783" i="10" s="1"/>
  <c r="J783" i="10"/>
  <c r="I784" i="10"/>
  <c r="J784" i="10"/>
  <c r="I785" i="10"/>
  <c r="J785" i="10"/>
  <c r="A788" i="10"/>
  <c r="A789" i="10"/>
  <c r="L22" i="9"/>
  <c r="L19" i="9" s="1"/>
  <c r="M22" i="9"/>
  <c r="N22" i="9"/>
  <c r="Q22" i="9"/>
  <c r="R22" i="9"/>
  <c r="S22" i="9"/>
  <c r="L25" i="9"/>
  <c r="M25" i="9"/>
  <c r="N25" i="9"/>
  <c r="Q25" i="9"/>
  <c r="T25" i="9" s="1"/>
  <c r="R25" i="9"/>
  <c r="S25" i="9"/>
  <c r="L45" i="9"/>
  <c r="O45" i="9" s="1"/>
  <c r="M45" i="9"/>
  <c r="N45" i="9"/>
  <c r="Q45" i="9"/>
  <c r="Q44" i="9" s="1"/>
  <c r="T44" i="9" s="1"/>
  <c r="R45" i="9"/>
  <c r="U45" i="9" s="1"/>
  <c r="S45" i="9"/>
  <c r="S44" i="9" s="1"/>
  <c r="T45" i="9"/>
  <c r="Q46" i="9"/>
  <c r="T46" i="9" s="1"/>
  <c r="R46" i="9"/>
  <c r="S46" i="9"/>
  <c r="U46" i="9"/>
  <c r="Q47" i="9"/>
  <c r="T47" i="9" s="1"/>
  <c r="R47" i="9"/>
  <c r="U47" i="9" s="1"/>
  <c r="S47" i="9"/>
  <c r="O48" i="9"/>
  <c r="P48" i="9"/>
  <c r="T48" i="9"/>
  <c r="U48" i="9"/>
  <c r="L49" i="9"/>
  <c r="M49" i="9"/>
  <c r="N49" i="9"/>
  <c r="N47" i="9" s="1"/>
  <c r="T49" i="9"/>
  <c r="U49" i="9"/>
  <c r="Q50" i="9"/>
  <c r="T50" i="9" s="1"/>
  <c r="R50" i="9"/>
  <c r="S50" i="9"/>
  <c r="U50" i="9"/>
  <c r="O51" i="9"/>
  <c r="P51" i="9"/>
  <c r="T51" i="9"/>
  <c r="U51" i="9"/>
  <c r="L52" i="9"/>
  <c r="M52" i="9"/>
  <c r="N52" i="9"/>
  <c r="N50" i="9" s="1"/>
  <c r="T52" i="9"/>
  <c r="U52" i="9"/>
  <c r="L60" i="9"/>
  <c r="O60" i="9" s="1"/>
  <c r="M60" i="9"/>
  <c r="N60" i="9"/>
  <c r="Q60" i="9"/>
  <c r="Q59" i="9" s="1"/>
  <c r="T59" i="9" s="1"/>
  <c r="R60" i="9"/>
  <c r="R59" i="9" s="1"/>
  <c r="U59" i="9" s="1"/>
  <c r="S60" i="9"/>
  <c r="S59" i="9" s="1"/>
  <c r="T60" i="9"/>
  <c r="U60" i="9"/>
  <c r="Q61" i="9"/>
  <c r="T61" i="9" s="1"/>
  <c r="R61" i="9"/>
  <c r="S61" i="9"/>
  <c r="U61" i="9"/>
  <c r="Q62" i="9"/>
  <c r="T62" i="9" s="1"/>
  <c r="R62" i="9"/>
  <c r="U62" i="9" s="1"/>
  <c r="S62" i="9"/>
  <c r="O63" i="9"/>
  <c r="P63" i="9"/>
  <c r="T63" i="9"/>
  <c r="U63" i="9"/>
  <c r="L64" i="9"/>
  <c r="L62" i="9" s="1"/>
  <c r="M64" i="9"/>
  <c r="M62" i="9" s="1"/>
  <c r="N64" i="9"/>
  <c r="T64" i="9"/>
  <c r="U64" i="9"/>
  <c r="Q65" i="9"/>
  <c r="T65" i="9" s="1"/>
  <c r="R65" i="9"/>
  <c r="S65" i="9"/>
  <c r="U65" i="9"/>
  <c r="O66" i="9"/>
  <c r="P66" i="9"/>
  <c r="T66" i="9"/>
  <c r="U66" i="9"/>
  <c r="L67" i="9"/>
  <c r="M67" i="9"/>
  <c r="N67" i="9"/>
  <c r="N65" i="9" s="1"/>
  <c r="T67" i="9"/>
  <c r="U67" i="9"/>
  <c r="L73" i="9"/>
  <c r="M73" i="9"/>
  <c r="N73" i="9"/>
  <c r="O73" i="9"/>
  <c r="Q73" i="9"/>
  <c r="R73" i="9"/>
  <c r="S73" i="9"/>
  <c r="T73" i="9"/>
  <c r="U73" i="9"/>
  <c r="O76" i="9"/>
  <c r="P76" i="9"/>
  <c r="T76" i="9"/>
  <c r="U76" i="9"/>
  <c r="L77" i="9"/>
  <c r="M77" i="9"/>
  <c r="N77" i="9"/>
  <c r="N75" i="9" s="1"/>
  <c r="Q77" i="9"/>
  <c r="R77" i="9"/>
  <c r="S77" i="9"/>
  <c r="O79" i="9"/>
  <c r="P79" i="9"/>
  <c r="T79" i="9"/>
  <c r="U79" i="9"/>
  <c r="L80" i="9"/>
  <c r="M80" i="9"/>
  <c r="M78" i="9" s="1"/>
  <c r="P78" i="9" s="1"/>
  <c r="N80" i="9"/>
  <c r="N78" i="9" s="1"/>
  <c r="Q80" i="9"/>
  <c r="Q78" i="9" s="1"/>
  <c r="T78" i="9" s="1"/>
  <c r="R80" i="9"/>
  <c r="U80" i="9" s="1"/>
  <c r="S80" i="9"/>
  <c r="S78" i="9" s="1"/>
  <c r="J82" i="9"/>
  <c r="J70" i="9" s="1"/>
  <c r="J83" i="9"/>
  <c r="J71" i="9" s="1"/>
  <c r="I84" i="9"/>
  <c r="I85" i="9"/>
  <c r="I86" i="9"/>
  <c r="K86" i="9" s="1"/>
  <c r="I87" i="9"/>
  <c r="K87" i="9" s="1"/>
  <c r="I88" i="9"/>
  <c r="K88" i="9" s="1"/>
  <c r="I89" i="9"/>
  <c r="K89" i="9" s="1"/>
  <c r="I90" i="9"/>
  <c r="K90" i="9" s="1"/>
  <c r="J92" i="9"/>
  <c r="J93" i="9"/>
  <c r="L95" i="9"/>
  <c r="M95" i="9"/>
  <c r="N95" i="9"/>
  <c r="Q95" i="9"/>
  <c r="R95" i="9"/>
  <c r="S95" i="9"/>
  <c r="O98" i="9"/>
  <c r="P98" i="9"/>
  <c r="T98" i="9"/>
  <c r="U98" i="9"/>
  <c r="L99" i="9"/>
  <c r="O99" i="9" s="1"/>
  <c r="M99" i="9"/>
  <c r="N99" i="9"/>
  <c r="N97" i="9" s="1"/>
  <c r="Q99" i="9"/>
  <c r="Q97" i="9" s="1"/>
  <c r="R99" i="9"/>
  <c r="R97" i="9" s="1"/>
  <c r="S99" i="9"/>
  <c r="S97" i="9" s="1"/>
  <c r="Q100" i="9"/>
  <c r="T100" i="9" s="1"/>
  <c r="R100" i="9"/>
  <c r="S100" i="9"/>
  <c r="U100" i="9"/>
  <c r="O101" i="9"/>
  <c r="P101" i="9"/>
  <c r="T101" i="9"/>
  <c r="U101" i="9"/>
  <c r="L102" i="9"/>
  <c r="O102" i="9" s="1"/>
  <c r="M102" i="9"/>
  <c r="N102" i="9"/>
  <c r="N100" i="9" s="1"/>
  <c r="T102" i="9"/>
  <c r="U102" i="9"/>
  <c r="I108" i="9"/>
  <c r="I109" i="9"/>
  <c r="I93" i="9" s="1"/>
  <c r="K93" i="9" s="1"/>
  <c r="I113" i="9"/>
  <c r="K113" i="9" s="1"/>
  <c r="I114" i="9"/>
  <c r="K114" i="9" s="1"/>
  <c r="J116" i="9"/>
  <c r="L118" i="9"/>
  <c r="O118" i="9" s="1"/>
  <c r="M118" i="9"/>
  <c r="N118" i="9"/>
  <c r="Q118" i="9"/>
  <c r="R118" i="9"/>
  <c r="U118" i="9" s="1"/>
  <c r="S118" i="9"/>
  <c r="T118" i="9"/>
  <c r="O121" i="9"/>
  <c r="P121" i="9"/>
  <c r="T121" i="9"/>
  <c r="U121" i="9"/>
  <c r="L122" i="9"/>
  <c r="M122" i="9"/>
  <c r="N122" i="9"/>
  <c r="Q122" i="9"/>
  <c r="R122" i="9"/>
  <c r="S122" i="9"/>
  <c r="S120" i="9" s="1"/>
  <c r="O124" i="9"/>
  <c r="P124" i="9"/>
  <c r="T124" i="9"/>
  <c r="U124" i="9"/>
  <c r="L125" i="9"/>
  <c r="M125" i="9"/>
  <c r="P125" i="9" s="1"/>
  <c r="N125" i="9"/>
  <c r="N123" i="9" s="1"/>
  <c r="Q125" i="9"/>
  <c r="R125" i="9"/>
  <c r="S125" i="9"/>
  <c r="S123" i="9" s="1"/>
  <c r="I127" i="9"/>
  <c r="I128" i="9"/>
  <c r="K128" i="9" s="1"/>
  <c r="I129" i="9"/>
  <c r="K129" i="9" s="1"/>
  <c r="I130" i="9"/>
  <c r="K130" i="9" s="1"/>
  <c r="J136" i="9"/>
  <c r="J137" i="9"/>
  <c r="J138" i="9"/>
  <c r="L140" i="9"/>
  <c r="O140" i="9" s="1"/>
  <c r="M140" i="9"/>
  <c r="P140" i="9" s="1"/>
  <c r="N140" i="9"/>
  <c r="Q140" i="9"/>
  <c r="R140" i="9"/>
  <c r="U140" i="9" s="1"/>
  <c r="S140" i="9"/>
  <c r="O143" i="9"/>
  <c r="P143" i="9"/>
  <c r="T143" i="9"/>
  <c r="U143" i="9"/>
  <c r="L144" i="9"/>
  <c r="M144" i="9"/>
  <c r="N144" i="9"/>
  <c r="Q144" i="9"/>
  <c r="R144" i="9"/>
  <c r="S144" i="9"/>
  <c r="S142" i="9" s="1"/>
  <c r="O146" i="9"/>
  <c r="P146" i="9"/>
  <c r="T146" i="9"/>
  <c r="U146" i="9"/>
  <c r="L147" i="9"/>
  <c r="M147" i="9"/>
  <c r="N147" i="9"/>
  <c r="N145" i="9" s="1"/>
  <c r="Q147" i="9"/>
  <c r="T147" i="9" s="1"/>
  <c r="R147" i="9"/>
  <c r="S147" i="9"/>
  <c r="S145" i="9" s="1"/>
  <c r="I150" i="9"/>
  <c r="K150" i="9" s="1"/>
  <c r="I151" i="9"/>
  <c r="K151" i="9" s="1"/>
  <c r="I152" i="9"/>
  <c r="I137" i="9" s="1"/>
  <c r="K137" i="9" s="1"/>
  <c r="I153" i="9"/>
  <c r="K153" i="9" s="1"/>
  <c r="I154" i="9"/>
  <c r="J156" i="9"/>
  <c r="L158" i="9"/>
  <c r="O158" i="9" s="1"/>
  <c r="M158" i="9"/>
  <c r="N158" i="9"/>
  <c r="P158" i="9"/>
  <c r="Q158" i="9"/>
  <c r="T158" i="9" s="1"/>
  <c r="R158" i="9"/>
  <c r="U158" i="9" s="1"/>
  <c r="S158" i="9"/>
  <c r="O161" i="9"/>
  <c r="P161" i="9"/>
  <c r="T161" i="9"/>
  <c r="U161" i="9"/>
  <c r="L162" i="9"/>
  <c r="M162" i="9"/>
  <c r="N162" i="9"/>
  <c r="Q162" i="9"/>
  <c r="Q159" i="9" s="1"/>
  <c r="T159" i="9" s="1"/>
  <c r="R162" i="9"/>
  <c r="S162" i="9"/>
  <c r="S159" i="9" s="1"/>
  <c r="S157" i="9" s="1"/>
  <c r="Q163" i="9"/>
  <c r="T163" i="9" s="1"/>
  <c r="R163" i="9"/>
  <c r="U163" i="9" s="1"/>
  <c r="S163" i="9"/>
  <c r="O164" i="9"/>
  <c r="P164" i="9"/>
  <c r="T164" i="9"/>
  <c r="U164" i="9"/>
  <c r="L165" i="9"/>
  <c r="M165" i="9"/>
  <c r="P165" i="9" s="1"/>
  <c r="N165" i="9"/>
  <c r="N163" i="9" s="1"/>
  <c r="T165" i="9"/>
  <c r="U165" i="9"/>
  <c r="I167" i="9"/>
  <c r="K167" i="9" s="1"/>
  <c r="I168" i="9"/>
  <c r="K168" i="9" s="1"/>
  <c r="I169" i="9"/>
  <c r="I156" i="9" s="1"/>
  <c r="K156" i="9" s="1"/>
  <c r="J172" i="9"/>
  <c r="L174" i="9"/>
  <c r="M174" i="9"/>
  <c r="N174" i="9"/>
  <c r="P174" i="9"/>
  <c r="Q174" i="9"/>
  <c r="T174" i="9" s="1"/>
  <c r="R174" i="9"/>
  <c r="S174" i="9"/>
  <c r="O177" i="9"/>
  <c r="P177" i="9"/>
  <c r="T177" i="9"/>
  <c r="U177" i="9"/>
  <c r="L178" i="9"/>
  <c r="O178" i="9" s="1"/>
  <c r="M178" i="9"/>
  <c r="M176" i="9" s="1"/>
  <c r="P176" i="9" s="1"/>
  <c r="N178" i="9"/>
  <c r="Q178" i="9"/>
  <c r="R178" i="9"/>
  <c r="R175" i="9" s="1"/>
  <c r="U175" i="9" s="1"/>
  <c r="S178" i="9"/>
  <c r="Q179" i="9"/>
  <c r="T179" i="9" s="1"/>
  <c r="R179" i="9"/>
  <c r="U179" i="9" s="1"/>
  <c r="S179" i="9"/>
  <c r="O180" i="9"/>
  <c r="P180" i="9"/>
  <c r="T180" i="9"/>
  <c r="U180" i="9"/>
  <c r="L181" i="9"/>
  <c r="L179" i="9" s="1"/>
  <c r="O179" i="9" s="1"/>
  <c r="M181" i="9"/>
  <c r="M179" i="9" s="1"/>
  <c r="P179" i="9" s="1"/>
  <c r="N181" i="9"/>
  <c r="N179" i="9" s="1"/>
  <c r="T181" i="9"/>
  <c r="U181" i="9"/>
  <c r="I183" i="9"/>
  <c r="K184" i="9"/>
  <c r="L187" i="9"/>
  <c r="O187" i="9" s="1"/>
  <c r="M187" i="9"/>
  <c r="P187" i="9" s="1"/>
  <c r="N187" i="9"/>
  <c r="Q187" i="9"/>
  <c r="T187" i="9" s="1"/>
  <c r="R187" i="9"/>
  <c r="U187" i="9" s="1"/>
  <c r="S187" i="9"/>
  <c r="O190" i="9"/>
  <c r="P190" i="9"/>
  <c r="T190" i="9"/>
  <c r="U190" i="9"/>
  <c r="L191" i="9"/>
  <c r="M191" i="9"/>
  <c r="M189" i="9" s="1"/>
  <c r="N191" i="9"/>
  <c r="N189" i="9" s="1"/>
  <c r="Q191" i="9"/>
  <c r="Q189" i="9" s="1"/>
  <c r="R191" i="9"/>
  <c r="S191" i="9"/>
  <c r="S189" i="9" s="1"/>
  <c r="O193" i="9"/>
  <c r="P193" i="9"/>
  <c r="T193" i="9"/>
  <c r="U193" i="9"/>
  <c r="L194" i="9"/>
  <c r="O194" i="9" s="1"/>
  <c r="M194" i="9"/>
  <c r="M192" i="9" s="1"/>
  <c r="P192" i="9" s="1"/>
  <c r="N194" i="9"/>
  <c r="N192" i="9" s="1"/>
  <c r="Q194" i="9"/>
  <c r="T194" i="9" s="1"/>
  <c r="R194" i="9"/>
  <c r="U194" i="9" s="1"/>
  <c r="S194" i="9"/>
  <c r="S192" i="9" s="1"/>
  <c r="J195" i="9"/>
  <c r="L196" i="9"/>
  <c r="O196" i="9" s="1"/>
  <c r="P196" i="9"/>
  <c r="I198" i="9"/>
  <c r="J199" i="9"/>
  <c r="J202" i="9"/>
  <c r="N203" i="9"/>
  <c r="P203" i="9"/>
  <c r="S203" i="9"/>
  <c r="U203" i="9"/>
  <c r="L204" i="9"/>
  <c r="L205" i="9"/>
  <c r="L206" i="9"/>
  <c r="Q206" i="9"/>
  <c r="Q203" i="9" s="1"/>
  <c r="L207" i="9"/>
  <c r="I209" i="9"/>
  <c r="I202" i="9" s="1"/>
  <c r="K202" i="9" s="1"/>
  <c r="I211" i="9"/>
  <c r="K211" i="9" s="1"/>
  <c r="I212" i="9"/>
  <c r="K212" i="9" s="1"/>
  <c r="J213" i="9"/>
  <c r="N214" i="9"/>
  <c r="P214" i="9"/>
  <c r="S214" i="9"/>
  <c r="U214" i="9"/>
  <c r="L215" i="9"/>
  <c r="L216" i="9"/>
  <c r="L217" i="9"/>
  <c r="Q217" i="9"/>
  <c r="Q214" i="9" s="1"/>
  <c r="T214" i="9" s="1"/>
  <c r="I219" i="9"/>
  <c r="K219" i="9" s="1"/>
  <c r="I220" i="9"/>
  <c r="J221" i="9"/>
  <c r="N222" i="9"/>
  <c r="P222" i="9"/>
  <c r="L223" i="9"/>
  <c r="L224" i="9"/>
  <c r="L225" i="9"/>
  <c r="I228" i="9"/>
  <c r="K228" i="9" s="1"/>
  <c r="I229" i="9"/>
  <c r="I230" i="9"/>
  <c r="K230" i="9" s="1"/>
  <c r="N233" i="9"/>
  <c r="N234" i="9"/>
  <c r="N235" i="9"/>
  <c r="N236" i="9"/>
  <c r="J238" i="9"/>
  <c r="I240" i="9"/>
  <c r="J240" i="9"/>
  <c r="K240" i="9"/>
  <c r="I241" i="9"/>
  <c r="K241" i="9" s="1"/>
  <c r="J241" i="9"/>
  <c r="J242" i="9"/>
  <c r="N243" i="9"/>
  <c r="N232" i="9" s="1"/>
  <c r="P243" i="9"/>
  <c r="L244" i="9"/>
  <c r="L245" i="9"/>
  <c r="L246" i="9"/>
  <c r="L247" i="9"/>
  <c r="I249" i="9"/>
  <c r="K251" i="9"/>
  <c r="K252" i="9"/>
  <c r="J253" i="9"/>
  <c r="N254" i="9"/>
  <c r="P254" i="9"/>
  <c r="L255" i="9"/>
  <c r="L256" i="9"/>
  <c r="L257" i="9"/>
  <c r="L258" i="9"/>
  <c r="I260" i="9"/>
  <c r="K262" i="9"/>
  <c r="K263" i="9"/>
  <c r="J265" i="9"/>
  <c r="L267" i="9"/>
  <c r="M267" i="9"/>
  <c r="N267" i="9"/>
  <c r="O267" i="9"/>
  <c r="Q267" i="9"/>
  <c r="R267" i="9"/>
  <c r="S267" i="9"/>
  <c r="T267" i="9"/>
  <c r="U267" i="9"/>
  <c r="O270" i="9"/>
  <c r="P270" i="9"/>
  <c r="T270" i="9"/>
  <c r="U270" i="9"/>
  <c r="L271" i="9"/>
  <c r="M271" i="9"/>
  <c r="N271" i="9"/>
  <c r="Q271" i="9"/>
  <c r="Q269" i="9" s="1"/>
  <c r="R271" i="9"/>
  <c r="R269" i="9" s="1"/>
  <c r="S271" i="9"/>
  <c r="S268" i="9" s="1"/>
  <c r="Q272" i="9"/>
  <c r="T272" i="9" s="1"/>
  <c r="R272" i="9"/>
  <c r="U272" i="9" s="1"/>
  <c r="S272" i="9"/>
  <c r="O273" i="9"/>
  <c r="P273" i="9"/>
  <c r="T273" i="9"/>
  <c r="U273" i="9"/>
  <c r="L274" i="9"/>
  <c r="L272" i="9" s="1"/>
  <c r="O272" i="9" s="1"/>
  <c r="M274" i="9"/>
  <c r="P274" i="9" s="1"/>
  <c r="N274" i="9"/>
  <c r="N272" i="9" s="1"/>
  <c r="T274" i="9"/>
  <c r="U274" i="9"/>
  <c r="I276" i="9"/>
  <c r="I265" i="9" s="1"/>
  <c r="J281" i="9"/>
  <c r="L283" i="9"/>
  <c r="O283" i="9" s="1"/>
  <c r="M283" i="9"/>
  <c r="N283" i="9"/>
  <c r="P283" i="9"/>
  <c r="Q283" i="9"/>
  <c r="R283" i="9"/>
  <c r="U283" i="9" s="1"/>
  <c r="S283" i="9"/>
  <c r="Q284" i="9"/>
  <c r="T284" i="9" s="1"/>
  <c r="R284" i="9"/>
  <c r="S284" i="9"/>
  <c r="Q285" i="9"/>
  <c r="R285" i="9"/>
  <c r="U285" i="9" s="1"/>
  <c r="S285" i="9"/>
  <c r="T285" i="9"/>
  <c r="O286" i="9"/>
  <c r="P286" i="9"/>
  <c r="T286" i="9"/>
  <c r="U286" i="9"/>
  <c r="L287" i="9"/>
  <c r="O287" i="9" s="1"/>
  <c r="M287" i="9"/>
  <c r="M285" i="9" s="1"/>
  <c r="P285" i="9" s="1"/>
  <c r="N287" i="9"/>
  <c r="N285" i="9" s="1"/>
  <c r="T287" i="9"/>
  <c r="U287" i="9"/>
  <c r="Q288" i="9"/>
  <c r="T288" i="9" s="1"/>
  <c r="R288" i="9"/>
  <c r="U288" i="9" s="1"/>
  <c r="S288" i="9"/>
  <c r="O289" i="9"/>
  <c r="P289" i="9"/>
  <c r="T289" i="9"/>
  <c r="U289" i="9"/>
  <c r="L290" i="9"/>
  <c r="O290" i="9" s="1"/>
  <c r="M290" i="9"/>
  <c r="M288" i="9" s="1"/>
  <c r="P288" i="9" s="1"/>
  <c r="N290" i="9"/>
  <c r="N288" i="9" s="1"/>
  <c r="T290" i="9"/>
  <c r="U290" i="9"/>
  <c r="I292" i="9"/>
  <c r="K292" i="9" s="1"/>
  <c r="I293" i="9"/>
  <c r="K293" i="9" s="1"/>
  <c r="J293" i="9"/>
  <c r="J280" i="9" s="1"/>
  <c r="I295" i="9"/>
  <c r="K295" i="9" s="1"/>
  <c r="I296" i="9"/>
  <c r="K296" i="9" s="1"/>
  <c r="J302" i="9"/>
  <c r="L304" i="9"/>
  <c r="M304" i="9"/>
  <c r="N304" i="9"/>
  <c r="O304" i="9"/>
  <c r="P304" i="9"/>
  <c r="Q304" i="9"/>
  <c r="T304" i="9" s="1"/>
  <c r="R304" i="9"/>
  <c r="S304" i="9"/>
  <c r="U304" i="9"/>
  <c r="O307" i="9"/>
  <c r="P307" i="9"/>
  <c r="T307" i="9"/>
  <c r="U307" i="9"/>
  <c r="L308" i="9"/>
  <c r="M308" i="9"/>
  <c r="M306" i="9" s="1"/>
  <c r="N308" i="9"/>
  <c r="N306" i="9" s="1"/>
  <c r="Q308" i="9"/>
  <c r="R308" i="9"/>
  <c r="R306" i="9" s="1"/>
  <c r="S308" i="9"/>
  <c r="Q309" i="9"/>
  <c r="R309" i="9"/>
  <c r="U309" i="9" s="1"/>
  <c r="S309" i="9"/>
  <c r="T309" i="9"/>
  <c r="O310" i="9"/>
  <c r="P310" i="9"/>
  <c r="T310" i="9"/>
  <c r="U310" i="9"/>
  <c r="L311" i="9"/>
  <c r="O311" i="9" s="1"/>
  <c r="M311" i="9"/>
  <c r="M309" i="9" s="1"/>
  <c r="P309" i="9" s="1"/>
  <c r="N311" i="9"/>
  <c r="N309" i="9" s="1"/>
  <c r="T311" i="9"/>
  <c r="U311" i="9"/>
  <c r="I314" i="9"/>
  <c r="K314" i="9" s="1"/>
  <c r="J319" i="9"/>
  <c r="R320" i="9"/>
  <c r="U320" i="9" s="1"/>
  <c r="S320" i="9"/>
  <c r="L321" i="9"/>
  <c r="M321" i="9"/>
  <c r="P321" i="9" s="1"/>
  <c r="N321" i="9"/>
  <c r="O321" i="9"/>
  <c r="Q321" i="9"/>
  <c r="R321" i="9"/>
  <c r="U321" i="9" s="1"/>
  <c r="S321" i="9"/>
  <c r="Q322" i="9"/>
  <c r="T322" i="9" s="1"/>
  <c r="R322" i="9"/>
  <c r="U322" i="9" s="1"/>
  <c r="S322" i="9"/>
  <c r="Q323" i="9"/>
  <c r="T323" i="9" s="1"/>
  <c r="R323" i="9"/>
  <c r="U323" i="9" s="1"/>
  <c r="S323" i="9"/>
  <c r="O324" i="9"/>
  <c r="P324" i="9"/>
  <c r="T324" i="9"/>
  <c r="U324" i="9"/>
  <c r="L325" i="9"/>
  <c r="L323" i="9" s="1"/>
  <c r="O323" i="9" s="1"/>
  <c r="M325" i="9"/>
  <c r="M323" i="9" s="1"/>
  <c r="P323" i="9" s="1"/>
  <c r="N325" i="9"/>
  <c r="N323" i="9" s="1"/>
  <c r="T325" i="9"/>
  <c r="U325" i="9"/>
  <c r="Q326" i="9"/>
  <c r="T326" i="9" s="1"/>
  <c r="R326" i="9"/>
  <c r="U326" i="9" s="1"/>
  <c r="S326" i="9"/>
  <c r="O327" i="9"/>
  <c r="P327" i="9"/>
  <c r="T327" i="9"/>
  <c r="U327" i="9"/>
  <c r="L328" i="9"/>
  <c r="O328" i="9" s="1"/>
  <c r="M328" i="9"/>
  <c r="P328" i="9" s="1"/>
  <c r="N328" i="9"/>
  <c r="N326" i="9" s="1"/>
  <c r="T328" i="9"/>
  <c r="U328" i="9"/>
  <c r="I330" i="9"/>
  <c r="I319" i="9" s="1"/>
  <c r="K319" i="9" s="1"/>
  <c r="L334" i="9"/>
  <c r="M334" i="9"/>
  <c r="P334" i="9" s="1"/>
  <c r="N334" i="9"/>
  <c r="O334" i="9"/>
  <c r="Q334" i="9"/>
  <c r="R334" i="9"/>
  <c r="S334" i="9"/>
  <c r="S333" i="9" s="1"/>
  <c r="T334" i="9"/>
  <c r="U334" i="9"/>
  <c r="Q335" i="9"/>
  <c r="T335" i="9" s="1"/>
  <c r="R335" i="9"/>
  <c r="S335" i="9"/>
  <c r="U335" i="9"/>
  <c r="Q336" i="9"/>
  <c r="R336" i="9"/>
  <c r="U336" i="9" s="1"/>
  <c r="S336" i="9"/>
  <c r="T336" i="9"/>
  <c r="O337" i="9"/>
  <c r="P337" i="9"/>
  <c r="T337" i="9"/>
  <c r="U337" i="9"/>
  <c r="L338" i="9"/>
  <c r="L336" i="9" s="1"/>
  <c r="M338" i="9"/>
  <c r="M336" i="9" s="1"/>
  <c r="N338" i="9"/>
  <c r="T338" i="9"/>
  <c r="U338" i="9"/>
  <c r="Q339" i="9"/>
  <c r="T339" i="9" s="1"/>
  <c r="R339" i="9"/>
  <c r="U339" i="9" s="1"/>
  <c r="S339" i="9"/>
  <c r="O340" i="9"/>
  <c r="P340" i="9"/>
  <c r="T340" i="9"/>
  <c r="U340" i="9"/>
  <c r="L341" i="9"/>
  <c r="L339" i="9" s="1"/>
  <c r="O339" i="9" s="1"/>
  <c r="M341" i="9"/>
  <c r="P341" i="9" s="1"/>
  <c r="N341" i="9"/>
  <c r="N339" i="9" s="1"/>
  <c r="T341" i="9"/>
  <c r="U341" i="9"/>
  <c r="I344" i="9"/>
  <c r="J344" i="9"/>
  <c r="I346" i="9"/>
  <c r="J346" i="9"/>
  <c r="J347" i="9"/>
  <c r="J348" i="9"/>
  <c r="J349" i="9"/>
  <c r="D350" i="9"/>
  <c r="J352" i="9"/>
  <c r="J353" i="9"/>
  <c r="D354" i="9"/>
  <c r="L357" i="9"/>
  <c r="M357" i="9"/>
  <c r="N357" i="9"/>
  <c r="O357" i="9"/>
  <c r="P357" i="9"/>
  <c r="Q357" i="9"/>
  <c r="R357" i="9"/>
  <c r="S357" i="9"/>
  <c r="Q358" i="9"/>
  <c r="T358" i="9" s="1"/>
  <c r="R358" i="9"/>
  <c r="U358" i="9" s="1"/>
  <c r="S358" i="9"/>
  <c r="S356" i="9" s="1"/>
  <c r="Q359" i="9"/>
  <c r="T359" i="9" s="1"/>
  <c r="R359" i="9"/>
  <c r="U359" i="9" s="1"/>
  <c r="S359" i="9"/>
  <c r="O360" i="9"/>
  <c r="P360" i="9"/>
  <c r="T360" i="9"/>
  <c r="U360" i="9"/>
  <c r="L361" i="9"/>
  <c r="L359" i="9" s="1"/>
  <c r="M361" i="9"/>
  <c r="M359" i="9" s="1"/>
  <c r="N361" i="9"/>
  <c r="T361" i="9"/>
  <c r="U361" i="9"/>
  <c r="Q362" i="9"/>
  <c r="T362" i="9" s="1"/>
  <c r="R362" i="9"/>
  <c r="U362" i="9" s="1"/>
  <c r="S362" i="9"/>
  <c r="O363" i="9"/>
  <c r="P363" i="9"/>
  <c r="T363" i="9"/>
  <c r="U363" i="9"/>
  <c r="L364" i="9"/>
  <c r="O364" i="9" s="1"/>
  <c r="M364" i="9"/>
  <c r="P364" i="9" s="1"/>
  <c r="N364" i="9"/>
  <c r="T364" i="9"/>
  <c r="U364" i="9"/>
  <c r="J367" i="9"/>
  <c r="K367" i="9"/>
  <c r="I368" i="9"/>
  <c r="J368" i="9"/>
  <c r="I369" i="9"/>
  <c r="J369" i="9"/>
  <c r="J370" i="9"/>
  <c r="K370" i="9"/>
  <c r="I371" i="9"/>
  <c r="J371" i="9"/>
  <c r="J365" i="9" s="1"/>
  <c r="J372" i="9"/>
  <c r="K372" i="9"/>
  <c r="D373" i="9"/>
  <c r="J374" i="9"/>
  <c r="L376" i="9"/>
  <c r="O376" i="9" s="1"/>
  <c r="M376" i="9"/>
  <c r="P376" i="9" s="1"/>
  <c r="N376" i="9"/>
  <c r="Q376" i="9"/>
  <c r="T376" i="9" s="1"/>
  <c r="R376" i="9"/>
  <c r="U376" i="9" s="1"/>
  <c r="S376" i="9"/>
  <c r="O379" i="9"/>
  <c r="P379" i="9"/>
  <c r="T379" i="9"/>
  <c r="U379" i="9"/>
  <c r="L380" i="9"/>
  <c r="L378" i="9" s="1"/>
  <c r="O378" i="9" s="1"/>
  <c r="M380" i="9"/>
  <c r="N380" i="9"/>
  <c r="Q380" i="9"/>
  <c r="R380" i="9"/>
  <c r="U380" i="9" s="1"/>
  <c r="S380" i="9"/>
  <c r="S378" i="9" s="1"/>
  <c r="Q381" i="9"/>
  <c r="T381" i="9" s="1"/>
  <c r="R381" i="9"/>
  <c r="U381" i="9" s="1"/>
  <c r="S381" i="9"/>
  <c r="O382" i="9"/>
  <c r="P382" i="9"/>
  <c r="T382" i="9"/>
  <c r="U382" i="9"/>
  <c r="L383" i="9"/>
  <c r="O383" i="9" s="1"/>
  <c r="M383" i="9"/>
  <c r="N383" i="9"/>
  <c r="N381" i="9" s="1"/>
  <c r="T383" i="9"/>
  <c r="U383" i="9"/>
  <c r="I385" i="9"/>
  <c r="I386" i="9"/>
  <c r="K386" i="9" s="1"/>
  <c r="K387" i="9"/>
  <c r="K388" i="9"/>
  <c r="I391" i="9"/>
  <c r="K391" i="9" s="1"/>
  <c r="J391" i="9"/>
  <c r="L393" i="9"/>
  <c r="M393" i="9"/>
  <c r="P393" i="9" s="1"/>
  <c r="N393" i="9"/>
  <c r="N392" i="9" s="1"/>
  <c r="O393" i="9"/>
  <c r="Q393" i="9"/>
  <c r="R393" i="9"/>
  <c r="S393" i="9"/>
  <c r="U393" i="9"/>
  <c r="L394" i="9"/>
  <c r="M394" i="9"/>
  <c r="P394" i="9" s="1"/>
  <c r="N394" i="9"/>
  <c r="L395" i="9"/>
  <c r="O395" i="9" s="1"/>
  <c r="M395" i="9"/>
  <c r="P395" i="9" s="1"/>
  <c r="N395" i="9"/>
  <c r="O396" i="9"/>
  <c r="P396" i="9"/>
  <c r="T396" i="9"/>
  <c r="U396" i="9"/>
  <c r="O397" i="9"/>
  <c r="P397" i="9"/>
  <c r="Q397" i="9"/>
  <c r="R397" i="9"/>
  <c r="S397" i="9"/>
  <c r="S395" i="9" s="1"/>
  <c r="L398" i="9"/>
  <c r="O398" i="9" s="1"/>
  <c r="M398" i="9"/>
  <c r="P398" i="9" s="1"/>
  <c r="N398" i="9"/>
  <c r="Q398" i="9"/>
  <c r="T398" i="9" s="1"/>
  <c r="R398" i="9"/>
  <c r="U398" i="9" s="1"/>
  <c r="S398" i="9"/>
  <c r="O399" i="9"/>
  <c r="P399" i="9"/>
  <c r="T399" i="9"/>
  <c r="U399" i="9"/>
  <c r="O400" i="9"/>
  <c r="P400" i="9"/>
  <c r="T400" i="9"/>
  <c r="U400" i="9"/>
  <c r="L414" i="9"/>
  <c r="O414" i="9" s="1"/>
  <c r="M414" i="9"/>
  <c r="P414" i="9" s="1"/>
  <c r="N414" i="9"/>
  <c r="Q414" i="9"/>
  <c r="R414" i="9"/>
  <c r="U414" i="9" s="1"/>
  <c r="S414" i="9"/>
  <c r="O417" i="9"/>
  <c r="P417" i="9"/>
  <c r="T417" i="9"/>
  <c r="U417" i="9"/>
  <c r="L418" i="9"/>
  <c r="M418" i="9"/>
  <c r="M416" i="9" s="1"/>
  <c r="N418" i="9"/>
  <c r="Q418" i="9"/>
  <c r="Q415" i="9" s="1"/>
  <c r="R418" i="9"/>
  <c r="S418" i="9"/>
  <c r="S416" i="9" s="1"/>
  <c r="Q419" i="9"/>
  <c r="T419" i="9" s="1"/>
  <c r="R419" i="9"/>
  <c r="U419" i="9" s="1"/>
  <c r="S419" i="9"/>
  <c r="O420" i="9"/>
  <c r="P420" i="9"/>
  <c r="T420" i="9"/>
  <c r="U420" i="9"/>
  <c r="L421" i="9"/>
  <c r="O421" i="9" s="1"/>
  <c r="M421" i="9"/>
  <c r="N421" i="9"/>
  <c r="N419" i="9" s="1"/>
  <c r="T421" i="9"/>
  <c r="U421" i="9"/>
  <c r="I424" i="9"/>
  <c r="K424" i="9" s="1"/>
  <c r="J424" i="9"/>
  <c r="I425" i="9"/>
  <c r="K425" i="9" s="1"/>
  <c r="J425" i="9"/>
  <c r="I432" i="9"/>
  <c r="K432" i="9" s="1"/>
  <c r="J432" i="9"/>
  <c r="I433" i="9"/>
  <c r="K433" i="9" s="1"/>
  <c r="J433" i="9"/>
  <c r="I440" i="9"/>
  <c r="I423" i="9" s="1"/>
  <c r="K423" i="9" s="1"/>
  <c r="I441" i="9"/>
  <c r="K441" i="9" s="1"/>
  <c r="J446" i="9"/>
  <c r="J440" i="9" s="1"/>
  <c r="J423" i="9" s="1"/>
  <c r="J412" i="9" s="1"/>
  <c r="J447" i="9"/>
  <c r="J441" i="9" s="1"/>
  <c r="I457" i="9"/>
  <c r="I456" i="9" s="1"/>
  <c r="I458" i="9"/>
  <c r="K458" i="9" s="1"/>
  <c r="J459" i="9"/>
  <c r="J457" i="9" s="1"/>
  <c r="J456" i="9" s="1"/>
  <c r="J460" i="9"/>
  <c r="J467" i="9"/>
  <c r="J468" i="9"/>
  <c r="J475" i="9"/>
  <c r="K475" i="9"/>
  <c r="J476" i="9"/>
  <c r="K476" i="9"/>
  <c r="J477" i="9"/>
  <c r="K477" i="9"/>
  <c r="J482" i="9"/>
  <c r="J483" i="9"/>
  <c r="I484" i="9"/>
  <c r="K484" i="9" s="1"/>
  <c r="J484" i="9"/>
  <c r="I485" i="9"/>
  <c r="K485" i="9" s="1"/>
  <c r="J485" i="9"/>
  <c r="L494" i="9"/>
  <c r="M494" i="9"/>
  <c r="P494" i="9" s="1"/>
  <c r="N494" i="9"/>
  <c r="Q494" i="9"/>
  <c r="R494" i="9"/>
  <c r="S494" i="9"/>
  <c r="T494" i="9"/>
  <c r="O497" i="9"/>
  <c r="P497" i="9"/>
  <c r="T497" i="9"/>
  <c r="U497" i="9"/>
  <c r="L498" i="9"/>
  <c r="M498" i="9"/>
  <c r="N498" i="9"/>
  <c r="Q498" i="9"/>
  <c r="R498" i="9"/>
  <c r="R496" i="9" s="1"/>
  <c r="U496" i="9" s="1"/>
  <c r="S498" i="9"/>
  <c r="S495" i="9" s="1"/>
  <c r="S493" i="9" s="1"/>
  <c r="Q499" i="9"/>
  <c r="T499" i="9" s="1"/>
  <c r="R499" i="9"/>
  <c r="U499" i="9" s="1"/>
  <c r="S499" i="9"/>
  <c r="O500" i="9"/>
  <c r="P500" i="9"/>
  <c r="T500" i="9"/>
  <c r="U500" i="9"/>
  <c r="L501" i="9"/>
  <c r="M501" i="9"/>
  <c r="N501" i="9"/>
  <c r="N499" i="9" s="1"/>
  <c r="T501" i="9"/>
  <c r="U501" i="9"/>
  <c r="I503" i="9"/>
  <c r="K503" i="9" s="1"/>
  <c r="I504" i="9"/>
  <c r="I505" i="9"/>
  <c r="K505" i="9" s="1"/>
  <c r="I506" i="9"/>
  <c r="K506" i="9" s="1"/>
  <c r="I507" i="9"/>
  <c r="K507" i="9" s="1"/>
  <c r="K508" i="9"/>
  <c r="I509" i="9"/>
  <c r="K509" i="9" s="1"/>
  <c r="I512" i="9"/>
  <c r="J512" i="9"/>
  <c r="K512" i="9"/>
  <c r="L514" i="9"/>
  <c r="M514" i="9"/>
  <c r="P514" i="9" s="1"/>
  <c r="N514" i="9"/>
  <c r="Q514" i="9"/>
  <c r="R514" i="9"/>
  <c r="S514" i="9"/>
  <c r="T514" i="9"/>
  <c r="Q515" i="9"/>
  <c r="R515" i="9"/>
  <c r="S515" i="9"/>
  <c r="U515" i="9"/>
  <c r="Q516" i="9"/>
  <c r="R516" i="9"/>
  <c r="S516" i="9"/>
  <c r="T516" i="9"/>
  <c r="U516" i="9"/>
  <c r="O517" i="9"/>
  <c r="P517" i="9"/>
  <c r="T517" i="9"/>
  <c r="U517" i="9"/>
  <c r="L518" i="9"/>
  <c r="M518" i="9"/>
  <c r="N518" i="9"/>
  <c r="N516" i="9" s="1"/>
  <c r="T518" i="9"/>
  <c r="U518" i="9"/>
  <c r="Q519" i="9"/>
  <c r="T519" i="9" s="1"/>
  <c r="R519" i="9"/>
  <c r="U519" i="9" s="1"/>
  <c r="S519" i="9"/>
  <c r="O520" i="9"/>
  <c r="P520" i="9"/>
  <c r="T520" i="9"/>
  <c r="U520" i="9"/>
  <c r="L521" i="9"/>
  <c r="L519" i="9" s="1"/>
  <c r="O519" i="9" s="1"/>
  <c r="M521" i="9"/>
  <c r="M519" i="9" s="1"/>
  <c r="P519" i="9" s="1"/>
  <c r="N521" i="9"/>
  <c r="N519" i="9" s="1"/>
  <c r="T521" i="9"/>
  <c r="U521" i="9"/>
  <c r="K523" i="9"/>
  <c r="K524" i="9"/>
  <c r="I533" i="9"/>
  <c r="J533" i="9"/>
  <c r="K533" i="9"/>
  <c r="L535" i="9"/>
  <c r="O535" i="9" s="1"/>
  <c r="M535" i="9"/>
  <c r="N535" i="9"/>
  <c r="Q535" i="9"/>
  <c r="R535" i="9"/>
  <c r="S535" i="9"/>
  <c r="T535" i="9"/>
  <c r="Q536" i="9"/>
  <c r="T536" i="9" s="1"/>
  <c r="R536" i="9"/>
  <c r="S536" i="9"/>
  <c r="U536" i="9"/>
  <c r="Q537" i="9"/>
  <c r="T537" i="9" s="1"/>
  <c r="R537" i="9"/>
  <c r="U537" i="9" s="1"/>
  <c r="S537" i="9"/>
  <c r="O538" i="9"/>
  <c r="P538" i="9"/>
  <c r="T538" i="9"/>
  <c r="U538" i="9"/>
  <c r="L539" i="9"/>
  <c r="M539" i="9"/>
  <c r="N539" i="9"/>
  <c r="N537" i="9" s="1"/>
  <c r="T539" i="9"/>
  <c r="U539" i="9"/>
  <c r="Q540" i="9"/>
  <c r="T540" i="9" s="1"/>
  <c r="R540" i="9"/>
  <c r="S540" i="9"/>
  <c r="U540" i="9"/>
  <c r="O541" i="9"/>
  <c r="P541" i="9"/>
  <c r="T541" i="9"/>
  <c r="U541" i="9"/>
  <c r="L542" i="9"/>
  <c r="O542" i="9" s="1"/>
  <c r="M542" i="9"/>
  <c r="N542" i="9"/>
  <c r="N540" i="9" s="1"/>
  <c r="T542" i="9"/>
  <c r="U542" i="9"/>
  <c r="I554" i="9"/>
  <c r="K554" i="9" s="1"/>
  <c r="J554" i="9"/>
  <c r="L556" i="9"/>
  <c r="M556" i="9"/>
  <c r="P556" i="9" s="1"/>
  <c r="N556" i="9"/>
  <c r="Q556" i="9"/>
  <c r="R556" i="9"/>
  <c r="S556" i="9"/>
  <c r="Q557" i="9"/>
  <c r="T557" i="9" s="1"/>
  <c r="R557" i="9"/>
  <c r="U557" i="9" s="1"/>
  <c r="S557" i="9"/>
  <c r="Q558" i="9"/>
  <c r="T558" i="9" s="1"/>
  <c r="R558" i="9"/>
  <c r="S558" i="9"/>
  <c r="U558" i="9"/>
  <c r="O559" i="9"/>
  <c r="P559" i="9"/>
  <c r="T559" i="9"/>
  <c r="U559" i="9"/>
  <c r="L560" i="9"/>
  <c r="M560" i="9"/>
  <c r="N560" i="9"/>
  <c r="N558" i="9" s="1"/>
  <c r="T560" i="9"/>
  <c r="U560" i="9"/>
  <c r="Q561" i="9"/>
  <c r="T561" i="9" s="1"/>
  <c r="R561" i="9"/>
  <c r="U561" i="9" s="1"/>
  <c r="S561" i="9"/>
  <c r="O562" i="9"/>
  <c r="P562" i="9"/>
  <c r="T562" i="9"/>
  <c r="U562" i="9"/>
  <c r="L563" i="9"/>
  <c r="M563" i="9"/>
  <c r="N563" i="9"/>
  <c r="N561" i="9" s="1"/>
  <c r="T563" i="9"/>
  <c r="U563" i="9"/>
  <c r="I575" i="9"/>
  <c r="K575" i="9" s="1"/>
  <c r="J575" i="9"/>
  <c r="L577" i="9"/>
  <c r="M577" i="9"/>
  <c r="P577" i="9" s="1"/>
  <c r="N577" i="9"/>
  <c r="Q577" i="9"/>
  <c r="R577" i="9"/>
  <c r="S577" i="9"/>
  <c r="S576" i="9" s="1"/>
  <c r="T577" i="9"/>
  <c r="Q578" i="9"/>
  <c r="T578" i="9" s="1"/>
  <c r="R578" i="9"/>
  <c r="S578" i="9"/>
  <c r="U578" i="9"/>
  <c r="Q579" i="9"/>
  <c r="T579" i="9" s="1"/>
  <c r="R579" i="9"/>
  <c r="U579" i="9" s="1"/>
  <c r="S579" i="9"/>
  <c r="O580" i="9"/>
  <c r="P580" i="9"/>
  <c r="T580" i="9"/>
  <c r="U580" i="9"/>
  <c r="L581" i="9"/>
  <c r="L579" i="9" s="1"/>
  <c r="M581" i="9"/>
  <c r="M579" i="9" s="1"/>
  <c r="N581" i="9"/>
  <c r="N579" i="9" s="1"/>
  <c r="T581" i="9"/>
  <c r="U581" i="9"/>
  <c r="Q582" i="9"/>
  <c r="T582" i="9" s="1"/>
  <c r="R582" i="9"/>
  <c r="U582" i="9" s="1"/>
  <c r="S582" i="9"/>
  <c r="O583" i="9"/>
  <c r="P583" i="9"/>
  <c r="T583" i="9"/>
  <c r="U583" i="9"/>
  <c r="L584" i="9"/>
  <c r="O584" i="9" s="1"/>
  <c r="M584" i="9"/>
  <c r="N584" i="9"/>
  <c r="N582" i="9" s="1"/>
  <c r="T584" i="9"/>
  <c r="U584" i="9"/>
  <c r="K586" i="9"/>
  <c r="K587" i="9"/>
  <c r="L600" i="9"/>
  <c r="M600" i="9"/>
  <c r="N600" i="9"/>
  <c r="Q600" i="9"/>
  <c r="T600" i="9" s="1"/>
  <c r="R600" i="9"/>
  <c r="S600" i="9"/>
  <c r="O603" i="9"/>
  <c r="P603" i="9"/>
  <c r="T603" i="9"/>
  <c r="U603" i="9"/>
  <c r="L604" i="9"/>
  <c r="M604" i="9"/>
  <c r="N604" i="9"/>
  <c r="N602" i="9" s="1"/>
  <c r="Q604" i="9"/>
  <c r="R604" i="9"/>
  <c r="S604" i="9"/>
  <c r="S602" i="9" s="1"/>
  <c r="O606" i="9"/>
  <c r="P606" i="9"/>
  <c r="T606" i="9"/>
  <c r="U606" i="9"/>
  <c r="L607" i="9"/>
  <c r="M607" i="9"/>
  <c r="N607" i="9"/>
  <c r="N605" i="9" s="1"/>
  <c r="Q607" i="9"/>
  <c r="Q605" i="9" s="1"/>
  <c r="T605" i="9" s="1"/>
  <c r="R607" i="9"/>
  <c r="R605" i="9" s="1"/>
  <c r="U605" i="9" s="1"/>
  <c r="S607" i="9"/>
  <c r="S605" i="9" s="1"/>
  <c r="L617" i="9"/>
  <c r="L616" i="9" s="1"/>
  <c r="O616" i="9" s="1"/>
  <c r="M617" i="9"/>
  <c r="N617" i="9"/>
  <c r="N616" i="9" s="1"/>
  <c r="O617" i="9"/>
  <c r="Q617" i="9"/>
  <c r="R617" i="9"/>
  <c r="S617" i="9"/>
  <c r="T617" i="9"/>
  <c r="U617" i="9"/>
  <c r="L618" i="9"/>
  <c r="O618" i="9" s="1"/>
  <c r="M618" i="9"/>
  <c r="N618" i="9"/>
  <c r="P618" i="9"/>
  <c r="L619" i="9"/>
  <c r="O619" i="9" s="1"/>
  <c r="M619" i="9"/>
  <c r="P619" i="9" s="1"/>
  <c r="N619" i="9"/>
  <c r="O620" i="9"/>
  <c r="P620" i="9"/>
  <c r="T620" i="9"/>
  <c r="U620" i="9"/>
  <c r="O621" i="9"/>
  <c r="P621" i="9"/>
  <c r="Q621" i="9"/>
  <c r="Q618" i="9" s="1"/>
  <c r="R621" i="9"/>
  <c r="R619" i="9" s="1"/>
  <c r="S621" i="9"/>
  <c r="S618" i="9" s="1"/>
  <c r="L622" i="9"/>
  <c r="O622" i="9" s="1"/>
  <c r="M622" i="9"/>
  <c r="N622" i="9"/>
  <c r="P622" i="9"/>
  <c r="Q622" i="9"/>
  <c r="T622" i="9" s="1"/>
  <c r="R622" i="9"/>
  <c r="U622" i="9" s="1"/>
  <c r="S622" i="9"/>
  <c r="O623" i="9"/>
  <c r="P623" i="9"/>
  <c r="T623" i="9"/>
  <c r="U623" i="9"/>
  <c r="O624" i="9"/>
  <c r="P624" i="9"/>
  <c r="T624" i="9"/>
  <c r="U624" i="9"/>
  <c r="I626" i="9"/>
  <c r="I627" i="9"/>
  <c r="K627" i="9" s="1"/>
  <c r="I628" i="9"/>
  <c r="K628" i="9" s="1"/>
  <c r="J632" i="9"/>
  <c r="J626" i="9" s="1"/>
  <c r="I635" i="9"/>
  <c r="K635" i="9" s="1"/>
  <c r="J636" i="9"/>
  <c r="J635" i="9" s="1"/>
  <c r="L643" i="9"/>
  <c r="M643" i="9"/>
  <c r="N643" i="9"/>
  <c r="N642" i="9" s="1"/>
  <c r="O643" i="9"/>
  <c r="Q643" i="9"/>
  <c r="R643" i="9"/>
  <c r="S643" i="9"/>
  <c r="T643" i="9"/>
  <c r="U643" i="9"/>
  <c r="L644" i="9"/>
  <c r="O644" i="9" s="1"/>
  <c r="M644" i="9"/>
  <c r="N644" i="9"/>
  <c r="P644" i="9"/>
  <c r="L645" i="9"/>
  <c r="O645" i="9" s="1"/>
  <c r="M645" i="9"/>
  <c r="P645" i="9" s="1"/>
  <c r="N645" i="9"/>
  <c r="O646" i="9"/>
  <c r="P646" i="9"/>
  <c r="T646" i="9"/>
  <c r="U646" i="9"/>
  <c r="O647" i="9"/>
  <c r="P647" i="9"/>
  <c r="Q647" i="9"/>
  <c r="Q645" i="9" s="1"/>
  <c r="T645" i="9" s="1"/>
  <c r="R647" i="9"/>
  <c r="S647" i="9"/>
  <c r="S644" i="9" s="1"/>
  <c r="L648" i="9"/>
  <c r="O648" i="9" s="1"/>
  <c r="M648" i="9"/>
  <c r="N648" i="9"/>
  <c r="P648" i="9"/>
  <c r="Q648" i="9"/>
  <c r="T648" i="9" s="1"/>
  <c r="R648" i="9"/>
  <c r="U648" i="9" s="1"/>
  <c r="S648" i="9"/>
  <c r="O649" i="9"/>
  <c r="P649" i="9"/>
  <c r="T649" i="9"/>
  <c r="U649" i="9"/>
  <c r="O650" i="9"/>
  <c r="P650" i="9"/>
  <c r="T650" i="9"/>
  <c r="U650" i="9"/>
  <c r="I652" i="9"/>
  <c r="K652" i="9" s="1"/>
  <c r="J652" i="9"/>
  <c r="I653" i="9"/>
  <c r="K653" i="9" s="1"/>
  <c r="J653" i="9"/>
  <c r="I654" i="9"/>
  <c r="K654" i="9" s="1"/>
  <c r="J654" i="9"/>
  <c r="I657" i="9"/>
  <c r="I660" i="9"/>
  <c r="I661" i="9"/>
  <c r="K661" i="9" s="1"/>
  <c r="J661" i="9"/>
  <c r="J671" i="9"/>
  <c r="J672" i="9"/>
  <c r="I673" i="9"/>
  <c r="K673" i="9" s="1"/>
  <c r="J673" i="9"/>
  <c r="I674" i="9"/>
  <c r="K674" i="9" s="1"/>
  <c r="I675" i="9"/>
  <c r="K675" i="9" s="1"/>
  <c r="I676" i="9"/>
  <c r="K676" i="9" s="1"/>
  <c r="J676" i="9"/>
  <c r="J677" i="9"/>
  <c r="I678" i="9"/>
  <c r="K678" i="9" s="1"/>
  <c r="J678" i="9"/>
  <c r="I679" i="9"/>
  <c r="K679" i="9" s="1"/>
  <c r="J679" i="9"/>
  <c r="J680" i="9"/>
  <c r="I681" i="9"/>
  <c r="K681" i="9" s="1"/>
  <c r="J681" i="9"/>
  <c r="I682" i="9"/>
  <c r="K682" i="9" s="1"/>
  <c r="J682" i="9"/>
  <c r="L690" i="9"/>
  <c r="O690" i="9" s="1"/>
  <c r="L691" i="9"/>
  <c r="M691" i="9"/>
  <c r="P691" i="9" s="1"/>
  <c r="N691" i="9"/>
  <c r="O691" i="9"/>
  <c r="Q691" i="9"/>
  <c r="T691" i="9" s="1"/>
  <c r="R691" i="9"/>
  <c r="U691" i="9" s="1"/>
  <c r="S691" i="9"/>
  <c r="L692" i="9"/>
  <c r="O692" i="9" s="1"/>
  <c r="M692" i="9"/>
  <c r="M690" i="9" s="1"/>
  <c r="P690" i="9" s="1"/>
  <c r="N692" i="9"/>
  <c r="L693" i="9"/>
  <c r="O693" i="9" s="1"/>
  <c r="M693" i="9"/>
  <c r="P693" i="9" s="1"/>
  <c r="N693" i="9"/>
  <c r="O694" i="9"/>
  <c r="P694" i="9"/>
  <c r="T694" i="9"/>
  <c r="U694" i="9"/>
  <c r="O695" i="9"/>
  <c r="P695" i="9"/>
  <c r="Q695" i="9"/>
  <c r="Q693" i="9" s="1"/>
  <c r="R695" i="9"/>
  <c r="R692" i="9" s="1"/>
  <c r="S695" i="9"/>
  <c r="S692" i="9" s="1"/>
  <c r="S690" i="9" s="1"/>
  <c r="L696" i="9"/>
  <c r="O696" i="9" s="1"/>
  <c r="M696" i="9"/>
  <c r="P696" i="9" s="1"/>
  <c r="N696" i="9"/>
  <c r="Q696" i="9"/>
  <c r="T696" i="9" s="1"/>
  <c r="R696" i="9"/>
  <c r="U696" i="9" s="1"/>
  <c r="S696" i="9"/>
  <c r="O697" i="9"/>
  <c r="P697" i="9"/>
  <c r="T697" i="9"/>
  <c r="U697" i="9"/>
  <c r="O698" i="9"/>
  <c r="P698" i="9"/>
  <c r="T698" i="9"/>
  <c r="U698" i="9"/>
  <c r="I700" i="9"/>
  <c r="K700" i="9" s="1"/>
  <c r="K702" i="9"/>
  <c r="I703" i="9"/>
  <c r="J703" i="9"/>
  <c r="J704" i="9"/>
  <c r="K704" i="9"/>
  <c r="I705" i="9"/>
  <c r="J705" i="9"/>
  <c r="J706" i="9"/>
  <c r="K706" i="9"/>
  <c r="I707" i="9"/>
  <c r="I689" i="9" s="1"/>
  <c r="K689" i="9" s="1"/>
  <c r="J707" i="9"/>
  <c r="J689" i="9" s="1"/>
  <c r="J708" i="9"/>
  <c r="K708" i="9"/>
  <c r="I709" i="9"/>
  <c r="J709" i="9"/>
  <c r="J710" i="9"/>
  <c r="K710" i="9"/>
  <c r="J712" i="9"/>
  <c r="K712" i="9"/>
  <c r="L715" i="9"/>
  <c r="M715" i="9"/>
  <c r="N715" i="9"/>
  <c r="Q715" i="9"/>
  <c r="T715" i="9" s="1"/>
  <c r="R715" i="9"/>
  <c r="S715" i="9"/>
  <c r="L716" i="9"/>
  <c r="O716" i="9" s="1"/>
  <c r="M716" i="9"/>
  <c r="P716" i="9" s="1"/>
  <c r="N716" i="9"/>
  <c r="N714" i="9" s="1"/>
  <c r="Q716" i="9"/>
  <c r="T716" i="9" s="1"/>
  <c r="R716" i="9"/>
  <c r="U716" i="9" s="1"/>
  <c r="S716" i="9"/>
  <c r="L717" i="9"/>
  <c r="M717" i="9"/>
  <c r="N717" i="9"/>
  <c r="O717" i="9"/>
  <c r="P717" i="9"/>
  <c r="Q717" i="9"/>
  <c r="R717" i="9"/>
  <c r="S717" i="9"/>
  <c r="T717" i="9"/>
  <c r="U717" i="9"/>
  <c r="O718" i="9"/>
  <c r="P718" i="9"/>
  <c r="T718" i="9"/>
  <c r="U718" i="9"/>
  <c r="O719" i="9"/>
  <c r="P719" i="9"/>
  <c r="T719" i="9"/>
  <c r="U719" i="9"/>
  <c r="L720" i="9"/>
  <c r="M720" i="9"/>
  <c r="N720" i="9"/>
  <c r="O720" i="9"/>
  <c r="P720" i="9"/>
  <c r="Q720" i="9"/>
  <c r="R720" i="9"/>
  <c r="S720" i="9"/>
  <c r="T720" i="9"/>
  <c r="U720" i="9"/>
  <c r="O721" i="9"/>
  <c r="P721" i="9"/>
  <c r="T721" i="9"/>
  <c r="U721" i="9"/>
  <c r="O722" i="9"/>
  <c r="P722" i="9"/>
  <c r="T722" i="9"/>
  <c r="U722" i="9"/>
  <c r="I726" i="9"/>
  <c r="K726" i="9" s="1"/>
  <c r="J726" i="9"/>
  <c r="I727" i="9"/>
  <c r="J727" i="9"/>
  <c r="L729" i="9"/>
  <c r="M729" i="9"/>
  <c r="N729" i="9"/>
  <c r="N728" i="9" s="1"/>
  <c r="Q729" i="9"/>
  <c r="T729" i="9" s="1"/>
  <c r="R729" i="9"/>
  <c r="S729" i="9"/>
  <c r="L730" i="9"/>
  <c r="O730" i="9" s="1"/>
  <c r="M730" i="9"/>
  <c r="P730" i="9" s="1"/>
  <c r="N730" i="9"/>
  <c r="L731" i="9"/>
  <c r="O731" i="9" s="1"/>
  <c r="M731" i="9"/>
  <c r="P731" i="9" s="1"/>
  <c r="N731" i="9"/>
  <c r="O732" i="9"/>
  <c r="P732" i="9"/>
  <c r="T732" i="9"/>
  <c r="U732" i="9"/>
  <c r="O733" i="9"/>
  <c r="P733" i="9"/>
  <c r="Q733" i="9"/>
  <c r="R733" i="9"/>
  <c r="R731" i="9" s="1"/>
  <c r="S733" i="9"/>
  <c r="S730" i="9" s="1"/>
  <c r="L734" i="9"/>
  <c r="O734" i="9" s="1"/>
  <c r="M734" i="9"/>
  <c r="P734" i="9" s="1"/>
  <c r="N734" i="9"/>
  <c r="Q734" i="9"/>
  <c r="T734" i="9" s="1"/>
  <c r="R734" i="9"/>
  <c r="U734" i="9" s="1"/>
  <c r="S734" i="9"/>
  <c r="O735" i="9"/>
  <c r="P735" i="9"/>
  <c r="T735" i="9"/>
  <c r="U735" i="9"/>
  <c r="O736" i="9"/>
  <c r="P736" i="9"/>
  <c r="T736" i="9"/>
  <c r="U736" i="9"/>
  <c r="I740" i="9"/>
  <c r="K740" i="9" s="1"/>
  <c r="I742" i="9"/>
  <c r="K742" i="9" s="1"/>
  <c r="I744" i="9"/>
  <c r="K744" i="9" s="1"/>
  <c r="I746" i="9"/>
  <c r="K746" i="9" s="1"/>
  <c r="I749" i="9"/>
  <c r="K749" i="9" s="1"/>
  <c r="I752" i="9"/>
  <c r="K752" i="9" s="1"/>
  <c r="I755" i="9"/>
  <c r="K755" i="9" s="1"/>
  <c r="J758" i="9"/>
  <c r="J759" i="9"/>
  <c r="L761" i="9"/>
  <c r="O761" i="9" s="1"/>
  <c r="M761" i="9"/>
  <c r="N761" i="9"/>
  <c r="Q761" i="9"/>
  <c r="R761" i="9"/>
  <c r="U761" i="9" s="1"/>
  <c r="S761" i="9"/>
  <c r="L762" i="9"/>
  <c r="M762" i="9"/>
  <c r="P762" i="9" s="1"/>
  <c r="N762" i="9"/>
  <c r="O762" i="9"/>
  <c r="L763" i="9"/>
  <c r="M763" i="9"/>
  <c r="P763" i="9" s="1"/>
  <c r="N763" i="9"/>
  <c r="O763" i="9"/>
  <c r="O764" i="9"/>
  <c r="P764" i="9"/>
  <c r="T764" i="9"/>
  <c r="U764" i="9"/>
  <c r="O765" i="9"/>
  <c r="P765" i="9"/>
  <c r="Q765" i="9"/>
  <c r="Q762" i="9" s="1"/>
  <c r="R765" i="9"/>
  <c r="R762" i="9" s="1"/>
  <c r="R760" i="9" s="1"/>
  <c r="S765" i="9"/>
  <c r="S763" i="9" s="1"/>
  <c r="L766" i="9"/>
  <c r="O766" i="9" s="1"/>
  <c r="M766" i="9"/>
  <c r="P766" i="9" s="1"/>
  <c r="N766" i="9"/>
  <c r="Q766" i="9"/>
  <c r="T766" i="9" s="1"/>
  <c r="R766" i="9"/>
  <c r="S766" i="9"/>
  <c r="U766" i="9"/>
  <c r="O767" i="9"/>
  <c r="P767" i="9"/>
  <c r="T767" i="9"/>
  <c r="U767" i="9"/>
  <c r="O768" i="9"/>
  <c r="P768" i="9"/>
  <c r="T768" i="9"/>
  <c r="U768" i="9"/>
  <c r="I770" i="9"/>
  <c r="K770" i="9" s="1"/>
  <c r="I772" i="9"/>
  <c r="I758" i="9" s="1"/>
  <c r="K758" i="9" s="1"/>
  <c r="I774" i="9"/>
  <c r="I759" i="9" s="1"/>
  <c r="K759" i="9" s="1"/>
  <c r="I775" i="9"/>
  <c r="I776" i="9"/>
  <c r="H777" i="9"/>
  <c r="I778" i="9"/>
  <c r="J778" i="9"/>
  <c r="I779" i="9"/>
  <c r="J779" i="9"/>
  <c r="I780" i="9"/>
  <c r="J780" i="9"/>
  <c r="I781" i="9"/>
  <c r="J781" i="9"/>
  <c r="I782" i="9"/>
  <c r="K782" i="9" s="1"/>
  <c r="J782" i="9"/>
  <c r="I783" i="9"/>
  <c r="K783" i="9" s="1"/>
  <c r="J783" i="9"/>
  <c r="I784" i="9"/>
  <c r="J784" i="9"/>
  <c r="I785" i="9"/>
  <c r="J785" i="9"/>
  <c r="A788" i="9"/>
  <c r="A789" i="9"/>
  <c r="L22" i="8"/>
  <c r="M22" i="8"/>
  <c r="N22" i="8"/>
  <c r="Q22" i="8"/>
  <c r="T22" i="8" s="1"/>
  <c r="R22" i="8"/>
  <c r="R19" i="8" s="1"/>
  <c r="S22" i="8"/>
  <c r="S19" i="8" s="1"/>
  <c r="L25" i="8"/>
  <c r="M25" i="8"/>
  <c r="N25" i="8"/>
  <c r="Q25" i="8"/>
  <c r="R25" i="8"/>
  <c r="S25" i="8"/>
  <c r="L45" i="8"/>
  <c r="M45" i="8"/>
  <c r="N45" i="8"/>
  <c r="Q45" i="8"/>
  <c r="Q44" i="8" s="1"/>
  <c r="T44" i="8" s="1"/>
  <c r="R45" i="8"/>
  <c r="U45" i="8" s="1"/>
  <c r="S45" i="8"/>
  <c r="T45" i="8"/>
  <c r="Q46" i="8"/>
  <c r="R46" i="8"/>
  <c r="U46" i="8" s="1"/>
  <c r="S46" i="8"/>
  <c r="T46" i="8"/>
  <c r="Q47" i="8"/>
  <c r="T47" i="8" s="1"/>
  <c r="R47" i="8"/>
  <c r="U47" i="8" s="1"/>
  <c r="S47" i="8"/>
  <c r="O48" i="8"/>
  <c r="P48" i="8"/>
  <c r="T48" i="8"/>
  <c r="U48" i="8"/>
  <c r="L49" i="8"/>
  <c r="M49" i="8"/>
  <c r="M47" i="8" s="1"/>
  <c r="N49" i="8"/>
  <c r="T49" i="8"/>
  <c r="U49" i="8"/>
  <c r="Q50" i="8"/>
  <c r="R50" i="8"/>
  <c r="U50" i="8" s="1"/>
  <c r="S50" i="8"/>
  <c r="T50" i="8"/>
  <c r="O51" i="8"/>
  <c r="P51" i="8"/>
  <c r="T51" i="8"/>
  <c r="U51" i="8"/>
  <c r="L52" i="8"/>
  <c r="M52" i="8"/>
  <c r="N52" i="8"/>
  <c r="N50" i="8" s="1"/>
  <c r="T52" i="8"/>
  <c r="U52" i="8"/>
  <c r="L60" i="8"/>
  <c r="O60" i="8" s="1"/>
  <c r="M60" i="8"/>
  <c r="N60" i="8"/>
  <c r="Q60" i="8"/>
  <c r="Q59" i="8" s="1"/>
  <c r="T59" i="8" s="1"/>
  <c r="R60" i="8"/>
  <c r="U60" i="8" s="1"/>
  <c r="S60" i="8"/>
  <c r="T60" i="8"/>
  <c r="Q61" i="8"/>
  <c r="R61" i="8"/>
  <c r="U61" i="8" s="1"/>
  <c r="S61" i="8"/>
  <c r="T61" i="8"/>
  <c r="Q62" i="8"/>
  <c r="T62" i="8" s="1"/>
  <c r="R62" i="8"/>
  <c r="U62" i="8" s="1"/>
  <c r="S62" i="8"/>
  <c r="O63" i="8"/>
  <c r="P63" i="8"/>
  <c r="T63" i="8"/>
  <c r="U63" i="8"/>
  <c r="L64" i="8"/>
  <c r="L62" i="8" s="1"/>
  <c r="M64" i="8"/>
  <c r="M62" i="8" s="1"/>
  <c r="N64" i="8"/>
  <c r="T64" i="8"/>
  <c r="U64" i="8"/>
  <c r="Q65" i="8"/>
  <c r="T65" i="8" s="1"/>
  <c r="R65" i="8"/>
  <c r="S65" i="8"/>
  <c r="U65" i="8"/>
  <c r="O66" i="8"/>
  <c r="P66" i="8"/>
  <c r="T66" i="8"/>
  <c r="U66" i="8"/>
  <c r="L67" i="8"/>
  <c r="M67" i="8"/>
  <c r="N67" i="8"/>
  <c r="N65" i="8" s="1"/>
  <c r="T67" i="8"/>
  <c r="U67" i="8"/>
  <c r="L73" i="8"/>
  <c r="O73" i="8" s="1"/>
  <c r="M73" i="8"/>
  <c r="N73" i="8"/>
  <c r="Q73" i="8"/>
  <c r="R73" i="8"/>
  <c r="S73" i="8"/>
  <c r="T73" i="8"/>
  <c r="O76" i="8"/>
  <c r="P76" i="8"/>
  <c r="T76" i="8"/>
  <c r="U76" i="8"/>
  <c r="L77" i="8"/>
  <c r="L75" i="8" s="1"/>
  <c r="O75" i="8" s="1"/>
  <c r="M77" i="8"/>
  <c r="M75" i="8" s="1"/>
  <c r="P75" i="8" s="1"/>
  <c r="N77" i="8"/>
  <c r="N75" i="8" s="1"/>
  <c r="Q77" i="8"/>
  <c r="R77" i="8"/>
  <c r="S77" i="8"/>
  <c r="S75" i="8" s="1"/>
  <c r="O79" i="8"/>
  <c r="P79" i="8"/>
  <c r="T79" i="8"/>
  <c r="U79" i="8"/>
  <c r="L80" i="8"/>
  <c r="L78" i="8" s="1"/>
  <c r="O78" i="8" s="1"/>
  <c r="M80" i="8"/>
  <c r="M78" i="8" s="1"/>
  <c r="P78" i="8" s="1"/>
  <c r="N80" i="8"/>
  <c r="Q80" i="8"/>
  <c r="R80" i="8"/>
  <c r="R78" i="8" s="1"/>
  <c r="U78" i="8" s="1"/>
  <c r="S80" i="8"/>
  <c r="S78" i="8" s="1"/>
  <c r="J82" i="8"/>
  <c r="J70" i="8" s="1"/>
  <c r="J83" i="8"/>
  <c r="J71" i="8" s="1"/>
  <c r="I84" i="8"/>
  <c r="I85" i="8"/>
  <c r="K85" i="8" s="1"/>
  <c r="I86" i="8"/>
  <c r="K86" i="8" s="1"/>
  <c r="I87" i="8"/>
  <c r="I88" i="8"/>
  <c r="K88" i="8" s="1"/>
  <c r="I89" i="8"/>
  <c r="K89" i="8" s="1"/>
  <c r="I90" i="8"/>
  <c r="K90" i="8" s="1"/>
  <c r="J92" i="8"/>
  <c r="J93" i="8"/>
  <c r="L95" i="8"/>
  <c r="M95" i="8"/>
  <c r="P95" i="8" s="1"/>
  <c r="N95" i="8"/>
  <c r="Q95" i="8"/>
  <c r="R95" i="8"/>
  <c r="S95" i="8"/>
  <c r="O98" i="8"/>
  <c r="P98" i="8"/>
  <c r="T98" i="8"/>
  <c r="U98" i="8"/>
  <c r="L99" i="8"/>
  <c r="M99" i="8"/>
  <c r="N99" i="8"/>
  <c r="N97" i="8" s="1"/>
  <c r="Q99" i="8"/>
  <c r="Q97" i="8" s="1"/>
  <c r="R99" i="8"/>
  <c r="R96" i="8" s="1"/>
  <c r="S99" i="8"/>
  <c r="Q100" i="8"/>
  <c r="T100" i="8" s="1"/>
  <c r="R100" i="8"/>
  <c r="S100" i="8"/>
  <c r="U100" i="8"/>
  <c r="O101" i="8"/>
  <c r="P101" i="8"/>
  <c r="T101" i="8"/>
  <c r="U101" i="8"/>
  <c r="L102" i="8"/>
  <c r="M102" i="8"/>
  <c r="N102" i="8"/>
  <c r="N100" i="8" s="1"/>
  <c r="T102" i="8"/>
  <c r="U102" i="8"/>
  <c r="I108" i="8"/>
  <c r="I109" i="8"/>
  <c r="I113" i="8"/>
  <c r="K113" i="8" s="1"/>
  <c r="I114" i="8"/>
  <c r="K114" i="8" s="1"/>
  <c r="J116" i="8"/>
  <c r="L118" i="8"/>
  <c r="O118" i="8" s="1"/>
  <c r="M118" i="8"/>
  <c r="N118" i="8"/>
  <c r="P118" i="8"/>
  <c r="Q118" i="8"/>
  <c r="R118" i="8"/>
  <c r="U118" i="8" s="1"/>
  <c r="S118" i="8"/>
  <c r="T118" i="8"/>
  <c r="O121" i="8"/>
  <c r="P121" i="8"/>
  <c r="T121" i="8"/>
  <c r="U121" i="8"/>
  <c r="L122" i="8"/>
  <c r="O122" i="8" s="1"/>
  <c r="M122" i="8"/>
  <c r="P122" i="8" s="1"/>
  <c r="N122" i="8"/>
  <c r="N120" i="8" s="1"/>
  <c r="Q122" i="8"/>
  <c r="R122" i="8"/>
  <c r="S122" i="8"/>
  <c r="S120" i="8" s="1"/>
  <c r="O124" i="8"/>
  <c r="P124" i="8"/>
  <c r="T124" i="8"/>
  <c r="U124" i="8"/>
  <c r="L125" i="8"/>
  <c r="M125" i="8"/>
  <c r="M123" i="8" s="1"/>
  <c r="P123" i="8" s="1"/>
  <c r="N125" i="8"/>
  <c r="N123" i="8" s="1"/>
  <c r="Q125" i="8"/>
  <c r="R125" i="8"/>
  <c r="R123" i="8" s="1"/>
  <c r="U123" i="8" s="1"/>
  <c r="S125" i="8"/>
  <c r="S123" i="8" s="1"/>
  <c r="I127" i="8"/>
  <c r="I116" i="8" s="1"/>
  <c r="K116" i="8" s="1"/>
  <c r="I128" i="8"/>
  <c r="K128" i="8" s="1"/>
  <c r="I129" i="8"/>
  <c r="K129" i="8" s="1"/>
  <c r="I130" i="8"/>
  <c r="K130" i="8" s="1"/>
  <c r="J136" i="8"/>
  <c r="J137" i="8"/>
  <c r="J138" i="8"/>
  <c r="L140" i="8"/>
  <c r="O140" i="8" s="1"/>
  <c r="M140" i="8"/>
  <c r="N140" i="8"/>
  <c r="P140" i="8"/>
  <c r="Q140" i="8"/>
  <c r="R140" i="8"/>
  <c r="U140" i="8" s="1"/>
  <c r="S140" i="8"/>
  <c r="O143" i="8"/>
  <c r="P143" i="8"/>
  <c r="T143" i="8"/>
  <c r="U143" i="8"/>
  <c r="L144" i="8"/>
  <c r="M144" i="8"/>
  <c r="N144" i="8"/>
  <c r="N142" i="8" s="1"/>
  <c r="Q144" i="8"/>
  <c r="R144" i="8"/>
  <c r="S144" i="8"/>
  <c r="S142" i="8" s="1"/>
  <c r="O146" i="8"/>
  <c r="P146" i="8"/>
  <c r="T146" i="8"/>
  <c r="U146" i="8"/>
  <c r="L147" i="8"/>
  <c r="M147" i="8"/>
  <c r="P147" i="8" s="1"/>
  <c r="N147" i="8"/>
  <c r="N145" i="8" s="1"/>
  <c r="Q147" i="8"/>
  <c r="R147" i="8"/>
  <c r="S147" i="8"/>
  <c r="S145" i="8" s="1"/>
  <c r="I150" i="8"/>
  <c r="K150" i="8" s="1"/>
  <c r="I151" i="8"/>
  <c r="K151" i="8" s="1"/>
  <c r="I152" i="8"/>
  <c r="K152" i="8" s="1"/>
  <c r="I153" i="8"/>
  <c r="I154" i="8"/>
  <c r="I136" i="8" s="1"/>
  <c r="K136" i="8" s="1"/>
  <c r="J156" i="8"/>
  <c r="L158" i="8"/>
  <c r="M158" i="8"/>
  <c r="N158" i="8"/>
  <c r="O158" i="8"/>
  <c r="Q158" i="8"/>
  <c r="T158" i="8" s="1"/>
  <c r="R158" i="8"/>
  <c r="S158" i="8"/>
  <c r="U158" i="8"/>
  <c r="O161" i="8"/>
  <c r="P161" i="8"/>
  <c r="T161" i="8"/>
  <c r="U161" i="8"/>
  <c r="L162" i="8"/>
  <c r="M162" i="8"/>
  <c r="M160" i="8" s="1"/>
  <c r="N162" i="8"/>
  <c r="Q162" i="8"/>
  <c r="T162" i="8" s="1"/>
  <c r="R162" i="8"/>
  <c r="S162" i="8"/>
  <c r="S159" i="8" s="1"/>
  <c r="Q163" i="8"/>
  <c r="T163" i="8" s="1"/>
  <c r="R163" i="8"/>
  <c r="U163" i="8" s="1"/>
  <c r="S163" i="8"/>
  <c r="O164" i="8"/>
  <c r="P164" i="8"/>
  <c r="T164" i="8"/>
  <c r="U164" i="8"/>
  <c r="L165" i="8"/>
  <c r="O165" i="8" s="1"/>
  <c r="M165" i="8"/>
  <c r="M163" i="8" s="1"/>
  <c r="P163" i="8" s="1"/>
  <c r="N165" i="8"/>
  <c r="N163" i="8" s="1"/>
  <c r="T165" i="8"/>
  <c r="U165" i="8"/>
  <c r="I167" i="8"/>
  <c r="K167" i="8" s="1"/>
  <c r="I168" i="8"/>
  <c r="K168" i="8" s="1"/>
  <c r="I169" i="8"/>
  <c r="J172" i="8"/>
  <c r="L174" i="8"/>
  <c r="O174" i="8" s="1"/>
  <c r="M174" i="8"/>
  <c r="N174" i="8"/>
  <c r="Q174" i="8"/>
  <c r="T174" i="8" s="1"/>
  <c r="R174" i="8"/>
  <c r="S174" i="8"/>
  <c r="U174" i="8"/>
  <c r="O177" i="8"/>
  <c r="P177" i="8"/>
  <c r="T177" i="8"/>
  <c r="U177" i="8"/>
  <c r="L178" i="8"/>
  <c r="L176" i="8" s="1"/>
  <c r="M178" i="8"/>
  <c r="N178" i="8"/>
  <c r="N176" i="8" s="1"/>
  <c r="Q178" i="8"/>
  <c r="Q175" i="8" s="1"/>
  <c r="R178" i="8"/>
  <c r="R175" i="8" s="1"/>
  <c r="R173" i="8" s="1"/>
  <c r="U173" i="8" s="1"/>
  <c r="S178" i="8"/>
  <c r="S175" i="8" s="1"/>
  <c r="Q179" i="8"/>
  <c r="R179" i="8"/>
  <c r="U179" i="8" s="1"/>
  <c r="S179" i="8"/>
  <c r="T179" i="8"/>
  <c r="O180" i="8"/>
  <c r="P180" i="8"/>
  <c r="T180" i="8"/>
  <c r="U180" i="8"/>
  <c r="L181" i="8"/>
  <c r="M181" i="8"/>
  <c r="P181" i="8" s="1"/>
  <c r="N181" i="8"/>
  <c r="N179" i="8" s="1"/>
  <c r="T181" i="8"/>
  <c r="U181" i="8"/>
  <c r="I183" i="8"/>
  <c r="K184" i="8"/>
  <c r="L187" i="8"/>
  <c r="M187" i="8"/>
  <c r="P187" i="8" s="1"/>
  <c r="N187" i="8"/>
  <c r="Q187" i="8"/>
  <c r="T187" i="8" s="1"/>
  <c r="R187" i="8"/>
  <c r="S187" i="8"/>
  <c r="O190" i="8"/>
  <c r="P190" i="8"/>
  <c r="T190" i="8"/>
  <c r="U190" i="8"/>
  <c r="L191" i="8"/>
  <c r="L189" i="8" s="1"/>
  <c r="M191" i="8"/>
  <c r="M189" i="8" s="1"/>
  <c r="N191" i="8"/>
  <c r="Q191" i="8"/>
  <c r="Q189" i="8" s="1"/>
  <c r="R191" i="8"/>
  <c r="S191" i="8"/>
  <c r="O193" i="8"/>
  <c r="P193" i="8"/>
  <c r="T193" i="8"/>
  <c r="U193" i="8"/>
  <c r="L194" i="8"/>
  <c r="O194" i="8" s="1"/>
  <c r="M194" i="8"/>
  <c r="N194" i="8"/>
  <c r="N192" i="8" s="1"/>
  <c r="Q194" i="8"/>
  <c r="Q192" i="8" s="1"/>
  <c r="T192" i="8" s="1"/>
  <c r="R194" i="8"/>
  <c r="S194" i="8"/>
  <c r="S192" i="8" s="1"/>
  <c r="J195" i="8"/>
  <c r="L196" i="8"/>
  <c r="O196" i="8" s="1"/>
  <c r="P196" i="8"/>
  <c r="I198" i="8"/>
  <c r="I195" i="8" s="1"/>
  <c r="J199" i="8"/>
  <c r="J202" i="8"/>
  <c r="N203" i="8"/>
  <c r="P203" i="8"/>
  <c r="S203" i="8"/>
  <c r="U203" i="8"/>
  <c r="L204" i="8"/>
  <c r="L205" i="8"/>
  <c r="L206" i="8"/>
  <c r="Q206" i="8"/>
  <c r="Q203" i="8" s="1"/>
  <c r="T203" i="8" s="1"/>
  <c r="L207" i="8"/>
  <c r="I209" i="8"/>
  <c r="I211" i="8"/>
  <c r="K211" i="8" s="1"/>
  <c r="I212" i="8"/>
  <c r="K212" i="8" s="1"/>
  <c r="J213" i="8"/>
  <c r="N214" i="8"/>
  <c r="P214" i="8"/>
  <c r="S214" i="8"/>
  <c r="U214" i="8"/>
  <c r="L215" i="8"/>
  <c r="L216" i="8"/>
  <c r="L217" i="8"/>
  <c r="Q217" i="8"/>
  <c r="Q214" i="8" s="1"/>
  <c r="T214" i="8" s="1"/>
  <c r="I219" i="8"/>
  <c r="K219" i="8" s="1"/>
  <c r="I220" i="8"/>
  <c r="I213" i="8" s="1"/>
  <c r="K213" i="8" s="1"/>
  <c r="J221" i="8"/>
  <c r="N222" i="8"/>
  <c r="P222" i="8"/>
  <c r="L223" i="8"/>
  <c r="L224" i="8"/>
  <c r="L225" i="8"/>
  <c r="I228" i="8"/>
  <c r="K228" i="8" s="1"/>
  <c r="I229" i="8"/>
  <c r="I221" i="8" s="1"/>
  <c r="I230" i="8"/>
  <c r="N233" i="8"/>
  <c r="N234" i="8"/>
  <c r="N235" i="8"/>
  <c r="N236" i="8"/>
  <c r="J238" i="8"/>
  <c r="I240" i="8"/>
  <c r="K240" i="8" s="1"/>
  <c r="J240" i="8"/>
  <c r="I241" i="8"/>
  <c r="K241" i="8" s="1"/>
  <c r="J241" i="8"/>
  <c r="J242" i="8"/>
  <c r="J231" i="8" s="1"/>
  <c r="J185" i="8" s="1"/>
  <c r="N243" i="8"/>
  <c r="P243" i="8"/>
  <c r="L244" i="8"/>
  <c r="L245" i="8"/>
  <c r="L246" i="8"/>
  <c r="L247" i="8"/>
  <c r="I249" i="8"/>
  <c r="K251" i="8"/>
  <c r="K252" i="8"/>
  <c r="J253" i="8"/>
  <c r="N254" i="8"/>
  <c r="P254" i="8"/>
  <c r="L255" i="8"/>
  <c r="L256" i="8"/>
  <c r="L257" i="8"/>
  <c r="L258" i="8"/>
  <c r="I260" i="8"/>
  <c r="K262" i="8"/>
  <c r="K263" i="8"/>
  <c r="J265" i="8"/>
  <c r="L267" i="8"/>
  <c r="O267" i="8" s="1"/>
  <c r="M267" i="8"/>
  <c r="N267" i="8"/>
  <c r="Q267" i="8"/>
  <c r="R267" i="8"/>
  <c r="U267" i="8" s="1"/>
  <c r="S267" i="8"/>
  <c r="O270" i="8"/>
  <c r="P270" i="8"/>
  <c r="T270" i="8"/>
  <c r="U270" i="8"/>
  <c r="L271" i="8"/>
  <c r="L269" i="8" s="1"/>
  <c r="M271" i="8"/>
  <c r="N271" i="8"/>
  <c r="Q271" i="8"/>
  <c r="Q268" i="8" s="1"/>
  <c r="R271" i="8"/>
  <c r="S271" i="8"/>
  <c r="S268" i="8" s="1"/>
  <c r="Q272" i="8"/>
  <c r="T272" i="8" s="1"/>
  <c r="R272" i="8"/>
  <c r="U272" i="8" s="1"/>
  <c r="S272" i="8"/>
  <c r="O273" i="8"/>
  <c r="P273" i="8"/>
  <c r="T273" i="8"/>
  <c r="U273" i="8"/>
  <c r="L274" i="8"/>
  <c r="M274" i="8"/>
  <c r="M272" i="8" s="1"/>
  <c r="P272" i="8" s="1"/>
  <c r="N274" i="8"/>
  <c r="N272" i="8" s="1"/>
  <c r="T274" i="8"/>
  <c r="U274" i="8"/>
  <c r="I276" i="8"/>
  <c r="K276" i="8" s="1"/>
  <c r="J281" i="8"/>
  <c r="S282" i="8"/>
  <c r="L283" i="8"/>
  <c r="M283" i="8"/>
  <c r="P283" i="8" s="1"/>
  <c r="N283" i="8"/>
  <c r="Q283" i="8"/>
  <c r="R283" i="8"/>
  <c r="S283" i="8"/>
  <c r="T283" i="8"/>
  <c r="Q284" i="8"/>
  <c r="T284" i="8" s="1"/>
  <c r="R284" i="8"/>
  <c r="U284" i="8" s="1"/>
  <c r="S284" i="8"/>
  <c r="Q285" i="8"/>
  <c r="T285" i="8" s="1"/>
  <c r="R285" i="8"/>
  <c r="U285" i="8" s="1"/>
  <c r="S285" i="8"/>
  <c r="O286" i="8"/>
  <c r="P286" i="8"/>
  <c r="T286" i="8"/>
  <c r="U286" i="8"/>
  <c r="L287" i="8"/>
  <c r="O287" i="8" s="1"/>
  <c r="M287" i="8"/>
  <c r="M285" i="8" s="1"/>
  <c r="P285" i="8" s="1"/>
  <c r="N287" i="8"/>
  <c r="N285" i="8" s="1"/>
  <c r="T287" i="8"/>
  <c r="U287" i="8"/>
  <c r="Q288" i="8"/>
  <c r="T288" i="8" s="1"/>
  <c r="R288" i="8"/>
  <c r="S288" i="8"/>
  <c r="U288" i="8"/>
  <c r="O289" i="8"/>
  <c r="P289" i="8"/>
  <c r="T289" i="8"/>
  <c r="U289" i="8"/>
  <c r="L290" i="8"/>
  <c r="L288" i="8" s="1"/>
  <c r="O288" i="8" s="1"/>
  <c r="M290" i="8"/>
  <c r="P290" i="8" s="1"/>
  <c r="N290" i="8"/>
  <c r="N288" i="8" s="1"/>
  <c r="T290" i="8"/>
  <c r="U290" i="8"/>
  <c r="I292" i="8"/>
  <c r="I281" i="8" s="1"/>
  <c r="K281" i="8" s="1"/>
  <c r="I293" i="8"/>
  <c r="I280" i="8" s="1"/>
  <c r="K280" i="8" s="1"/>
  <c r="J293" i="8"/>
  <c r="J280" i="8" s="1"/>
  <c r="I295" i="8"/>
  <c r="K295" i="8" s="1"/>
  <c r="I296" i="8"/>
  <c r="K296" i="8" s="1"/>
  <c r="J302" i="8"/>
  <c r="L304" i="8"/>
  <c r="M304" i="8"/>
  <c r="N304" i="8"/>
  <c r="P304" i="8"/>
  <c r="Q304" i="8"/>
  <c r="T304" i="8" s="1"/>
  <c r="R304" i="8"/>
  <c r="S304" i="8"/>
  <c r="O307" i="8"/>
  <c r="P307" i="8"/>
  <c r="T307" i="8"/>
  <c r="U307" i="8"/>
  <c r="L308" i="8"/>
  <c r="M308" i="8"/>
  <c r="P308" i="8" s="1"/>
  <c r="N308" i="8"/>
  <c r="N306" i="8" s="1"/>
  <c r="Q308" i="8"/>
  <c r="Q306" i="8" s="1"/>
  <c r="R308" i="8"/>
  <c r="R306" i="8" s="1"/>
  <c r="S308" i="8"/>
  <c r="Q309" i="8"/>
  <c r="R309" i="8"/>
  <c r="U309" i="8" s="1"/>
  <c r="S309" i="8"/>
  <c r="T309" i="8"/>
  <c r="O310" i="8"/>
  <c r="P310" i="8"/>
  <c r="T310" i="8"/>
  <c r="U310" i="8"/>
  <c r="L311" i="8"/>
  <c r="O311" i="8" s="1"/>
  <c r="M311" i="8"/>
  <c r="M309" i="8" s="1"/>
  <c r="P309" i="8" s="1"/>
  <c r="N311" i="8"/>
  <c r="N309" i="8" s="1"/>
  <c r="T311" i="8"/>
  <c r="U311" i="8"/>
  <c r="I314" i="8"/>
  <c r="I302" i="8" s="1"/>
  <c r="J319" i="8"/>
  <c r="L321" i="8"/>
  <c r="M321" i="8"/>
  <c r="P321" i="8" s="1"/>
  <c r="N321" i="8"/>
  <c r="Q321" i="8"/>
  <c r="Q320" i="8" s="1"/>
  <c r="T320" i="8" s="1"/>
  <c r="R321" i="8"/>
  <c r="S321" i="8"/>
  <c r="T321" i="8"/>
  <c r="Q322" i="8"/>
  <c r="T322" i="8" s="1"/>
  <c r="R322" i="8"/>
  <c r="S322" i="8"/>
  <c r="U322" i="8"/>
  <c r="Q323" i="8"/>
  <c r="R323" i="8"/>
  <c r="U323" i="8" s="1"/>
  <c r="S323" i="8"/>
  <c r="T323" i="8"/>
  <c r="O324" i="8"/>
  <c r="P324" i="8"/>
  <c r="T324" i="8"/>
  <c r="U324" i="8"/>
  <c r="L325" i="8"/>
  <c r="M325" i="8"/>
  <c r="N325" i="8"/>
  <c r="N323" i="8" s="1"/>
  <c r="T325" i="8"/>
  <c r="U325" i="8"/>
  <c r="Q326" i="8"/>
  <c r="R326" i="8"/>
  <c r="U326" i="8" s="1"/>
  <c r="S326" i="8"/>
  <c r="T326" i="8"/>
  <c r="O327" i="8"/>
  <c r="P327" i="8"/>
  <c r="T327" i="8"/>
  <c r="U327" i="8"/>
  <c r="L328" i="8"/>
  <c r="M328" i="8"/>
  <c r="P328" i="8" s="1"/>
  <c r="N328" i="8"/>
  <c r="N326" i="8" s="1"/>
  <c r="T328" i="8"/>
  <c r="U328" i="8"/>
  <c r="I330" i="8"/>
  <c r="I319" i="8" s="1"/>
  <c r="K319" i="8" s="1"/>
  <c r="L334" i="8"/>
  <c r="M334" i="8"/>
  <c r="P334" i="8" s="1"/>
  <c r="N334" i="8"/>
  <c r="Q334" i="8"/>
  <c r="R334" i="8"/>
  <c r="S334" i="8"/>
  <c r="S333" i="8" s="1"/>
  <c r="Q335" i="8"/>
  <c r="R335" i="8"/>
  <c r="U335" i="8" s="1"/>
  <c r="S335" i="8"/>
  <c r="T335" i="8"/>
  <c r="Q336" i="8"/>
  <c r="T336" i="8" s="1"/>
  <c r="R336" i="8"/>
  <c r="S336" i="8"/>
  <c r="U336" i="8"/>
  <c r="O337" i="8"/>
  <c r="P337" i="8"/>
  <c r="T337" i="8"/>
  <c r="U337" i="8"/>
  <c r="L338" i="8"/>
  <c r="L336" i="8" s="1"/>
  <c r="M338" i="8"/>
  <c r="N338" i="8"/>
  <c r="T338" i="8"/>
  <c r="U338" i="8"/>
  <c r="Q339" i="8"/>
  <c r="T339" i="8" s="1"/>
  <c r="R339" i="8"/>
  <c r="U339" i="8" s="1"/>
  <c r="S339" i="8"/>
  <c r="O340" i="8"/>
  <c r="P340" i="8"/>
  <c r="T340" i="8"/>
  <c r="U340" i="8"/>
  <c r="L341" i="8"/>
  <c r="M341" i="8"/>
  <c r="P341" i="8" s="1"/>
  <c r="N341" i="8"/>
  <c r="N339" i="8" s="1"/>
  <c r="T341" i="8"/>
  <c r="U341" i="8"/>
  <c r="I344" i="8"/>
  <c r="J344" i="8"/>
  <c r="I346" i="8"/>
  <c r="J346" i="8"/>
  <c r="J347" i="8"/>
  <c r="J348" i="8"/>
  <c r="J349" i="8"/>
  <c r="D350" i="8"/>
  <c r="J352" i="8"/>
  <c r="J353" i="8"/>
  <c r="D354" i="8"/>
  <c r="R356" i="8"/>
  <c r="U356" i="8" s="1"/>
  <c r="S356" i="8"/>
  <c r="L357" i="8"/>
  <c r="M357" i="8"/>
  <c r="N357" i="8"/>
  <c r="O357" i="8"/>
  <c r="P357" i="8"/>
  <c r="Q357" i="8"/>
  <c r="R357" i="8"/>
  <c r="S357" i="8"/>
  <c r="T357" i="8"/>
  <c r="U357" i="8"/>
  <c r="Q358" i="8"/>
  <c r="R358" i="8"/>
  <c r="U358" i="8" s="1"/>
  <c r="S358" i="8"/>
  <c r="Q359" i="8"/>
  <c r="R359" i="8"/>
  <c r="U359" i="8" s="1"/>
  <c r="S359" i="8"/>
  <c r="T359" i="8"/>
  <c r="O360" i="8"/>
  <c r="P360" i="8"/>
  <c r="T360" i="8"/>
  <c r="U360" i="8"/>
  <c r="L361" i="8"/>
  <c r="L359" i="8" s="1"/>
  <c r="M361" i="8"/>
  <c r="N361" i="8"/>
  <c r="N359" i="8" s="1"/>
  <c r="T361" i="8"/>
  <c r="U361" i="8"/>
  <c r="Q362" i="8"/>
  <c r="T362" i="8" s="1"/>
  <c r="R362" i="8"/>
  <c r="S362" i="8"/>
  <c r="U362" i="8"/>
  <c r="O363" i="8"/>
  <c r="P363" i="8"/>
  <c r="T363" i="8"/>
  <c r="U363" i="8"/>
  <c r="L364" i="8"/>
  <c r="L362" i="8" s="1"/>
  <c r="O362" i="8" s="1"/>
  <c r="M364" i="8"/>
  <c r="N364" i="8"/>
  <c r="N362" i="8" s="1"/>
  <c r="T364" i="8"/>
  <c r="U364" i="8"/>
  <c r="J367" i="8"/>
  <c r="K367" i="8"/>
  <c r="I368" i="8"/>
  <c r="J368" i="8"/>
  <c r="I369" i="8"/>
  <c r="J369" i="8"/>
  <c r="J370" i="8"/>
  <c r="K370" i="8"/>
  <c r="I371" i="8"/>
  <c r="J371" i="8"/>
  <c r="J365" i="8" s="1"/>
  <c r="J372" i="8"/>
  <c r="K372" i="8"/>
  <c r="D373" i="8"/>
  <c r="L376" i="8"/>
  <c r="M376" i="8"/>
  <c r="P376" i="8" s="1"/>
  <c r="N376" i="8"/>
  <c r="Q376" i="8"/>
  <c r="R376" i="8"/>
  <c r="S376" i="8"/>
  <c r="O379" i="8"/>
  <c r="P379" i="8"/>
  <c r="T379" i="8"/>
  <c r="U379" i="8"/>
  <c r="L380" i="8"/>
  <c r="M380" i="8"/>
  <c r="N380" i="8"/>
  <c r="N378" i="8" s="1"/>
  <c r="Q380" i="8"/>
  <c r="Q378" i="8" s="1"/>
  <c r="R380" i="8"/>
  <c r="R377" i="8" s="1"/>
  <c r="S380" i="8"/>
  <c r="Q381" i="8"/>
  <c r="R381" i="8"/>
  <c r="S381" i="8"/>
  <c r="T381" i="8"/>
  <c r="U381" i="8"/>
  <c r="O382" i="8"/>
  <c r="P382" i="8"/>
  <c r="T382" i="8"/>
  <c r="U382" i="8"/>
  <c r="L383" i="8"/>
  <c r="M383" i="8"/>
  <c r="N383" i="8"/>
  <c r="T383" i="8"/>
  <c r="U383" i="8"/>
  <c r="J385" i="8"/>
  <c r="K385" i="8"/>
  <c r="I386" i="8"/>
  <c r="J386" i="8"/>
  <c r="J387" i="8"/>
  <c r="K387" i="8"/>
  <c r="I388" i="8"/>
  <c r="K388" i="8" s="1"/>
  <c r="J388" i="8"/>
  <c r="I391" i="8"/>
  <c r="K391" i="8" s="1"/>
  <c r="J391" i="8"/>
  <c r="L392" i="8"/>
  <c r="O392" i="8" s="1"/>
  <c r="L393" i="8"/>
  <c r="O393" i="8" s="1"/>
  <c r="M393" i="8"/>
  <c r="N393" i="8"/>
  <c r="N392" i="8" s="1"/>
  <c r="Q393" i="8"/>
  <c r="R393" i="8"/>
  <c r="U393" i="8" s="1"/>
  <c r="S393" i="8"/>
  <c r="T393" i="8"/>
  <c r="L394" i="8"/>
  <c r="O394" i="8" s="1"/>
  <c r="M394" i="8"/>
  <c r="N394" i="8"/>
  <c r="P394" i="8"/>
  <c r="L395" i="8"/>
  <c r="O395" i="8" s="1"/>
  <c r="M395" i="8"/>
  <c r="P395" i="8" s="1"/>
  <c r="N395" i="8"/>
  <c r="O396" i="8"/>
  <c r="P396" i="8"/>
  <c r="T396" i="8"/>
  <c r="U396" i="8"/>
  <c r="O397" i="8"/>
  <c r="P397" i="8"/>
  <c r="Q397" i="8"/>
  <c r="R397" i="8"/>
  <c r="S397" i="8"/>
  <c r="L398" i="8"/>
  <c r="O398" i="8" s="1"/>
  <c r="M398" i="8"/>
  <c r="P398" i="8" s="1"/>
  <c r="N398" i="8"/>
  <c r="Q398" i="8"/>
  <c r="T398" i="8" s="1"/>
  <c r="R398" i="8"/>
  <c r="U398" i="8" s="1"/>
  <c r="S398" i="8"/>
  <c r="O399" i="8"/>
  <c r="P399" i="8"/>
  <c r="T399" i="8"/>
  <c r="U399" i="8"/>
  <c r="O400" i="8"/>
  <c r="P400" i="8"/>
  <c r="T400" i="8"/>
  <c r="U400" i="8"/>
  <c r="L414" i="8"/>
  <c r="O414" i="8" s="1"/>
  <c r="M414" i="8"/>
  <c r="N414" i="8"/>
  <c r="Q414" i="8"/>
  <c r="R414" i="8"/>
  <c r="U414" i="8" s="1"/>
  <c r="S414" i="8"/>
  <c r="O417" i="8"/>
  <c r="P417" i="8"/>
  <c r="T417" i="8"/>
  <c r="U417" i="8"/>
  <c r="L418" i="8"/>
  <c r="M418" i="8"/>
  <c r="M416" i="8" s="1"/>
  <c r="N418" i="8"/>
  <c r="Q418" i="8"/>
  <c r="Q415" i="8" s="1"/>
  <c r="R418" i="8"/>
  <c r="R416" i="8" s="1"/>
  <c r="S418" i="8"/>
  <c r="S416" i="8" s="1"/>
  <c r="Q419" i="8"/>
  <c r="T419" i="8" s="1"/>
  <c r="R419" i="8"/>
  <c r="U419" i="8" s="1"/>
  <c r="S419" i="8"/>
  <c r="O420" i="8"/>
  <c r="P420" i="8"/>
  <c r="T420" i="8"/>
  <c r="U420" i="8"/>
  <c r="L421" i="8"/>
  <c r="L419" i="8" s="1"/>
  <c r="O419" i="8" s="1"/>
  <c r="M421" i="8"/>
  <c r="M419" i="8" s="1"/>
  <c r="P419" i="8" s="1"/>
  <c r="N421" i="8"/>
  <c r="N419" i="8" s="1"/>
  <c r="T421" i="8"/>
  <c r="U421" i="8"/>
  <c r="I424" i="8"/>
  <c r="K424" i="8" s="1"/>
  <c r="J424" i="8"/>
  <c r="I425" i="8"/>
  <c r="K425" i="8" s="1"/>
  <c r="J425" i="8"/>
  <c r="I432" i="8"/>
  <c r="K432" i="8" s="1"/>
  <c r="J432" i="8"/>
  <c r="I433" i="8"/>
  <c r="K433" i="8" s="1"/>
  <c r="J433" i="8"/>
  <c r="I440" i="8"/>
  <c r="I441" i="8"/>
  <c r="K441" i="8" s="1"/>
  <c r="J446" i="8"/>
  <c r="J440" i="8" s="1"/>
  <c r="J423" i="8" s="1"/>
  <c r="J412" i="8" s="1"/>
  <c r="J447" i="8"/>
  <c r="J441" i="8" s="1"/>
  <c r="I457" i="8"/>
  <c r="I458" i="8"/>
  <c r="K458" i="8" s="1"/>
  <c r="J459" i="8"/>
  <c r="J457" i="8" s="1"/>
  <c r="J456" i="8" s="1"/>
  <c r="J460" i="8"/>
  <c r="J467" i="8"/>
  <c r="J468" i="8"/>
  <c r="J475" i="8"/>
  <c r="K475" i="8"/>
  <c r="J476" i="8"/>
  <c r="K476" i="8"/>
  <c r="J477" i="8"/>
  <c r="K477" i="8"/>
  <c r="J482" i="8"/>
  <c r="J483" i="8"/>
  <c r="I484" i="8"/>
  <c r="K484" i="8" s="1"/>
  <c r="J484" i="8"/>
  <c r="I485" i="8"/>
  <c r="K485" i="8" s="1"/>
  <c r="J485" i="8"/>
  <c r="L494" i="8"/>
  <c r="M494" i="8"/>
  <c r="N494" i="8"/>
  <c r="P494" i="8"/>
  <c r="Q494" i="8"/>
  <c r="R494" i="8"/>
  <c r="S494" i="8"/>
  <c r="O497" i="8"/>
  <c r="P497" i="8"/>
  <c r="T497" i="8"/>
  <c r="U497" i="8"/>
  <c r="L498" i="8"/>
  <c r="M498" i="8"/>
  <c r="N498" i="8"/>
  <c r="N496" i="8" s="1"/>
  <c r="Q498" i="8"/>
  <c r="R498" i="8"/>
  <c r="S498" i="8"/>
  <c r="Q499" i="8"/>
  <c r="R499" i="8"/>
  <c r="S499" i="8"/>
  <c r="T499" i="8"/>
  <c r="U499" i="8"/>
  <c r="O500" i="8"/>
  <c r="P500" i="8"/>
  <c r="T500" i="8"/>
  <c r="U500" i="8"/>
  <c r="L501" i="8"/>
  <c r="M501" i="8"/>
  <c r="N501" i="8"/>
  <c r="N499" i="8" s="1"/>
  <c r="T501" i="8"/>
  <c r="U501" i="8"/>
  <c r="I503" i="8"/>
  <c r="I504" i="8"/>
  <c r="K504" i="8" s="1"/>
  <c r="I505" i="8"/>
  <c r="I506" i="8"/>
  <c r="K506" i="8" s="1"/>
  <c r="I507" i="8"/>
  <c r="K507" i="8" s="1"/>
  <c r="K508" i="8"/>
  <c r="I509" i="8"/>
  <c r="K509" i="8" s="1"/>
  <c r="I512" i="8"/>
  <c r="K512" i="8" s="1"/>
  <c r="J512" i="8"/>
  <c r="L514" i="8"/>
  <c r="O514" i="8" s="1"/>
  <c r="M514" i="8"/>
  <c r="N514" i="8"/>
  <c r="P514" i="8"/>
  <c r="Q514" i="8"/>
  <c r="R514" i="8"/>
  <c r="U514" i="8" s="1"/>
  <c r="S514" i="8"/>
  <c r="S513" i="8" s="1"/>
  <c r="T514" i="8"/>
  <c r="Q515" i="8"/>
  <c r="R515" i="8"/>
  <c r="S515" i="8"/>
  <c r="Q516" i="8"/>
  <c r="T516" i="8" s="1"/>
  <c r="R516" i="8"/>
  <c r="U516" i="8" s="1"/>
  <c r="S516" i="8"/>
  <c r="O517" i="8"/>
  <c r="P517" i="8"/>
  <c r="T517" i="8"/>
  <c r="U517" i="8"/>
  <c r="L518" i="8"/>
  <c r="L516" i="8" s="1"/>
  <c r="O516" i="8" s="1"/>
  <c r="M518" i="8"/>
  <c r="M516" i="8" s="1"/>
  <c r="P516" i="8" s="1"/>
  <c r="N518" i="8"/>
  <c r="N516" i="8" s="1"/>
  <c r="T518" i="8"/>
  <c r="U518" i="8"/>
  <c r="Q519" i="8"/>
  <c r="T519" i="8" s="1"/>
  <c r="R519" i="8"/>
  <c r="S519" i="8"/>
  <c r="U519" i="8"/>
  <c r="O520" i="8"/>
  <c r="P520" i="8"/>
  <c r="T520" i="8"/>
  <c r="U520" i="8"/>
  <c r="L521" i="8"/>
  <c r="O521" i="8" s="1"/>
  <c r="M521" i="8"/>
  <c r="N521" i="8"/>
  <c r="N519" i="8" s="1"/>
  <c r="T521" i="8"/>
  <c r="U521" i="8"/>
  <c r="K523" i="8"/>
  <c r="K524" i="8"/>
  <c r="I533" i="8"/>
  <c r="K533" i="8" s="1"/>
  <c r="J533" i="8"/>
  <c r="L535" i="8"/>
  <c r="M535" i="8"/>
  <c r="N535" i="8"/>
  <c r="O535" i="8"/>
  <c r="Q535" i="8"/>
  <c r="R535" i="8"/>
  <c r="S535" i="8"/>
  <c r="T535" i="8"/>
  <c r="U535" i="8"/>
  <c r="Q536" i="8"/>
  <c r="R536" i="8"/>
  <c r="U536" i="8" s="1"/>
  <c r="S536" i="8"/>
  <c r="Q537" i="8"/>
  <c r="R537" i="8"/>
  <c r="U537" i="8" s="1"/>
  <c r="S537" i="8"/>
  <c r="T537" i="8"/>
  <c r="O538" i="8"/>
  <c r="P538" i="8"/>
  <c r="T538" i="8"/>
  <c r="U538" i="8"/>
  <c r="L539" i="8"/>
  <c r="M539" i="8"/>
  <c r="N539" i="8"/>
  <c r="N537" i="8" s="1"/>
  <c r="T539" i="8"/>
  <c r="U539" i="8"/>
  <c r="Q540" i="8"/>
  <c r="T540" i="8" s="1"/>
  <c r="R540" i="8"/>
  <c r="U540" i="8" s="1"/>
  <c r="S540" i="8"/>
  <c r="O541" i="8"/>
  <c r="P541" i="8"/>
  <c r="T541" i="8"/>
  <c r="U541" i="8"/>
  <c r="L542" i="8"/>
  <c r="L540" i="8" s="1"/>
  <c r="O540" i="8" s="1"/>
  <c r="M542" i="8"/>
  <c r="P542" i="8" s="1"/>
  <c r="N542" i="8"/>
  <c r="N540" i="8" s="1"/>
  <c r="T542" i="8"/>
  <c r="U542" i="8"/>
  <c r="I554" i="8"/>
  <c r="J554" i="8"/>
  <c r="K554" i="8"/>
  <c r="L556" i="8"/>
  <c r="M556" i="8"/>
  <c r="N556" i="8"/>
  <c r="Q556" i="8"/>
  <c r="T556" i="8" s="1"/>
  <c r="R556" i="8"/>
  <c r="S556" i="8"/>
  <c r="Q557" i="8"/>
  <c r="R557" i="8"/>
  <c r="U557" i="8" s="1"/>
  <c r="S557" i="8"/>
  <c r="T557" i="8"/>
  <c r="Q558" i="8"/>
  <c r="T558" i="8" s="1"/>
  <c r="R558" i="8"/>
  <c r="S558" i="8"/>
  <c r="U558" i="8"/>
  <c r="O559" i="8"/>
  <c r="P559" i="8"/>
  <c r="T559" i="8"/>
  <c r="U559" i="8"/>
  <c r="L560" i="8"/>
  <c r="M560" i="8"/>
  <c r="P560" i="8" s="1"/>
  <c r="N560" i="8"/>
  <c r="N558" i="8" s="1"/>
  <c r="T560" i="8"/>
  <c r="U560" i="8"/>
  <c r="Q561" i="8"/>
  <c r="T561" i="8" s="1"/>
  <c r="R561" i="8"/>
  <c r="U561" i="8" s="1"/>
  <c r="S561" i="8"/>
  <c r="O562" i="8"/>
  <c r="P562" i="8"/>
  <c r="T562" i="8"/>
  <c r="U562" i="8"/>
  <c r="L563" i="8"/>
  <c r="M563" i="8"/>
  <c r="P563" i="8" s="1"/>
  <c r="N563" i="8"/>
  <c r="N561" i="8" s="1"/>
  <c r="T563" i="8"/>
  <c r="U563" i="8"/>
  <c r="I575" i="8"/>
  <c r="J575" i="8"/>
  <c r="K575" i="8"/>
  <c r="S576" i="8"/>
  <c r="L577" i="8"/>
  <c r="M577" i="8"/>
  <c r="N577" i="8"/>
  <c r="O577" i="8"/>
  <c r="P577" i="8"/>
  <c r="Q577" i="8"/>
  <c r="R577" i="8"/>
  <c r="S577" i="8"/>
  <c r="T577" i="8"/>
  <c r="U577" i="8"/>
  <c r="Q578" i="8"/>
  <c r="R578" i="8"/>
  <c r="S578" i="8"/>
  <c r="Q579" i="8"/>
  <c r="T579" i="8" s="1"/>
  <c r="R579" i="8"/>
  <c r="U579" i="8" s="1"/>
  <c r="S579" i="8"/>
  <c r="O580" i="8"/>
  <c r="P580" i="8"/>
  <c r="T580" i="8"/>
  <c r="U580" i="8"/>
  <c r="L581" i="8"/>
  <c r="M581" i="8"/>
  <c r="N581" i="8"/>
  <c r="N579" i="8" s="1"/>
  <c r="T581" i="8"/>
  <c r="U581" i="8"/>
  <c r="Q582" i="8"/>
  <c r="T582" i="8" s="1"/>
  <c r="R582" i="8"/>
  <c r="S582" i="8"/>
  <c r="U582" i="8"/>
  <c r="O583" i="8"/>
  <c r="P583" i="8"/>
  <c r="T583" i="8"/>
  <c r="U583" i="8"/>
  <c r="L584" i="8"/>
  <c r="L582" i="8" s="1"/>
  <c r="O582" i="8" s="1"/>
  <c r="M584" i="8"/>
  <c r="P584" i="8" s="1"/>
  <c r="N584" i="8"/>
  <c r="N582" i="8" s="1"/>
  <c r="T584" i="8"/>
  <c r="U584" i="8"/>
  <c r="L600" i="8"/>
  <c r="M600" i="8"/>
  <c r="N600" i="8"/>
  <c r="O600" i="8"/>
  <c r="P600" i="8"/>
  <c r="Q600" i="8"/>
  <c r="T600" i="8" s="1"/>
  <c r="R600" i="8"/>
  <c r="S600" i="8"/>
  <c r="U600" i="8"/>
  <c r="O603" i="8"/>
  <c r="P603" i="8"/>
  <c r="T603" i="8"/>
  <c r="U603" i="8"/>
  <c r="L604" i="8"/>
  <c r="M604" i="8"/>
  <c r="P604" i="8" s="1"/>
  <c r="N604" i="8"/>
  <c r="Q604" i="8"/>
  <c r="R604" i="8"/>
  <c r="S604" i="8"/>
  <c r="S602" i="8" s="1"/>
  <c r="O606" i="8"/>
  <c r="P606" i="8"/>
  <c r="T606" i="8"/>
  <c r="U606" i="8"/>
  <c r="L607" i="8"/>
  <c r="M607" i="8"/>
  <c r="P607" i="8" s="1"/>
  <c r="N607" i="8"/>
  <c r="N605" i="8" s="1"/>
  <c r="Q607" i="8"/>
  <c r="R607" i="8"/>
  <c r="S607" i="8"/>
  <c r="S605" i="8" s="1"/>
  <c r="L617" i="8"/>
  <c r="M617" i="8"/>
  <c r="N617" i="8"/>
  <c r="Q617" i="8"/>
  <c r="T617" i="8" s="1"/>
  <c r="R617" i="8"/>
  <c r="S617" i="8"/>
  <c r="L618" i="8"/>
  <c r="M618" i="8"/>
  <c r="P618" i="8" s="1"/>
  <c r="N618" i="8"/>
  <c r="N616" i="8" s="1"/>
  <c r="O618" i="8"/>
  <c r="L619" i="8"/>
  <c r="O619" i="8" s="1"/>
  <c r="M619" i="8"/>
  <c r="N619" i="8"/>
  <c r="P619" i="8"/>
  <c r="O620" i="8"/>
  <c r="P620" i="8"/>
  <c r="T620" i="8"/>
  <c r="U620" i="8"/>
  <c r="O621" i="8"/>
  <c r="P621" i="8"/>
  <c r="Q621" i="8"/>
  <c r="Q619" i="8" s="1"/>
  <c r="R621" i="8"/>
  <c r="S621" i="8"/>
  <c r="S618" i="8" s="1"/>
  <c r="L622" i="8"/>
  <c r="O622" i="8" s="1"/>
  <c r="M622" i="8"/>
  <c r="P622" i="8" s="1"/>
  <c r="N622" i="8"/>
  <c r="Q622" i="8"/>
  <c r="R622" i="8"/>
  <c r="U622" i="8" s="1"/>
  <c r="S622" i="8"/>
  <c r="T622" i="8"/>
  <c r="O623" i="8"/>
  <c r="P623" i="8"/>
  <c r="T623" i="8"/>
  <c r="U623" i="8"/>
  <c r="O624" i="8"/>
  <c r="P624" i="8"/>
  <c r="T624" i="8"/>
  <c r="U624" i="8"/>
  <c r="I626" i="8"/>
  <c r="I627" i="8"/>
  <c r="K627" i="8" s="1"/>
  <c r="I628" i="8"/>
  <c r="K628" i="8" s="1"/>
  <c r="J632" i="8"/>
  <c r="I635" i="8"/>
  <c r="K635" i="8" s="1"/>
  <c r="J636" i="8"/>
  <c r="J635" i="8" s="1"/>
  <c r="L643" i="8"/>
  <c r="M643" i="8"/>
  <c r="N643" i="8"/>
  <c r="P643" i="8"/>
  <c r="Q643" i="8"/>
  <c r="R643" i="8"/>
  <c r="S643" i="8"/>
  <c r="L644" i="8"/>
  <c r="O644" i="8" s="1"/>
  <c r="M644" i="8"/>
  <c r="N644" i="8"/>
  <c r="N642" i="8" s="1"/>
  <c r="L645" i="8"/>
  <c r="O645" i="8" s="1"/>
  <c r="M645" i="8"/>
  <c r="N645" i="8"/>
  <c r="P645" i="8"/>
  <c r="O646" i="8"/>
  <c r="P646" i="8"/>
  <c r="T646" i="8"/>
  <c r="U646" i="8"/>
  <c r="O647" i="8"/>
  <c r="P647" i="8"/>
  <c r="Q647" i="8"/>
  <c r="R647" i="8"/>
  <c r="R644" i="8" s="1"/>
  <c r="U644" i="8" s="1"/>
  <c r="S647" i="8"/>
  <c r="S644" i="8" s="1"/>
  <c r="S642" i="8" s="1"/>
  <c r="L648" i="8"/>
  <c r="O648" i="8" s="1"/>
  <c r="M648" i="8"/>
  <c r="P648" i="8" s="1"/>
  <c r="N648" i="8"/>
  <c r="Q648" i="8"/>
  <c r="T648" i="8" s="1"/>
  <c r="R648" i="8"/>
  <c r="U648" i="8" s="1"/>
  <c r="S648" i="8"/>
  <c r="O649" i="8"/>
  <c r="P649" i="8"/>
  <c r="T649" i="8"/>
  <c r="U649" i="8"/>
  <c r="O650" i="8"/>
  <c r="P650" i="8"/>
  <c r="T650" i="8"/>
  <c r="U650" i="8"/>
  <c r="I652" i="8"/>
  <c r="K652" i="8" s="1"/>
  <c r="J652" i="8"/>
  <c r="I653" i="8"/>
  <c r="K653" i="8" s="1"/>
  <c r="J653" i="8"/>
  <c r="I654" i="8"/>
  <c r="K654" i="8" s="1"/>
  <c r="J654" i="8"/>
  <c r="I657" i="8"/>
  <c r="I660" i="8"/>
  <c r="I661" i="8"/>
  <c r="K661" i="8" s="1"/>
  <c r="J661" i="8"/>
  <c r="J671" i="8"/>
  <c r="J672" i="8"/>
  <c r="I673" i="8"/>
  <c r="K673" i="8" s="1"/>
  <c r="J673" i="8"/>
  <c r="I674" i="8"/>
  <c r="K674" i="8" s="1"/>
  <c r="I675" i="8"/>
  <c r="K675" i="8" s="1"/>
  <c r="I676" i="8"/>
  <c r="K676" i="8" s="1"/>
  <c r="J676" i="8"/>
  <c r="J677" i="8"/>
  <c r="I678" i="8"/>
  <c r="K678" i="8" s="1"/>
  <c r="J678" i="8"/>
  <c r="I679" i="8"/>
  <c r="K679" i="8" s="1"/>
  <c r="J679" i="8"/>
  <c r="J680" i="8"/>
  <c r="I681" i="8"/>
  <c r="K681" i="8" s="1"/>
  <c r="J681" i="8"/>
  <c r="I682" i="8"/>
  <c r="K682" i="8" s="1"/>
  <c r="J682" i="8"/>
  <c r="L691" i="8"/>
  <c r="M691" i="8"/>
  <c r="N691" i="8"/>
  <c r="P691" i="8"/>
  <c r="Q691" i="8"/>
  <c r="R691" i="8"/>
  <c r="S691" i="8"/>
  <c r="L692" i="8"/>
  <c r="O692" i="8" s="1"/>
  <c r="M692" i="8"/>
  <c r="N692" i="8"/>
  <c r="N690" i="8" s="1"/>
  <c r="L693" i="8"/>
  <c r="M693" i="8"/>
  <c r="N693" i="8"/>
  <c r="O693" i="8"/>
  <c r="P693" i="8"/>
  <c r="O694" i="8"/>
  <c r="P694" i="8"/>
  <c r="T694" i="8"/>
  <c r="U694" i="8"/>
  <c r="O695" i="8"/>
  <c r="P695" i="8"/>
  <c r="Q695" i="8"/>
  <c r="R695" i="8"/>
  <c r="R693" i="8" s="1"/>
  <c r="U693" i="8" s="1"/>
  <c r="S695" i="8"/>
  <c r="L696" i="8"/>
  <c r="O696" i="8" s="1"/>
  <c r="M696" i="8"/>
  <c r="P696" i="8" s="1"/>
  <c r="N696" i="8"/>
  <c r="Q696" i="8"/>
  <c r="T696" i="8" s="1"/>
  <c r="R696" i="8"/>
  <c r="U696" i="8" s="1"/>
  <c r="S696" i="8"/>
  <c r="O697" i="8"/>
  <c r="P697" i="8"/>
  <c r="T697" i="8"/>
  <c r="U697" i="8"/>
  <c r="O698" i="8"/>
  <c r="P698" i="8"/>
  <c r="T698" i="8"/>
  <c r="U698" i="8"/>
  <c r="I700" i="8"/>
  <c r="K700" i="8" s="1"/>
  <c r="K702" i="8"/>
  <c r="I703" i="8"/>
  <c r="J703" i="8"/>
  <c r="J704" i="8"/>
  <c r="K704" i="8"/>
  <c r="I705" i="8"/>
  <c r="K705" i="8" s="1"/>
  <c r="J705" i="8"/>
  <c r="J706" i="8"/>
  <c r="K706" i="8"/>
  <c r="I707" i="8"/>
  <c r="I689" i="8" s="1"/>
  <c r="K689" i="8" s="1"/>
  <c r="J707" i="8"/>
  <c r="J689" i="8" s="1"/>
  <c r="J708" i="8"/>
  <c r="K708" i="8"/>
  <c r="I709" i="8"/>
  <c r="K709" i="8" s="1"/>
  <c r="J709" i="8"/>
  <c r="J710" i="8"/>
  <c r="K710" i="8"/>
  <c r="J712" i="8"/>
  <c r="K712" i="8"/>
  <c r="S714" i="8"/>
  <c r="L715" i="8"/>
  <c r="O715" i="8" s="1"/>
  <c r="M715" i="8"/>
  <c r="M714" i="8" s="1"/>
  <c r="P714" i="8" s="1"/>
  <c r="N715" i="8"/>
  <c r="N714" i="8" s="1"/>
  <c r="Q715" i="8"/>
  <c r="T715" i="8" s="1"/>
  <c r="R715" i="8"/>
  <c r="U715" i="8" s="1"/>
  <c r="S715" i="8"/>
  <c r="L716" i="8"/>
  <c r="M716" i="8"/>
  <c r="P716" i="8" s="1"/>
  <c r="N716" i="8"/>
  <c r="Q716" i="8"/>
  <c r="R716" i="8"/>
  <c r="S716" i="8"/>
  <c r="L717" i="8"/>
  <c r="O717" i="8" s="1"/>
  <c r="M717" i="8"/>
  <c r="P717" i="8" s="1"/>
  <c r="N717" i="8"/>
  <c r="Q717" i="8"/>
  <c r="R717" i="8"/>
  <c r="U717" i="8" s="1"/>
  <c r="S717" i="8"/>
  <c r="T717" i="8"/>
  <c r="O718" i="8"/>
  <c r="P718" i="8"/>
  <c r="T718" i="8"/>
  <c r="U718" i="8"/>
  <c r="O719" i="8"/>
  <c r="P719" i="8"/>
  <c r="T719" i="8"/>
  <c r="U719" i="8"/>
  <c r="L720" i="8"/>
  <c r="O720" i="8" s="1"/>
  <c r="M720" i="8"/>
  <c r="P720" i="8" s="1"/>
  <c r="N720" i="8"/>
  <c r="Q720" i="8"/>
  <c r="T720" i="8" s="1"/>
  <c r="R720" i="8"/>
  <c r="U720" i="8" s="1"/>
  <c r="S720" i="8"/>
  <c r="O721" i="8"/>
  <c r="P721" i="8"/>
  <c r="T721" i="8"/>
  <c r="U721" i="8"/>
  <c r="O722" i="8"/>
  <c r="P722" i="8"/>
  <c r="T722" i="8"/>
  <c r="U722" i="8"/>
  <c r="I726" i="8"/>
  <c r="K726" i="8" s="1"/>
  <c r="J726" i="8"/>
  <c r="I727" i="8"/>
  <c r="K727" i="8" s="1"/>
  <c r="J727" i="8"/>
  <c r="M728" i="8"/>
  <c r="P728" i="8" s="1"/>
  <c r="N728" i="8"/>
  <c r="L729" i="8"/>
  <c r="M729" i="8"/>
  <c r="N729" i="8"/>
  <c r="O729" i="8"/>
  <c r="P729" i="8"/>
  <c r="Q729" i="8"/>
  <c r="T729" i="8" s="1"/>
  <c r="R729" i="8"/>
  <c r="S729" i="8"/>
  <c r="U729" i="8"/>
  <c r="L730" i="8"/>
  <c r="M730" i="8"/>
  <c r="P730" i="8" s="1"/>
  <c r="N730" i="8"/>
  <c r="L731" i="8"/>
  <c r="O731" i="8" s="1"/>
  <c r="M731" i="8"/>
  <c r="P731" i="8" s="1"/>
  <c r="N731" i="8"/>
  <c r="O732" i="8"/>
  <c r="P732" i="8"/>
  <c r="T732" i="8"/>
  <c r="U732" i="8"/>
  <c r="O733" i="8"/>
  <c r="P733" i="8"/>
  <c r="Q733" i="8"/>
  <c r="Q731" i="8" s="1"/>
  <c r="R733" i="8"/>
  <c r="R731" i="8" s="1"/>
  <c r="S733" i="8"/>
  <c r="S730" i="8" s="1"/>
  <c r="S728" i="8" s="1"/>
  <c r="L734" i="8"/>
  <c r="O734" i="8" s="1"/>
  <c r="M734" i="8"/>
  <c r="P734" i="8" s="1"/>
  <c r="N734" i="8"/>
  <c r="Q734" i="8"/>
  <c r="T734" i="8" s="1"/>
  <c r="R734" i="8"/>
  <c r="U734" i="8" s="1"/>
  <c r="S734" i="8"/>
  <c r="O735" i="8"/>
  <c r="P735" i="8"/>
  <c r="T735" i="8"/>
  <c r="U735" i="8"/>
  <c r="O736" i="8"/>
  <c r="P736" i="8"/>
  <c r="T736" i="8"/>
  <c r="U736" i="8"/>
  <c r="I740" i="8"/>
  <c r="K740" i="8" s="1"/>
  <c r="I742" i="8"/>
  <c r="K742" i="8" s="1"/>
  <c r="I744" i="8"/>
  <c r="K744" i="8" s="1"/>
  <c r="I746" i="8"/>
  <c r="K746" i="8" s="1"/>
  <c r="I749" i="8"/>
  <c r="K749" i="8" s="1"/>
  <c r="I752" i="8"/>
  <c r="K752" i="8" s="1"/>
  <c r="I755" i="8"/>
  <c r="K755" i="8" s="1"/>
  <c r="J758" i="8"/>
  <c r="J759" i="8"/>
  <c r="L761" i="8"/>
  <c r="M761" i="8"/>
  <c r="N761" i="8"/>
  <c r="N760" i="8" s="1"/>
  <c r="O761" i="8"/>
  <c r="P761" i="8"/>
  <c r="Q761" i="8"/>
  <c r="R761" i="8"/>
  <c r="S761" i="8"/>
  <c r="U761" i="8"/>
  <c r="L762" i="8"/>
  <c r="M762" i="8"/>
  <c r="N762" i="8"/>
  <c r="L763" i="8"/>
  <c r="O763" i="8" s="1"/>
  <c r="M763" i="8"/>
  <c r="P763" i="8" s="1"/>
  <c r="N763" i="8"/>
  <c r="O764" i="8"/>
  <c r="P764" i="8"/>
  <c r="T764" i="8"/>
  <c r="U764" i="8"/>
  <c r="O765" i="8"/>
  <c r="P765" i="8"/>
  <c r="Q765" i="8"/>
  <c r="Q762" i="8" s="1"/>
  <c r="R765" i="8"/>
  <c r="S765" i="8"/>
  <c r="S762" i="8" s="1"/>
  <c r="S760" i="8" s="1"/>
  <c r="L766" i="8"/>
  <c r="O766" i="8" s="1"/>
  <c r="M766" i="8"/>
  <c r="N766" i="8"/>
  <c r="P766" i="8"/>
  <c r="Q766" i="8"/>
  <c r="T766" i="8" s="1"/>
  <c r="R766" i="8"/>
  <c r="U766" i="8" s="1"/>
  <c r="S766" i="8"/>
  <c r="O767" i="8"/>
  <c r="P767" i="8"/>
  <c r="T767" i="8"/>
  <c r="U767" i="8"/>
  <c r="O768" i="8"/>
  <c r="P768" i="8"/>
  <c r="T768" i="8"/>
  <c r="U768" i="8"/>
  <c r="I770" i="8"/>
  <c r="K770" i="8" s="1"/>
  <c r="I772" i="8"/>
  <c r="I758" i="8" s="1"/>
  <c r="K758" i="8" s="1"/>
  <c r="I774" i="8"/>
  <c r="I775" i="8"/>
  <c r="I776" i="8"/>
  <c r="H777" i="8"/>
  <c r="I778" i="8"/>
  <c r="J778" i="8"/>
  <c r="I779" i="8"/>
  <c r="J779" i="8"/>
  <c r="I780" i="8"/>
  <c r="J780" i="8"/>
  <c r="I781" i="8"/>
  <c r="J781" i="8"/>
  <c r="I782" i="8"/>
  <c r="J782" i="8"/>
  <c r="I783" i="8"/>
  <c r="J783" i="8"/>
  <c r="I784" i="8"/>
  <c r="J784" i="8"/>
  <c r="I785" i="8"/>
  <c r="J785" i="8"/>
  <c r="A788" i="8"/>
  <c r="A789" i="8"/>
  <c r="L22" i="7"/>
  <c r="L19" i="7" s="1"/>
  <c r="M22" i="7"/>
  <c r="N22" i="7"/>
  <c r="Q22" i="7"/>
  <c r="T22" i="7" s="1"/>
  <c r="R22" i="7"/>
  <c r="S22" i="7"/>
  <c r="L25" i="7"/>
  <c r="M25" i="7"/>
  <c r="N25" i="7"/>
  <c r="O25" i="7"/>
  <c r="Q25" i="7"/>
  <c r="T25" i="7" s="1"/>
  <c r="R25" i="7"/>
  <c r="S25" i="7"/>
  <c r="U25" i="7"/>
  <c r="L45" i="7"/>
  <c r="O45" i="7" s="1"/>
  <c r="M45" i="7"/>
  <c r="P45" i="7" s="1"/>
  <c r="N45" i="7"/>
  <c r="Q45" i="7"/>
  <c r="Q44" i="7" s="1"/>
  <c r="T44" i="7" s="1"/>
  <c r="R45" i="7"/>
  <c r="U45" i="7" s="1"/>
  <c r="S45" i="7"/>
  <c r="T45" i="7"/>
  <c r="Q46" i="7"/>
  <c r="R46" i="7"/>
  <c r="U46" i="7" s="1"/>
  <c r="S46" i="7"/>
  <c r="T46" i="7"/>
  <c r="Q47" i="7"/>
  <c r="T47" i="7" s="1"/>
  <c r="R47" i="7"/>
  <c r="U47" i="7" s="1"/>
  <c r="S47" i="7"/>
  <c r="O48" i="7"/>
  <c r="P48" i="7"/>
  <c r="T48" i="7"/>
  <c r="U48" i="7"/>
  <c r="L49" i="7"/>
  <c r="L47" i="7" s="1"/>
  <c r="M49" i="7"/>
  <c r="M47" i="7" s="1"/>
  <c r="N49" i="7"/>
  <c r="N47" i="7" s="1"/>
  <c r="T49" i="7"/>
  <c r="U49" i="7"/>
  <c r="Q50" i="7"/>
  <c r="T50" i="7" s="1"/>
  <c r="R50" i="7"/>
  <c r="U50" i="7" s="1"/>
  <c r="S50" i="7"/>
  <c r="O51" i="7"/>
  <c r="P51" i="7"/>
  <c r="T51" i="7"/>
  <c r="U51" i="7"/>
  <c r="L52" i="7"/>
  <c r="L50" i="7" s="1"/>
  <c r="O50" i="7" s="1"/>
  <c r="M52" i="7"/>
  <c r="N52" i="7"/>
  <c r="T52" i="7"/>
  <c r="U52" i="7"/>
  <c r="L60" i="7"/>
  <c r="O60" i="7" s="1"/>
  <c r="M60" i="7"/>
  <c r="N60" i="7"/>
  <c r="P60" i="7"/>
  <c r="Q60" i="7"/>
  <c r="R60" i="7"/>
  <c r="U60" i="7" s="1"/>
  <c r="S60" i="7"/>
  <c r="Q61" i="7"/>
  <c r="R61" i="7"/>
  <c r="U61" i="7" s="1"/>
  <c r="S61" i="7"/>
  <c r="S59" i="7" s="1"/>
  <c r="T61" i="7"/>
  <c r="Q62" i="7"/>
  <c r="R62" i="7"/>
  <c r="U62" i="7" s="1"/>
  <c r="S62" i="7"/>
  <c r="T62" i="7"/>
  <c r="O63" i="7"/>
  <c r="P63" i="7"/>
  <c r="T63" i="7"/>
  <c r="U63" i="7"/>
  <c r="L64" i="7"/>
  <c r="M64" i="7"/>
  <c r="N64" i="7"/>
  <c r="N62" i="7" s="1"/>
  <c r="T64" i="7"/>
  <c r="U64" i="7"/>
  <c r="Q65" i="7"/>
  <c r="T65" i="7" s="1"/>
  <c r="R65" i="7"/>
  <c r="S65" i="7"/>
  <c r="U65" i="7"/>
  <c r="O66" i="7"/>
  <c r="P66" i="7"/>
  <c r="T66" i="7"/>
  <c r="U66" i="7"/>
  <c r="L67" i="7"/>
  <c r="L65" i="7" s="1"/>
  <c r="M67" i="7"/>
  <c r="N67" i="7"/>
  <c r="N65" i="7" s="1"/>
  <c r="T67" i="7"/>
  <c r="U67" i="7"/>
  <c r="L73" i="7"/>
  <c r="O73" i="7" s="1"/>
  <c r="M73" i="7"/>
  <c r="N73" i="7"/>
  <c r="P73" i="7"/>
  <c r="Q73" i="7"/>
  <c r="T73" i="7" s="1"/>
  <c r="R73" i="7"/>
  <c r="U73" i="7" s="1"/>
  <c r="S73" i="7"/>
  <c r="O76" i="7"/>
  <c r="P76" i="7"/>
  <c r="T76" i="7"/>
  <c r="U76" i="7"/>
  <c r="L77" i="7"/>
  <c r="M77" i="7"/>
  <c r="N77" i="7"/>
  <c r="N75" i="7" s="1"/>
  <c r="Q77" i="7"/>
  <c r="T77" i="7" s="1"/>
  <c r="R77" i="7"/>
  <c r="R75" i="7" s="1"/>
  <c r="U75" i="7" s="1"/>
  <c r="S77" i="7"/>
  <c r="S75" i="7" s="1"/>
  <c r="O79" i="7"/>
  <c r="P79" i="7"/>
  <c r="T79" i="7"/>
  <c r="U79" i="7"/>
  <c r="L80" i="7"/>
  <c r="L78" i="7" s="1"/>
  <c r="O78" i="7" s="1"/>
  <c r="M80" i="7"/>
  <c r="N80" i="7"/>
  <c r="N78" i="7" s="1"/>
  <c r="Q80" i="7"/>
  <c r="Q78" i="7" s="1"/>
  <c r="T78" i="7" s="1"/>
  <c r="R80" i="7"/>
  <c r="R78" i="7" s="1"/>
  <c r="U78" i="7" s="1"/>
  <c r="S80" i="7"/>
  <c r="S78" i="7" s="1"/>
  <c r="J82" i="7"/>
  <c r="J70" i="7" s="1"/>
  <c r="J83" i="7"/>
  <c r="J71" i="7" s="1"/>
  <c r="I84" i="7"/>
  <c r="K84" i="7" s="1"/>
  <c r="I85" i="7"/>
  <c r="I86" i="7"/>
  <c r="K86" i="7" s="1"/>
  <c r="I87" i="7"/>
  <c r="K87" i="7" s="1"/>
  <c r="I88" i="7"/>
  <c r="K88" i="7" s="1"/>
  <c r="I89" i="7"/>
  <c r="K89" i="7" s="1"/>
  <c r="I90" i="7"/>
  <c r="K90" i="7" s="1"/>
  <c r="J92" i="7"/>
  <c r="J93" i="7"/>
  <c r="L95" i="7"/>
  <c r="O95" i="7" s="1"/>
  <c r="M95" i="7"/>
  <c r="N95" i="7"/>
  <c r="P95" i="7"/>
  <c r="Q95" i="7"/>
  <c r="R95" i="7"/>
  <c r="S95" i="7"/>
  <c r="T95" i="7"/>
  <c r="O98" i="7"/>
  <c r="P98" i="7"/>
  <c r="T98" i="7"/>
  <c r="U98" i="7"/>
  <c r="L99" i="7"/>
  <c r="O99" i="7" s="1"/>
  <c r="M99" i="7"/>
  <c r="M97" i="7" s="1"/>
  <c r="P97" i="7" s="1"/>
  <c r="N99" i="7"/>
  <c r="Q99" i="7"/>
  <c r="Q97" i="7" s="1"/>
  <c r="T97" i="7" s="1"/>
  <c r="R99" i="7"/>
  <c r="U99" i="7" s="1"/>
  <c r="S99" i="7"/>
  <c r="S96" i="7" s="1"/>
  <c r="Q100" i="7"/>
  <c r="T100" i="7" s="1"/>
  <c r="R100" i="7"/>
  <c r="U100" i="7" s="1"/>
  <c r="S100" i="7"/>
  <c r="O101" i="7"/>
  <c r="P101" i="7"/>
  <c r="T101" i="7"/>
  <c r="U101" i="7"/>
  <c r="L102" i="7"/>
  <c r="O102" i="7" s="1"/>
  <c r="M102" i="7"/>
  <c r="P102" i="7" s="1"/>
  <c r="N102" i="7"/>
  <c r="N100" i="7" s="1"/>
  <c r="T102" i="7"/>
  <c r="U102" i="7"/>
  <c r="I108" i="7"/>
  <c r="K108" i="7" s="1"/>
  <c r="I109" i="7"/>
  <c r="I93" i="7" s="1"/>
  <c r="K93" i="7" s="1"/>
  <c r="I114" i="7"/>
  <c r="K114" i="7" s="1"/>
  <c r="J116" i="7"/>
  <c r="L118" i="7"/>
  <c r="M118" i="7"/>
  <c r="P118" i="7" s="1"/>
  <c r="N118" i="7"/>
  <c r="O118" i="7"/>
  <c r="Q118" i="7"/>
  <c r="R118" i="7"/>
  <c r="S118" i="7"/>
  <c r="T118" i="7"/>
  <c r="U118" i="7"/>
  <c r="O121" i="7"/>
  <c r="P121" i="7"/>
  <c r="T121" i="7"/>
  <c r="U121" i="7"/>
  <c r="L122" i="7"/>
  <c r="M122" i="7"/>
  <c r="P122" i="7" s="1"/>
  <c r="N122" i="7"/>
  <c r="Q122" i="7"/>
  <c r="R122" i="7"/>
  <c r="S122" i="7"/>
  <c r="S120" i="7" s="1"/>
  <c r="O124" i="7"/>
  <c r="P124" i="7"/>
  <c r="T124" i="7"/>
  <c r="U124" i="7"/>
  <c r="L125" i="7"/>
  <c r="M125" i="7"/>
  <c r="N125" i="7"/>
  <c r="N123" i="7" s="1"/>
  <c r="Q125" i="7"/>
  <c r="T125" i="7" s="1"/>
  <c r="R125" i="7"/>
  <c r="U125" i="7" s="1"/>
  <c r="S125" i="7"/>
  <c r="S123" i="7" s="1"/>
  <c r="I127" i="7"/>
  <c r="I116" i="7" s="1"/>
  <c r="I128" i="7"/>
  <c r="K128" i="7" s="1"/>
  <c r="I129" i="7"/>
  <c r="K129" i="7" s="1"/>
  <c r="I130" i="7"/>
  <c r="K130" i="7" s="1"/>
  <c r="J136" i="7"/>
  <c r="J137" i="7"/>
  <c r="J138" i="7"/>
  <c r="L140" i="7"/>
  <c r="O140" i="7" s="1"/>
  <c r="M140" i="7"/>
  <c r="P140" i="7" s="1"/>
  <c r="N140" i="7"/>
  <c r="Q140" i="7"/>
  <c r="R140" i="7"/>
  <c r="S140" i="7"/>
  <c r="U140" i="7"/>
  <c r="O143" i="7"/>
  <c r="P143" i="7"/>
  <c r="T143" i="7"/>
  <c r="U143" i="7"/>
  <c r="L144" i="7"/>
  <c r="M144" i="7"/>
  <c r="P144" i="7" s="1"/>
  <c r="N144" i="7"/>
  <c r="Q144" i="7"/>
  <c r="T144" i="7" s="1"/>
  <c r="R144" i="7"/>
  <c r="R142" i="7" s="1"/>
  <c r="U142" i="7" s="1"/>
  <c r="S144" i="7"/>
  <c r="O146" i="7"/>
  <c r="P146" i="7"/>
  <c r="T146" i="7"/>
  <c r="U146" i="7"/>
  <c r="L147" i="7"/>
  <c r="L145" i="7" s="1"/>
  <c r="O145" i="7" s="1"/>
  <c r="M147" i="7"/>
  <c r="N147" i="7"/>
  <c r="N145" i="7" s="1"/>
  <c r="Q147" i="7"/>
  <c r="T147" i="7" s="1"/>
  <c r="R147" i="7"/>
  <c r="R145" i="7" s="1"/>
  <c r="U145" i="7" s="1"/>
  <c r="S147" i="7"/>
  <c r="S145" i="7" s="1"/>
  <c r="I150" i="7"/>
  <c r="K150" i="7" s="1"/>
  <c r="I151" i="7"/>
  <c r="K151" i="7" s="1"/>
  <c r="I152" i="7"/>
  <c r="I153" i="7"/>
  <c r="I154" i="7"/>
  <c r="I136" i="7" s="1"/>
  <c r="K136" i="7" s="1"/>
  <c r="J156" i="7"/>
  <c r="L158" i="7"/>
  <c r="O158" i="7" s="1"/>
  <c r="M158" i="7"/>
  <c r="P158" i="7" s="1"/>
  <c r="N158" i="7"/>
  <c r="Q158" i="7"/>
  <c r="R158" i="7"/>
  <c r="U158" i="7" s="1"/>
  <c r="S158" i="7"/>
  <c r="T158" i="7"/>
  <c r="O161" i="7"/>
  <c r="P161" i="7"/>
  <c r="T161" i="7"/>
  <c r="U161" i="7"/>
  <c r="L162" i="7"/>
  <c r="M162" i="7"/>
  <c r="P162" i="7" s="1"/>
  <c r="N162" i="7"/>
  <c r="N160" i="7" s="1"/>
  <c r="Q162" i="7"/>
  <c r="Q160" i="7" s="1"/>
  <c r="T160" i="7" s="1"/>
  <c r="R162" i="7"/>
  <c r="U162" i="7" s="1"/>
  <c r="S162" i="7"/>
  <c r="S159" i="7" s="1"/>
  <c r="Q163" i="7"/>
  <c r="T163" i="7" s="1"/>
  <c r="R163" i="7"/>
  <c r="U163" i="7" s="1"/>
  <c r="S163" i="7"/>
  <c r="O164" i="7"/>
  <c r="P164" i="7"/>
  <c r="T164" i="7"/>
  <c r="U164" i="7"/>
  <c r="L165" i="7"/>
  <c r="O165" i="7" s="1"/>
  <c r="M165" i="7"/>
  <c r="P165" i="7" s="1"/>
  <c r="N165" i="7"/>
  <c r="N163" i="7" s="1"/>
  <c r="T165" i="7"/>
  <c r="U165" i="7"/>
  <c r="I167" i="7"/>
  <c r="K167" i="7" s="1"/>
  <c r="I168" i="7"/>
  <c r="K168" i="7" s="1"/>
  <c r="I169" i="7"/>
  <c r="J172" i="7"/>
  <c r="L174" i="7"/>
  <c r="M174" i="7"/>
  <c r="P174" i="7" s="1"/>
  <c r="N174" i="7"/>
  <c r="Q174" i="7"/>
  <c r="R174" i="7"/>
  <c r="S174" i="7"/>
  <c r="T174" i="7"/>
  <c r="O177" i="7"/>
  <c r="P177" i="7"/>
  <c r="T177" i="7"/>
  <c r="U177" i="7"/>
  <c r="L178" i="7"/>
  <c r="L176" i="7" s="1"/>
  <c r="M178" i="7"/>
  <c r="N178" i="7"/>
  <c r="N176" i="7" s="1"/>
  <c r="Q178" i="7"/>
  <c r="Q175" i="7" s="1"/>
  <c r="R178" i="7"/>
  <c r="S178" i="7"/>
  <c r="S175" i="7" s="1"/>
  <c r="Q179" i="7"/>
  <c r="T179" i="7" s="1"/>
  <c r="R179" i="7"/>
  <c r="U179" i="7" s="1"/>
  <c r="S179" i="7"/>
  <c r="O180" i="7"/>
  <c r="P180" i="7"/>
  <c r="T180" i="7"/>
  <c r="U180" i="7"/>
  <c r="L181" i="7"/>
  <c r="L179" i="7" s="1"/>
  <c r="O179" i="7" s="1"/>
  <c r="M181" i="7"/>
  <c r="P181" i="7" s="1"/>
  <c r="N181" i="7"/>
  <c r="N179" i="7" s="1"/>
  <c r="T181" i="7"/>
  <c r="U181" i="7"/>
  <c r="I183" i="7"/>
  <c r="K184" i="7"/>
  <c r="L187" i="7"/>
  <c r="O187" i="7" s="1"/>
  <c r="M187" i="7"/>
  <c r="N187" i="7"/>
  <c r="Q187" i="7"/>
  <c r="R187" i="7"/>
  <c r="U187" i="7" s="1"/>
  <c r="S187" i="7"/>
  <c r="O190" i="7"/>
  <c r="P190" i="7"/>
  <c r="T190" i="7"/>
  <c r="U190" i="7"/>
  <c r="L191" i="7"/>
  <c r="M191" i="7"/>
  <c r="N191" i="7"/>
  <c r="Q191" i="7"/>
  <c r="R191" i="7"/>
  <c r="U191" i="7" s="1"/>
  <c r="S191" i="7"/>
  <c r="S189" i="7" s="1"/>
  <c r="O193" i="7"/>
  <c r="P193" i="7"/>
  <c r="T193" i="7"/>
  <c r="U193" i="7"/>
  <c r="L194" i="7"/>
  <c r="M194" i="7"/>
  <c r="N194" i="7"/>
  <c r="N192" i="7" s="1"/>
  <c r="Q194" i="7"/>
  <c r="T194" i="7" s="1"/>
  <c r="R194" i="7"/>
  <c r="R192" i="7" s="1"/>
  <c r="U192" i="7" s="1"/>
  <c r="S194" i="7"/>
  <c r="S192" i="7" s="1"/>
  <c r="J195" i="7"/>
  <c r="L196" i="7"/>
  <c r="O196" i="7" s="1"/>
  <c r="P196" i="7"/>
  <c r="I198" i="7"/>
  <c r="J199" i="7"/>
  <c r="J202" i="7"/>
  <c r="N203" i="7"/>
  <c r="P203" i="7"/>
  <c r="S203" i="7"/>
  <c r="U203" i="7"/>
  <c r="L204" i="7"/>
  <c r="L205" i="7"/>
  <c r="L206" i="7"/>
  <c r="Q206" i="7"/>
  <c r="Q203" i="7" s="1"/>
  <c r="T203" i="7" s="1"/>
  <c r="L207" i="7"/>
  <c r="I209" i="7"/>
  <c r="I211" i="7"/>
  <c r="K211" i="7" s="1"/>
  <c r="I212" i="7"/>
  <c r="K212" i="7" s="1"/>
  <c r="J213" i="7"/>
  <c r="N214" i="7"/>
  <c r="P214" i="7"/>
  <c r="S214" i="7"/>
  <c r="U214" i="7"/>
  <c r="L215" i="7"/>
  <c r="L216" i="7"/>
  <c r="L217" i="7"/>
  <c r="Q217" i="7"/>
  <c r="Q214" i="7" s="1"/>
  <c r="T214" i="7" s="1"/>
  <c r="I219" i="7"/>
  <c r="K219" i="7" s="1"/>
  <c r="I220" i="7"/>
  <c r="J221" i="7"/>
  <c r="N222" i="7"/>
  <c r="P222" i="7"/>
  <c r="L223" i="7"/>
  <c r="L224" i="7"/>
  <c r="L225" i="7"/>
  <c r="I228" i="7"/>
  <c r="K228" i="7" s="1"/>
  <c r="I229" i="7"/>
  <c r="I221" i="7" s="1"/>
  <c r="I230" i="7"/>
  <c r="K230" i="7" s="1"/>
  <c r="N233" i="7"/>
  <c r="N234" i="7"/>
  <c r="N235" i="7"/>
  <c r="N236" i="7"/>
  <c r="J238" i="7"/>
  <c r="I240" i="7"/>
  <c r="J240" i="7"/>
  <c r="K240" i="7"/>
  <c r="I241" i="7"/>
  <c r="K241" i="7" s="1"/>
  <c r="J241" i="7"/>
  <c r="J242" i="7"/>
  <c r="J231" i="7" s="1"/>
  <c r="J185" i="7" s="1"/>
  <c r="N243" i="7"/>
  <c r="P243" i="7"/>
  <c r="L244" i="7"/>
  <c r="L245" i="7"/>
  <c r="L246" i="7"/>
  <c r="L247" i="7"/>
  <c r="I249" i="7"/>
  <c r="I242" i="7" s="1"/>
  <c r="K251" i="7"/>
  <c r="K252" i="7"/>
  <c r="J253" i="7"/>
  <c r="N254" i="7"/>
  <c r="P254" i="7"/>
  <c r="L255" i="7"/>
  <c r="L256" i="7"/>
  <c r="L257" i="7"/>
  <c r="L258" i="7"/>
  <c r="I260" i="7"/>
  <c r="K260" i="7" s="1"/>
  <c r="K262" i="7"/>
  <c r="K263" i="7"/>
  <c r="J265" i="7"/>
  <c r="L267" i="7"/>
  <c r="O267" i="7" s="1"/>
  <c r="M267" i="7"/>
  <c r="P267" i="7" s="1"/>
  <c r="N267" i="7"/>
  <c r="Q267" i="7"/>
  <c r="T267" i="7" s="1"/>
  <c r="R267" i="7"/>
  <c r="S267" i="7"/>
  <c r="O270" i="7"/>
  <c r="P270" i="7"/>
  <c r="T270" i="7"/>
  <c r="U270" i="7"/>
  <c r="L271" i="7"/>
  <c r="L269" i="7" s="1"/>
  <c r="M271" i="7"/>
  <c r="M269" i="7" s="1"/>
  <c r="N271" i="7"/>
  <c r="Q271" i="7"/>
  <c r="Q268" i="7" s="1"/>
  <c r="Q266" i="7" s="1"/>
  <c r="R271" i="7"/>
  <c r="R269" i="7" s="1"/>
  <c r="S271" i="7"/>
  <c r="Q272" i="7"/>
  <c r="T272" i="7" s="1"/>
  <c r="R272" i="7"/>
  <c r="U272" i="7" s="1"/>
  <c r="S272" i="7"/>
  <c r="O273" i="7"/>
  <c r="P273" i="7"/>
  <c r="T273" i="7"/>
  <c r="U273" i="7"/>
  <c r="L274" i="7"/>
  <c r="M274" i="7"/>
  <c r="N274" i="7"/>
  <c r="N272" i="7" s="1"/>
  <c r="T274" i="7"/>
  <c r="U274" i="7"/>
  <c r="I276" i="7"/>
  <c r="I265" i="7" s="1"/>
  <c r="J280" i="7"/>
  <c r="J281" i="7"/>
  <c r="L283" i="7"/>
  <c r="O283" i="7" s="1"/>
  <c r="M283" i="7"/>
  <c r="P283" i="7" s="1"/>
  <c r="N283" i="7"/>
  <c r="Q283" i="7"/>
  <c r="T283" i="7" s="1"/>
  <c r="R283" i="7"/>
  <c r="U283" i="7" s="1"/>
  <c r="S283" i="7"/>
  <c r="S282" i="7" s="1"/>
  <c r="Q284" i="7"/>
  <c r="T284" i="7" s="1"/>
  <c r="R284" i="7"/>
  <c r="R282" i="7" s="1"/>
  <c r="U282" i="7" s="1"/>
  <c r="S284" i="7"/>
  <c r="U284" i="7"/>
  <c r="Q285" i="7"/>
  <c r="T285" i="7" s="1"/>
  <c r="R285" i="7"/>
  <c r="U285" i="7" s="1"/>
  <c r="S285" i="7"/>
  <c r="O286" i="7"/>
  <c r="P286" i="7"/>
  <c r="T286" i="7"/>
  <c r="U286" i="7"/>
  <c r="L287" i="7"/>
  <c r="O287" i="7" s="1"/>
  <c r="M287" i="7"/>
  <c r="M285" i="7" s="1"/>
  <c r="P285" i="7" s="1"/>
  <c r="N287" i="7"/>
  <c r="N285" i="7" s="1"/>
  <c r="T287" i="7"/>
  <c r="U287" i="7"/>
  <c r="Q288" i="7"/>
  <c r="T288" i="7" s="1"/>
  <c r="R288" i="7"/>
  <c r="S288" i="7"/>
  <c r="U288" i="7"/>
  <c r="O289" i="7"/>
  <c r="P289" i="7"/>
  <c r="T289" i="7"/>
  <c r="U289" i="7"/>
  <c r="L290" i="7"/>
  <c r="M290" i="7"/>
  <c r="P290" i="7" s="1"/>
  <c r="N290" i="7"/>
  <c r="N288" i="7" s="1"/>
  <c r="T290" i="7"/>
  <c r="U290" i="7"/>
  <c r="I292" i="7"/>
  <c r="I281" i="7" s="1"/>
  <c r="K281" i="7" s="1"/>
  <c r="I293" i="7"/>
  <c r="K293" i="7" s="1"/>
  <c r="J293" i="7"/>
  <c r="I295" i="7"/>
  <c r="K295" i="7" s="1"/>
  <c r="I296" i="7"/>
  <c r="K296" i="7" s="1"/>
  <c r="J302" i="7"/>
  <c r="L304" i="7"/>
  <c r="O304" i="7" s="1"/>
  <c r="M304" i="7"/>
  <c r="N304" i="7"/>
  <c r="Q304" i="7"/>
  <c r="R304" i="7"/>
  <c r="S304" i="7"/>
  <c r="T304" i="7"/>
  <c r="U304" i="7"/>
  <c r="O307" i="7"/>
  <c r="P307" i="7"/>
  <c r="T307" i="7"/>
  <c r="U307" i="7"/>
  <c r="L308" i="7"/>
  <c r="O308" i="7" s="1"/>
  <c r="M308" i="7"/>
  <c r="N308" i="7"/>
  <c r="N306" i="7" s="1"/>
  <c r="Q308" i="7"/>
  <c r="Q306" i="7" s="1"/>
  <c r="R308" i="7"/>
  <c r="R305" i="7" s="1"/>
  <c r="S308" i="7"/>
  <c r="S305" i="7" s="1"/>
  <c r="Q309" i="7"/>
  <c r="T309" i="7" s="1"/>
  <c r="R309" i="7"/>
  <c r="U309" i="7" s="1"/>
  <c r="S309" i="7"/>
  <c r="O310" i="7"/>
  <c r="P310" i="7"/>
  <c r="T310" i="7"/>
  <c r="U310" i="7"/>
  <c r="L311" i="7"/>
  <c r="L309" i="7" s="1"/>
  <c r="O309" i="7" s="1"/>
  <c r="M311" i="7"/>
  <c r="P311" i="7" s="1"/>
  <c r="N311" i="7"/>
  <c r="N309" i="7" s="1"/>
  <c r="T311" i="7"/>
  <c r="U311" i="7"/>
  <c r="I314" i="7"/>
  <c r="I302" i="7" s="1"/>
  <c r="K302" i="7" s="1"/>
  <c r="J319" i="7"/>
  <c r="L321" i="7"/>
  <c r="O321" i="7" s="1"/>
  <c r="M321" i="7"/>
  <c r="N321" i="7"/>
  <c r="Q321" i="7"/>
  <c r="T321" i="7" s="1"/>
  <c r="R321" i="7"/>
  <c r="U321" i="7" s="1"/>
  <c r="S321" i="7"/>
  <c r="Q322" i="7"/>
  <c r="R322" i="7"/>
  <c r="S322" i="7"/>
  <c r="T322" i="7"/>
  <c r="U322" i="7"/>
  <c r="Q323" i="7"/>
  <c r="T323" i="7" s="1"/>
  <c r="R323" i="7"/>
  <c r="U323" i="7" s="1"/>
  <c r="S323" i="7"/>
  <c r="O324" i="7"/>
  <c r="P324" i="7"/>
  <c r="T324" i="7"/>
  <c r="U324" i="7"/>
  <c r="L325" i="7"/>
  <c r="M325" i="7"/>
  <c r="N325" i="7"/>
  <c r="N323" i="7" s="1"/>
  <c r="T325" i="7"/>
  <c r="U325" i="7"/>
  <c r="Q326" i="7"/>
  <c r="R326" i="7"/>
  <c r="S326" i="7"/>
  <c r="T326" i="7"/>
  <c r="U326" i="7"/>
  <c r="O327" i="7"/>
  <c r="P327" i="7"/>
  <c r="T327" i="7"/>
  <c r="U327" i="7"/>
  <c r="L328" i="7"/>
  <c r="O328" i="7" s="1"/>
  <c r="M328" i="7"/>
  <c r="N328" i="7"/>
  <c r="N326" i="7" s="1"/>
  <c r="T328" i="7"/>
  <c r="U328" i="7"/>
  <c r="I330" i="7"/>
  <c r="L334" i="7"/>
  <c r="M334" i="7"/>
  <c r="P334" i="7" s="1"/>
  <c r="N334" i="7"/>
  <c r="Q334" i="7"/>
  <c r="R334" i="7"/>
  <c r="S334" i="7"/>
  <c r="S333" i="7" s="1"/>
  <c r="T334" i="7"/>
  <c r="Q335" i="7"/>
  <c r="T335" i="7" s="1"/>
  <c r="R335" i="7"/>
  <c r="U335" i="7" s="1"/>
  <c r="S335" i="7"/>
  <c r="Q336" i="7"/>
  <c r="T336" i="7" s="1"/>
  <c r="R336" i="7"/>
  <c r="S336" i="7"/>
  <c r="U336" i="7"/>
  <c r="O337" i="7"/>
  <c r="P337" i="7"/>
  <c r="T337" i="7"/>
  <c r="U337" i="7"/>
  <c r="L338" i="7"/>
  <c r="M338" i="7"/>
  <c r="N338" i="7"/>
  <c r="N336" i="7" s="1"/>
  <c r="T338" i="7"/>
  <c r="U338" i="7"/>
  <c r="Q339" i="7"/>
  <c r="T339" i="7" s="1"/>
  <c r="R339" i="7"/>
  <c r="U339" i="7" s="1"/>
  <c r="S339" i="7"/>
  <c r="O340" i="7"/>
  <c r="P340" i="7"/>
  <c r="T340" i="7"/>
  <c r="U340" i="7"/>
  <c r="L341" i="7"/>
  <c r="L339" i="7" s="1"/>
  <c r="O339" i="7" s="1"/>
  <c r="M341" i="7"/>
  <c r="M339" i="7" s="1"/>
  <c r="P339" i="7" s="1"/>
  <c r="N341" i="7"/>
  <c r="N339" i="7" s="1"/>
  <c r="T341" i="7"/>
  <c r="U341" i="7"/>
  <c r="I344" i="7"/>
  <c r="J344" i="7"/>
  <c r="I346" i="7"/>
  <c r="J346" i="7"/>
  <c r="J347" i="7"/>
  <c r="J348" i="7"/>
  <c r="J349" i="7"/>
  <c r="D350" i="7"/>
  <c r="J352" i="7"/>
  <c r="J353" i="7"/>
  <c r="D354" i="7"/>
  <c r="L357" i="7"/>
  <c r="M357" i="7"/>
  <c r="N357" i="7"/>
  <c r="Q357" i="7"/>
  <c r="Q356" i="7" s="1"/>
  <c r="T356" i="7" s="1"/>
  <c r="R357" i="7"/>
  <c r="S357" i="7"/>
  <c r="Q358" i="7"/>
  <c r="R358" i="7"/>
  <c r="S358" i="7"/>
  <c r="T358" i="7"/>
  <c r="U358" i="7"/>
  <c r="Q359" i="7"/>
  <c r="T359" i="7" s="1"/>
  <c r="R359" i="7"/>
  <c r="U359" i="7" s="1"/>
  <c r="S359" i="7"/>
  <c r="O360" i="7"/>
  <c r="P360" i="7"/>
  <c r="T360" i="7"/>
  <c r="U360" i="7"/>
  <c r="L361" i="7"/>
  <c r="L359" i="7" s="1"/>
  <c r="M361" i="7"/>
  <c r="N361" i="7"/>
  <c r="T361" i="7"/>
  <c r="U361" i="7"/>
  <c r="Q362" i="7"/>
  <c r="T362" i="7" s="1"/>
  <c r="R362" i="7"/>
  <c r="U362" i="7" s="1"/>
  <c r="S362" i="7"/>
  <c r="O363" i="7"/>
  <c r="P363" i="7"/>
  <c r="T363" i="7"/>
  <c r="U363" i="7"/>
  <c r="L364" i="7"/>
  <c r="M364" i="7"/>
  <c r="P364" i="7" s="1"/>
  <c r="N364" i="7"/>
  <c r="N362" i="7" s="1"/>
  <c r="T364" i="7"/>
  <c r="U364" i="7"/>
  <c r="J367" i="7"/>
  <c r="K367" i="7"/>
  <c r="I368" i="7"/>
  <c r="J368" i="7"/>
  <c r="I369" i="7"/>
  <c r="J369" i="7"/>
  <c r="J370" i="7"/>
  <c r="K370" i="7"/>
  <c r="I371" i="7"/>
  <c r="J371" i="7"/>
  <c r="J365" i="7" s="1"/>
  <c r="J372" i="7"/>
  <c r="K372" i="7"/>
  <c r="D373" i="7"/>
  <c r="L376" i="7"/>
  <c r="M376" i="7"/>
  <c r="N376" i="7"/>
  <c r="O376" i="7"/>
  <c r="P376" i="7"/>
  <c r="Q376" i="7"/>
  <c r="R376" i="7"/>
  <c r="S376" i="7"/>
  <c r="T376" i="7"/>
  <c r="U376" i="7"/>
  <c r="O379" i="7"/>
  <c r="P379" i="7"/>
  <c r="T379" i="7"/>
  <c r="U379" i="7"/>
  <c r="L380" i="7"/>
  <c r="L378" i="7" s="1"/>
  <c r="M380" i="7"/>
  <c r="N380" i="7"/>
  <c r="Q380" i="7"/>
  <c r="R380" i="7"/>
  <c r="R377" i="7" s="1"/>
  <c r="S380" i="7"/>
  <c r="Q381" i="7"/>
  <c r="T381" i="7" s="1"/>
  <c r="R381" i="7"/>
  <c r="U381" i="7" s="1"/>
  <c r="S381" i="7"/>
  <c r="O382" i="7"/>
  <c r="P382" i="7"/>
  <c r="T382" i="7"/>
  <c r="U382" i="7"/>
  <c r="L383" i="7"/>
  <c r="O383" i="7" s="1"/>
  <c r="M383" i="7"/>
  <c r="N383" i="7"/>
  <c r="N381" i="7" s="1"/>
  <c r="T383" i="7"/>
  <c r="U383" i="7"/>
  <c r="J385" i="7"/>
  <c r="K385" i="7"/>
  <c r="I386" i="7"/>
  <c r="J386" i="7"/>
  <c r="J387" i="7"/>
  <c r="K387" i="7"/>
  <c r="I388" i="7"/>
  <c r="K388" i="7" s="1"/>
  <c r="J388" i="7"/>
  <c r="I391" i="7"/>
  <c r="K391" i="7" s="1"/>
  <c r="J391" i="7"/>
  <c r="L393" i="7"/>
  <c r="M393" i="7"/>
  <c r="M392" i="7" s="1"/>
  <c r="P392" i="7" s="1"/>
  <c r="N393" i="7"/>
  <c r="P393" i="7"/>
  <c r="Q393" i="7"/>
  <c r="R393" i="7"/>
  <c r="S393" i="7"/>
  <c r="L394" i="7"/>
  <c r="O394" i="7" s="1"/>
  <c r="M394" i="7"/>
  <c r="P394" i="7" s="1"/>
  <c r="N394" i="7"/>
  <c r="L395" i="7"/>
  <c r="O395" i="7" s="1"/>
  <c r="M395" i="7"/>
  <c r="P395" i="7" s="1"/>
  <c r="N395" i="7"/>
  <c r="O396" i="7"/>
  <c r="P396" i="7"/>
  <c r="T396" i="7"/>
  <c r="U396" i="7"/>
  <c r="O397" i="7"/>
  <c r="P397" i="7"/>
  <c r="Q397" i="7"/>
  <c r="Q395" i="7" s="1"/>
  <c r="T395" i="7" s="1"/>
  <c r="R397" i="7"/>
  <c r="S397" i="7"/>
  <c r="L398" i="7"/>
  <c r="O398" i="7" s="1"/>
  <c r="M398" i="7"/>
  <c r="P398" i="7" s="1"/>
  <c r="N398" i="7"/>
  <c r="Q398" i="7"/>
  <c r="T398" i="7" s="1"/>
  <c r="R398" i="7"/>
  <c r="U398" i="7" s="1"/>
  <c r="S398" i="7"/>
  <c r="O399" i="7"/>
  <c r="P399" i="7"/>
  <c r="T399" i="7"/>
  <c r="U399" i="7"/>
  <c r="O400" i="7"/>
  <c r="P400" i="7"/>
  <c r="T400" i="7"/>
  <c r="U400" i="7"/>
  <c r="L414" i="7"/>
  <c r="M414" i="7"/>
  <c r="N414" i="7"/>
  <c r="Q414" i="7"/>
  <c r="R414" i="7"/>
  <c r="S414" i="7"/>
  <c r="O417" i="7"/>
  <c r="P417" i="7"/>
  <c r="T417" i="7"/>
  <c r="U417" i="7"/>
  <c r="L418" i="7"/>
  <c r="M418" i="7"/>
  <c r="N418" i="7"/>
  <c r="N416" i="7" s="1"/>
  <c r="Q418" i="7"/>
  <c r="R418" i="7"/>
  <c r="S418" i="7"/>
  <c r="S416" i="7" s="1"/>
  <c r="Q419" i="7"/>
  <c r="T419" i="7" s="1"/>
  <c r="R419" i="7"/>
  <c r="U419" i="7" s="1"/>
  <c r="S419" i="7"/>
  <c r="O420" i="7"/>
  <c r="P420" i="7"/>
  <c r="T420" i="7"/>
  <c r="U420" i="7"/>
  <c r="L421" i="7"/>
  <c r="M421" i="7"/>
  <c r="N421" i="7"/>
  <c r="N419" i="7" s="1"/>
  <c r="T421" i="7"/>
  <c r="U421" i="7"/>
  <c r="I424" i="7"/>
  <c r="K424" i="7" s="1"/>
  <c r="J424" i="7"/>
  <c r="I425" i="7"/>
  <c r="K425" i="7" s="1"/>
  <c r="J425" i="7"/>
  <c r="I432" i="7"/>
  <c r="K432" i="7" s="1"/>
  <c r="J432" i="7"/>
  <c r="I433" i="7"/>
  <c r="K433" i="7" s="1"/>
  <c r="J433" i="7"/>
  <c r="I440" i="7"/>
  <c r="I441" i="7"/>
  <c r="K441" i="7" s="1"/>
  <c r="J446" i="7"/>
  <c r="J440" i="7" s="1"/>
  <c r="J423" i="7" s="1"/>
  <c r="J412" i="7" s="1"/>
  <c r="J447" i="7"/>
  <c r="J441" i="7" s="1"/>
  <c r="I457" i="7"/>
  <c r="K457" i="7" s="1"/>
  <c r="I458" i="7"/>
  <c r="K458" i="7" s="1"/>
  <c r="J459" i="7"/>
  <c r="J460" i="7"/>
  <c r="J458" i="7" s="1"/>
  <c r="J467" i="7"/>
  <c r="J468" i="7"/>
  <c r="J475" i="7"/>
  <c r="K475" i="7"/>
  <c r="J476" i="7"/>
  <c r="K476" i="7"/>
  <c r="J477" i="7"/>
  <c r="K477" i="7"/>
  <c r="J482" i="7"/>
  <c r="J483" i="7"/>
  <c r="I484" i="7"/>
  <c r="J484" i="7"/>
  <c r="K484" i="7"/>
  <c r="I485" i="7"/>
  <c r="K485" i="7" s="1"/>
  <c r="J485" i="7"/>
  <c r="L494" i="7"/>
  <c r="O494" i="7" s="1"/>
  <c r="M494" i="7"/>
  <c r="P494" i="7" s="1"/>
  <c r="N494" i="7"/>
  <c r="Q494" i="7"/>
  <c r="T494" i="7" s="1"/>
  <c r="R494" i="7"/>
  <c r="U494" i="7" s="1"/>
  <c r="S494" i="7"/>
  <c r="O497" i="7"/>
  <c r="P497" i="7"/>
  <c r="T497" i="7"/>
  <c r="U497" i="7"/>
  <c r="L498" i="7"/>
  <c r="M498" i="7"/>
  <c r="N498" i="7"/>
  <c r="N496" i="7" s="1"/>
  <c r="Q498" i="7"/>
  <c r="Q495" i="7" s="1"/>
  <c r="T495" i="7" s="1"/>
  <c r="R498" i="7"/>
  <c r="S498" i="7"/>
  <c r="S495" i="7" s="1"/>
  <c r="Q499" i="7"/>
  <c r="R499" i="7"/>
  <c r="U499" i="7" s="1"/>
  <c r="S499" i="7"/>
  <c r="T499" i="7"/>
  <c r="O500" i="7"/>
  <c r="P500" i="7"/>
  <c r="T500" i="7"/>
  <c r="U500" i="7"/>
  <c r="L501" i="7"/>
  <c r="O501" i="7" s="1"/>
  <c r="M501" i="7"/>
  <c r="P501" i="7" s="1"/>
  <c r="N501" i="7"/>
  <c r="N499" i="7" s="1"/>
  <c r="T501" i="7"/>
  <c r="U501" i="7"/>
  <c r="I503" i="7"/>
  <c r="I492" i="7" s="1"/>
  <c r="K492" i="7" s="1"/>
  <c r="I504" i="7"/>
  <c r="K504" i="7" s="1"/>
  <c r="I505" i="7"/>
  <c r="K505" i="7" s="1"/>
  <c r="I506" i="7"/>
  <c r="K506" i="7" s="1"/>
  <c r="I507" i="7"/>
  <c r="K507" i="7" s="1"/>
  <c r="K508" i="7"/>
  <c r="I509" i="7"/>
  <c r="K509" i="7" s="1"/>
  <c r="I512" i="7"/>
  <c r="K512" i="7" s="1"/>
  <c r="J512" i="7"/>
  <c r="Q513" i="7"/>
  <c r="T513" i="7" s="1"/>
  <c r="R513" i="7"/>
  <c r="U513" i="7" s="1"/>
  <c r="L514" i="7"/>
  <c r="O514" i="7" s="1"/>
  <c r="M514" i="7"/>
  <c r="N514" i="7"/>
  <c r="Q514" i="7"/>
  <c r="R514" i="7"/>
  <c r="U514" i="7" s="1"/>
  <c r="S514" i="7"/>
  <c r="S513" i="7" s="1"/>
  <c r="T514" i="7"/>
  <c r="Q515" i="7"/>
  <c r="R515" i="7"/>
  <c r="S515" i="7"/>
  <c r="T515" i="7"/>
  <c r="U515" i="7"/>
  <c r="Q516" i="7"/>
  <c r="T516" i="7" s="1"/>
  <c r="R516" i="7"/>
  <c r="U516" i="7" s="1"/>
  <c r="S516" i="7"/>
  <c r="O517" i="7"/>
  <c r="P517" i="7"/>
  <c r="T517" i="7"/>
  <c r="U517" i="7"/>
  <c r="L518" i="7"/>
  <c r="O518" i="7" s="1"/>
  <c r="M518" i="7"/>
  <c r="M516" i="7" s="1"/>
  <c r="P516" i="7" s="1"/>
  <c r="N518" i="7"/>
  <c r="N516" i="7" s="1"/>
  <c r="T518" i="7"/>
  <c r="U518" i="7"/>
  <c r="Q519" i="7"/>
  <c r="R519" i="7"/>
  <c r="U519" i="7" s="1"/>
  <c r="S519" i="7"/>
  <c r="T519" i="7"/>
  <c r="O520" i="7"/>
  <c r="P520" i="7"/>
  <c r="T520" i="7"/>
  <c r="U520" i="7"/>
  <c r="L521" i="7"/>
  <c r="M521" i="7"/>
  <c r="P521" i="7" s="1"/>
  <c r="N521" i="7"/>
  <c r="N519" i="7" s="1"/>
  <c r="T521" i="7"/>
  <c r="U521" i="7"/>
  <c r="K523" i="7"/>
  <c r="K524" i="7"/>
  <c r="I533" i="7"/>
  <c r="J533" i="7"/>
  <c r="K533" i="7"/>
  <c r="S534" i="7"/>
  <c r="L535" i="7"/>
  <c r="M535" i="7"/>
  <c r="P535" i="7" s="1"/>
  <c r="N535" i="7"/>
  <c r="O535" i="7"/>
  <c r="Q535" i="7"/>
  <c r="T535" i="7" s="1"/>
  <c r="R535" i="7"/>
  <c r="U535" i="7" s="1"/>
  <c r="S535" i="7"/>
  <c r="Q536" i="7"/>
  <c r="T536" i="7" s="1"/>
  <c r="R536" i="7"/>
  <c r="U536" i="7" s="1"/>
  <c r="S536" i="7"/>
  <c r="Q537" i="7"/>
  <c r="T537" i="7" s="1"/>
  <c r="R537" i="7"/>
  <c r="U537" i="7" s="1"/>
  <c r="S537" i="7"/>
  <c r="O538" i="7"/>
  <c r="P538" i="7"/>
  <c r="T538" i="7"/>
  <c r="U538" i="7"/>
  <c r="L539" i="7"/>
  <c r="L537" i="7" s="1"/>
  <c r="O537" i="7" s="1"/>
  <c r="M539" i="7"/>
  <c r="N539" i="7"/>
  <c r="N537" i="7" s="1"/>
  <c r="T539" i="7"/>
  <c r="U539" i="7"/>
  <c r="Q540" i="7"/>
  <c r="R540" i="7"/>
  <c r="S540" i="7"/>
  <c r="T540" i="7"/>
  <c r="U540" i="7"/>
  <c r="O541" i="7"/>
  <c r="P541" i="7"/>
  <c r="T541" i="7"/>
  <c r="U541" i="7"/>
  <c r="L542" i="7"/>
  <c r="M542" i="7"/>
  <c r="N542" i="7"/>
  <c r="N540" i="7" s="1"/>
  <c r="T542" i="7"/>
  <c r="U542" i="7"/>
  <c r="I554" i="7"/>
  <c r="K554" i="7" s="1"/>
  <c r="J554" i="7"/>
  <c r="L556" i="7"/>
  <c r="O556" i="7" s="1"/>
  <c r="M556" i="7"/>
  <c r="N556" i="7"/>
  <c r="P556" i="7"/>
  <c r="Q556" i="7"/>
  <c r="T556" i="7" s="1"/>
  <c r="R556" i="7"/>
  <c r="S556" i="7"/>
  <c r="Q557" i="7"/>
  <c r="T557" i="7" s="1"/>
  <c r="R557" i="7"/>
  <c r="U557" i="7" s="1"/>
  <c r="S557" i="7"/>
  <c r="Q558" i="7"/>
  <c r="R558" i="7"/>
  <c r="U558" i="7" s="1"/>
  <c r="S558" i="7"/>
  <c r="T558" i="7"/>
  <c r="O559" i="7"/>
  <c r="P559" i="7"/>
  <c r="T559" i="7"/>
  <c r="U559" i="7"/>
  <c r="L560" i="7"/>
  <c r="L558" i="7" s="1"/>
  <c r="O558" i="7" s="1"/>
  <c r="M560" i="7"/>
  <c r="N560" i="7"/>
  <c r="N558" i="7" s="1"/>
  <c r="T560" i="7"/>
  <c r="U560" i="7"/>
  <c r="Q561" i="7"/>
  <c r="T561" i="7" s="1"/>
  <c r="R561" i="7"/>
  <c r="U561" i="7" s="1"/>
  <c r="S561" i="7"/>
  <c r="O562" i="7"/>
  <c r="P562" i="7"/>
  <c r="T562" i="7"/>
  <c r="U562" i="7"/>
  <c r="L563" i="7"/>
  <c r="L561" i="7" s="1"/>
  <c r="O561" i="7" s="1"/>
  <c r="M563" i="7"/>
  <c r="P563" i="7" s="1"/>
  <c r="N563" i="7"/>
  <c r="N561" i="7" s="1"/>
  <c r="T563" i="7"/>
  <c r="U563" i="7"/>
  <c r="I575" i="7"/>
  <c r="K575" i="7" s="1"/>
  <c r="J575" i="7"/>
  <c r="L577" i="7"/>
  <c r="M577" i="7"/>
  <c r="P577" i="7" s="1"/>
  <c r="N577" i="7"/>
  <c r="Q577" i="7"/>
  <c r="Q576" i="7" s="1"/>
  <c r="T576" i="7" s="1"/>
  <c r="R577" i="7"/>
  <c r="S577" i="7"/>
  <c r="Q578" i="7"/>
  <c r="R578" i="7"/>
  <c r="U578" i="7" s="1"/>
  <c r="S578" i="7"/>
  <c r="S576" i="7" s="1"/>
  <c r="T578" i="7"/>
  <c r="Q579" i="7"/>
  <c r="T579" i="7" s="1"/>
  <c r="R579" i="7"/>
  <c r="S579" i="7"/>
  <c r="U579" i="7"/>
  <c r="O580" i="7"/>
  <c r="P580" i="7"/>
  <c r="T580" i="7"/>
  <c r="U580" i="7"/>
  <c r="L581" i="7"/>
  <c r="L579" i="7" s="1"/>
  <c r="O579" i="7" s="1"/>
  <c r="M581" i="7"/>
  <c r="P581" i="7" s="1"/>
  <c r="N581" i="7"/>
  <c r="T581" i="7"/>
  <c r="U581" i="7"/>
  <c r="Q582" i="7"/>
  <c r="T582" i="7" s="1"/>
  <c r="R582" i="7"/>
  <c r="U582" i="7" s="1"/>
  <c r="S582" i="7"/>
  <c r="O583" i="7"/>
  <c r="P583" i="7"/>
  <c r="T583" i="7"/>
  <c r="U583" i="7"/>
  <c r="L584" i="7"/>
  <c r="O584" i="7" s="1"/>
  <c r="M584" i="7"/>
  <c r="P584" i="7" s="1"/>
  <c r="N584" i="7"/>
  <c r="N582" i="7" s="1"/>
  <c r="T584" i="7"/>
  <c r="U584" i="7"/>
  <c r="L600" i="7"/>
  <c r="M600" i="7"/>
  <c r="P600" i="7" s="1"/>
  <c r="N600" i="7"/>
  <c r="Q600" i="7"/>
  <c r="R600" i="7"/>
  <c r="S600" i="7"/>
  <c r="O603" i="7"/>
  <c r="P603" i="7"/>
  <c r="T603" i="7"/>
  <c r="U603" i="7"/>
  <c r="L604" i="7"/>
  <c r="M604" i="7"/>
  <c r="P604" i="7" s="1"/>
  <c r="N604" i="7"/>
  <c r="Q604" i="7"/>
  <c r="Q602" i="7" s="1"/>
  <c r="T602" i="7" s="1"/>
  <c r="R604" i="7"/>
  <c r="S604" i="7"/>
  <c r="S602" i="7" s="1"/>
  <c r="O606" i="7"/>
  <c r="P606" i="7"/>
  <c r="T606" i="7"/>
  <c r="U606" i="7"/>
  <c r="L607" i="7"/>
  <c r="L605" i="7" s="1"/>
  <c r="O605" i="7" s="1"/>
  <c r="M607" i="7"/>
  <c r="P607" i="7" s="1"/>
  <c r="N607" i="7"/>
  <c r="N605" i="7" s="1"/>
  <c r="Q607" i="7"/>
  <c r="R607" i="7"/>
  <c r="S607" i="7"/>
  <c r="S605" i="7" s="1"/>
  <c r="L617" i="7"/>
  <c r="L616" i="7" s="1"/>
  <c r="O616" i="7" s="1"/>
  <c r="M617" i="7"/>
  <c r="N617" i="7"/>
  <c r="P617" i="7"/>
  <c r="Q617" i="7"/>
  <c r="T617" i="7" s="1"/>
  <c r="R617" i="7"/>
  <c r="U617" i="7" s="1"/>
  <c r="S617" i="7"/>
  <c r="L618" i="7"/>
  <c r="O618" i="7" s="1"/>
  <c r="M618" i="7"/>
  <c r="P618" i="7" s="1"/>
  <c r="N618" i="7"/>
  <c r="L619" i="7"/>
  <c r="O619" i="7" s="1"/>
  <c r="M619" i="7"/>
  <c r="P619" i="7" s="1"/>
  <c r="N619" i="7"/>
  <c r="O620" i="7"/>
  <c r="P620" i="7"/>
  <c r="T620" i="7"/>
  <c r="U620" i="7"/>
  <c r="O621" i="7"/>
  <c r="P621" i="7"/>
  <c r="Q621" i="7"/>
  <c r="R621" i="7"/>
  <c r="R619" i="7" s="1"/>
  <c r="S621" i="7"/>
  <c r="L622" i="7"/>
  <c r="M622" i="7"/>
  <c r="N622" i="7"/>
  <c r="O622" i="7"/>
  <c r="P622" i="7"/>
  <c r="Q622" i="7"/>
  <c r="T622" i="7" s="1"/>
  <c r="R622" i="7"/>
  <c r="S622" i="7"/>
  <c r="U622" i="7"/>
  <c r="O623" i="7"/>
  <c r="P623" i="7"/>
  <c r="T623" i="7"/>
  <c r="U623" i="7"/>
  <c r="O624" i="7"/>
  <c r="P624" i="7"/>
  <c r="T624" i="7"/>
  <c r="U624" i="7"/>
  <c r="I626" i="7"/>
  <c r="I615" i="7" s="1"/>
  <c r="I627" i="7"/>
  <c r="K627" i="7" s="1"/>
  <c r="I628" i="7"/>
  <c r="K628" i="7" s="1"/>
  <c r="J632" i="7"/>
  <c r="I635" i="7"/>
  <c r="K635" i="7" s="1"/>
  <c r="J636" i="7"/>
  <c r="J635" i="7" s="1"/>
  <c r="L642" i="7"/>
  <c r="O642" i="7" s="1"/>
  <c r="L643" i="7"/>
  <c r="M643" i="7"/>
  <c r="N643" i="7"/>
  <c r="O643" i="7"/>
  <c r="Q643" i="7"/>
  <c r="T643" i="7" s="1"/>
  <c r="R643" i="7"/>
  <c r="U643" i="7" s="1"/>
  <c r="S643" i="7"/>
  <c r="L644" i="7"/>
  <c r="O644" i="7" s="1"/>
  <c r="M644" i="7"/>
  <c r="P644" i="7" s="1"/>
  <c r="N644" i="7"/>
  <c r="L645" i="7"/>
  <c r="O645" i="7" s="1"/>
  <c r="M645" i="7"/>
  <c r="P645" i="7" s="1"/>
  <c r="N645" i="7"/>
  <c r="O646" i="7"/>
  <c r="P646" i="7"/>
  <c r="T646" i="7"/>
  <c r="U646" i="7"/>
  <c r="O647" i="7"/>
  <c r="P647" i="7"/>
  <c r="Q647" i="7"/>
  <c r="Q645" i="7" s="1"/>
  <c r="R647" i="7"/>
  <c r="S647" i="7"/>
  <c r="L648" i="7"/>
  <c r="O648" i="7" s="1"/>
  <c r="M648" i="7"/>
  <c r="N648" i="7"/>
  <c r="P648" i="7"/>
  <c r="Q648" i="7"/>
  <c r="T648" i="7" s="1"/>
  <c r="R648" i="7"/>
  <c r="S648" i="7"/>
  <c r="U648" i="7"/>
  <c r="O649" i="7"/>
  <c r="P649" i="7"/>
  <c r="T649" i="7"/>
  <c r="U649" i="7"/>
  <c r="O650" i="7"/>
  <c r="P650" i="7"/>
  <c r="T650" i="7"/>
  <c r="U650" i="7"/>
  <c r="I652" i="7"/>
  <c r="K652" i="7" s="1"/>
  <c r="J652" i="7"/>
  <c r="I653" i="7"/>
  <c r="J653" i="7"/>
  <c r="I654" i="7"/>
  <c r="K654" i="7" s="1"/>
  <c r="J654" i="7"/>
  <c r="I657" i="7"/>
  <c r="I660" i="7"/>
  <c r="I661" i="7"/>
  <c r="K661" i="7" s="1"/>
  <c r="J661" i="7"/>
  <c r="J671" i="7"/>
  <c r="J672" i="7"/>
  <c r="I673" i="7"/>
  <c r="K673" i="7" s="1"/>
  <c r="J673" i="7"/>
  <c r="I674" i="7"/>
  <c r="K674" i="7" s="1"/>
  <c r="I675" i="7"/>
  <c r="K675" i="7" s="1"/>
  <c r="I676" i="7"/>
  <c r="K676" i="7" s="1"/>
  <c r="J676" i="7"/>
  <c r="J677" i="7"/>
  <c r="I678" i="7"/>
  <c r="K678" i="7" s="1"/>
  <c r="J678" i="7"/>
  <c r="I679" i="7"/>
  <c r="K679" i="7" s="1"/>
  <c r="J679" i="7"/>
  <c r="J680" i="7"/>
  <c r="I681" i="7"/>
  <c r="K681" i="7" s="1"/>
  <c r="J681" i="7"/>
  <c r="I682" i="7"/>
  <c r="K682" i="7" s="1"/>
  <c r="J682" i="7"/>
  <c r="L691" i="7"/>
  <c r="O691" i="7" s="1"/>
  <c r="M691" i="7"/>
  <c r="M690" i="7" s="1"/>
  <c r="P690" i="7" s="1"/>
  <c r="N691" i="7"/>
  <c r="Q691" i="7"/>
  <c r="R691" i="7"/>
  <c r="U691" i="7" s="1"/>
  <c r="S691" i="7"/>
  <c r="T691" i="7"/>
  <c r="L692" i="7"/>
  <c r="M692" i="7"/>
  <c r="N692" i="7"/>
  <c r="O692" i="7"/>
  <c r="P692" i="7"/>
  <c r="L693" i="7"/>
  <c r="O693" i="7" s="1"/>
  <c r="M693" i="7"/>
  <c r="P693" i="7" s="1"/>
  <c r="N693" i="7"/>
  <c r="O694" i="7"/>
  <c r="P694" i="7"/>
  <c r="T694" i="7"/>
  <c r="U694" i="7"/>
  <c r="O695" i="7"/>
  <c r="P695" i="7"/>
  <c r="Q695" i="7"/>
  <c r="Q692" i="7" s="1"/>
  <c r="T692" i="7" s="1"/>
  <c r="R695" i="7"/>
  <c r="R692" i="7" s="1"/>
  <c r="U692" i="7" s="1"/>
  <c r="S695" i="7"/>
  <c r="L696" i="7"/>
  <c r="M696" i="7"/>
  <c r="N696" i="7"/>
  <c r="O696" i="7"/>
  <c r="P696" i="7"/>
  <c r="Q696" i="7"/>
  <c r="R696" i="7"/>
  <c r="S696" i="7"/>
  <c r="T696" i="7"/>
  <c r="U696" i="7"/>
  <c r="O697" i="7"/>
  <c r="P697" i="7"/>
  <c r="T697" i="7"/>
  <c r="U697" i="7"/>
  <c r="O698" i="7"/>
  <c r="P698" i="7"/>
  <c r="T698" i="7"/>
  <c r="U698" i="7"/>
  <c r="I700" i="7"/>
  <c r="K700" i="7" s="1"/>
  <c r="K702" i="7"/>
  <c r="I703" i="7"/>
  <c r="K703" i="7" s="1"/>
  <c r="J703" i="7"/>
  <c r="J704" i="7"/>
  <c r="K704" i="7"/>
  <c r="I705" i="7"/>
  <c r="K705" i="7" s="1"/>
  <c r="J705" i="7"/>
  <c r="J706" i="7"/>
  <c r="K706" i="7"/>
  <c r="I707" i="7"/>
  <c r="I689" i="7" s="1"/>
  <c r="K689" i="7" s="1"/>
  <c r="J707" i="7"/>
  <c r="J689" i="7" s="1"/>
  <c r="J708" i="7"/>
  <c r="K708" i="7"/>
  <c r="I709" i="7"/>
  <c r="K709" i="7" s="1"/>
  <c r="J709" i="7"/>
  <c r="J710" i="7"/>
  <c r="K710" i="7"/>
  <c r="J712" i="7"/>
  <c r="K712" i="7"/>
  <c r="L715" i="7"/>
  <c r="M715" i="7"/>
  <c r="P715" i="7" s="1"/>
  <c r="N715" i="7"/>
  <c r="Q715" i="7"/>
  <c r="R715" i="7"/>
  <c r="S715" i="7"/>
  <c r="L716" i="7"/>
  <c r="O716" i="7" s="1"/>
  <c r="M716" i="7"/>
  <c r="P716" i="7" s="1"/>
  <c r="N716" i="7"/>
  <c r="N714" i="7" s="1"/>
  <c r="Q716" i="7"/>
  <c r="R716" i="7"/>
  <c r="S716" i="7"/>
  <c r="S714" i="7" s="1"/>
  <c r="T716" i="7"/>
  <c r="U716" i="7"/>
  <c r="L717" i="7"/>
  <c r="M717" i="7"/>
  <c r="N717" i="7"/>
  <c r="O717" i="7"/>
  <c r="P717" i="7"/>
  <c r="Q717" i="7"/>
  <c r="T717" i="7" s="1"/>
  <c r="R717" i="7"/>
  <c r="S717" i="7"/>
  <c r="U717" i="7"/>
  <c r="O718" i="7"/>
  <c r="P718" i="7"/>
  <c r="T718" i="7"/>
  <c r="U718" i="7"/>
  <c r="O719" i="7"/>
  <c r="P719" i="7"/>
  <c r="T719" i="7"/>
  <c r="U719" i="7"/>
  <c r="L720" i="7"/>
  <c r="O720" i="7" s="1"/>
  <c r="M720" i="7"/>
  <c r="N720" i="7"/>
  <c r="P720" i="7"/>
  <c r="Q720" i="7"/>
  <c r="T720" i="7" s="1"/>
  <c r="R720" i="7"/>
  <c r="S720" i="7"/>
  <c r="U720" i="7"/>
  <c r="O721" i="7"/>
  <c r="P721" i="7"/>
  <c r="T721" i="7"/>
  <c r="U721" i="7"/>
  <c r="O722" i="7"/>
  <c r="P722" i="7"/>
  <c r="T722" i="7"/>
  <c r="U722" i="7"/>
  <c r="I726" i="7"/>
  <c r="J726" i="7"/>
  <c r="I727" i="7"/>
  <c r="J727" i="7"/>
  <c r="L729" i="7"/>
  <c r="M729" i="7"/>
  <c r="P729" i="7" s="1"/>
  <c r="N729" i="7"/>
  <c r="Q729" i="7"/>
  <c r="R729" i="7"/>
  <c r="S729" i="7"/>
  <c r="L730" i="7"/>
  <c r="M730" i="7"/>
  <c r="P730" i="7" s="1"/>
  <c r="N730" i="7"/>
  <c r="N728" i="7" s="1"/>
  <c r="O730" i="7"/>
  <c r="L731" i="7"/>
  <c r="M731" i="7"/>
  <c r="N731" i="7"/>
  <c r="O731" i="7"/>
  <c r="P731" i="7"/>
  <c r="O732" i="7"/>
  <c r="P732" i="7"/>
  <c r="T732" i="7"/>
  <c r="U732" i="7"/>
  <c r="O733" i="7"/>
  <c r="P733" i="7"/>
  <c r="Q733" i="7"/>
  <c r="R733" i="7"/>
  <c r="R731" i="7" s="1"/>
  <c r="S733" i="7"/>
  <c r="S730" i="7" s="1"/>
  <c r="S728" i="7" s="1"/>
  <c r="L734" i="7"/>
  <c r="O734" i="7" s="1"/>
  <c r="M734" i="7"/>
  <c r="P734" i="7" s="1"/>
  <c r="N734" i="7"/>
  <c r="Q734" i="7"/>
  <c r="R734" i="7"/>
  <c r="U734" i="7" s="1"/>
  <c r="S734" i="7"/>
  <c r="T734" i="7"/>
  <c r="O735" i="7"/>
  <c r="P735" i="7"/>
  <c r="T735" i="7"/>
  <c r="U735" i="7"/>
  <c r="O736" i="7"/>
  <c r="P736" i="7"/>
  <c r="T736" i="7"/>
  <c r="U736" i="7"/>
  <c r="I740" i="7"/>
  <c r="K740" i="7" s="1"/>
  <c r="I742" i="7"/>
  <c r="K742" i="7" s="1"/>
  <c r="I744" i="7"/>
  <c r="K744" i="7" s="1"/>
  <c r="I746" i="7"/>
  <c r="K746" i="7" s="1"/>
  <c r="I749" i="7"/>
  <c r="K749" i="7" s="1"/>
  <c r="I752" i="7"/>
  <c r="K752" i="7" s="1"/>
  <c r="I755" i="7"/>
  <c r="K755" i="7" s="1"/>
  <c r="J758" i="7"/>
  <c r="J759" i="7"/>
  <c r="L761" i="7"/>
  <c r="M761" i="7"/>
  <c r="N761" i="7"/>
  <c r="Q761" i="7"/>
  <c r="T761" i="7" s="1"/>
  <c r="R761" i="7"/>
  <c r="S761" i="7"/>
  <c r="L762" i="7"/>
  <c r="O762" i="7" s="1"/>
  <c r="M762" i="7"/>
  <c r="P762" i="7" s="1"/>
  <c r="N762" i="7"/>
  <c r="L763" i="7"/>
  <c r="O763" i="7" s="1"/>
  <c r="M763" i="7"/>
  <c r="P763" i="7" s="1"/>
  <c r="N763" i="7"/>
  <c r="O764" i="7"/>
  <c r="P764" i="7"/>
  <c r="T764" i="7"/>
  <c r="U764" i="7"/>
  <c r="O765" i="7"/>
  <c r="P765" i="7"/>
  <c r="Q765" i="7"/>
  <c r="Q762" i="7" s="1"/>
  <c r="Q760" i="7" s="1"/>
  <c r="R765" i="7"/>
  <c r="S765" i="7"/>
  <c r="S763" i="7" s="1"/>
  <c r="L766" i="7"/>
  <c r="O766" i="7" s="1"/>
  <c r="M766" i="7"/>
  <c r="P766" i="7" s="1"/>
  <c r="N766" i="7"/>
  <c r="Q766" i="7"/>
  <c r="R766" i="7"/>
  <c r="U766" i="7" s="1"/>
  <c r="S766" i="7"/>
  <c r="T766" i="7"/>
  <c r="O767" i="7"/>
  <c r="P767" i="7"/>
  <c r="T767" i="7"/>
  <c r="U767" i="7"/>
  <c r="O768" i="7"/>
  <c r="P768" i="7"/>
  <c r="T768" i="7"/>
  <c r="U768" i="7"/>
  <c r="I770" i="7"/>
  <c r="K770" i="7" s="1"/>
  <c r="I772" i="7"/>
  <c r="I774" i="7"/>
  <c r="I759" i="7" s="1"/>
  <c r="K759" i="7" s="1"/>
  <c r="I775" i="7"/>
  <c r="I776" i="7"/>
  <c r="H777" i="7"/>
  <c r="I778" i="7"/>
  <c r="J778" i="7"/>
  <c r="I779" i="7"/>
  <c r="J779" i="7"/>
  <c r="I780" i="7"/>
  <c r="J780" i="7"/>
  <c r="I781" i="7"/>
  <c r="J781" i="7"/>
  <c r="I782" i="7"/>
  <c r="J782" i="7"/>
  <c r="I783" i="7"/>
  <c r="J783" i="7"/>
  <c r="I784" i="7"/>
  <c r="J784" i="7"/>
  <c r="I785" i="7"/>
  <c r="J785" i="7"/>
  <c r="A788" i="7"/>
  <c r="A789" i="7"/>
  <c r="L22" i="6"/>
  <c r="M22" i="6"/>
  <c r="N22" i="6"/>
  <c r="Q22" i="6"/>
  <c r="T22" i="6" s="1"/>
  <c r="R22" i="6"/>
  <c r="S22" i="6"/>
  <c r="L25" i="6"/>
  <c r="M25" i="6"/>
  <c r="N25" i="6"/>
  <c r="Q25" i="6"/>
  <c r="T25" i="6" s="1"/>
  <c r="R25" i="6"/>
  <c r="S25" i="6"/>
  <c r="L45" i="6"/>
  <c r="O45" i="6" s="1"/>
  <c r="M45" i="6"/>
  <c r="N45" i="6"/>
  <c r="Q45" i="6"/>
  <c r="Q44" i="6" s="1"/>
  <c r="T44" i="6" s="1"/>
  <c r="R45" i="6"/>
  <c r="U45" i="6" s="1"/>
  <c r="S45" i="6"/>
  <c r="S44" i="6" s="1"/>
  <c r="T45" i="6"/>
  <c r="Q46" i="6"/>
  <c r="R46" i="6"/>
  <c r="R44" i="6" s="1"/>
  <c r="U44" i="6" s="1"/>
  <c r="S46" i="6"/>
  <c r="T46" i="6"/>
  <c r="Q47" i="6"/>
  <c r="T47" i="6" s="1"/>
  <c r="R47" i="6"/>
  <c r="U47" i="6" s="1"/>
  <c r="S47" i="6"/>
  <c r="O48" i="6"/>
  <c r="P48" i="6"/>
  <c r="T48" i="6"/>
  <c r="U48" i="6"/>
  <c r="L49" i="6"/>
  <c r="L47" i="6" s="1"/>
  <c r="M49" i="6"/>
  <c r="M47" i="6" s="1"/>
  <c r="N49" i="6"/>
  <c r="N47" i="6" s="1"/>
  <c r="T49" i="6"/>
  <c r="U49" i="6"/>
  <c r="Q50" i="6"/>
  <c r="R50" i="6"/>
  <c r="S50" i="6"/>
  <c r="T50" i="6"/>
  <c r="U50" i="6"/>
  <c r="O51" i="6"/>
  <c r="P51" i="6"/>
  <c r="T51" i="6"/>
  <c r="U51" i="6"/>
  <c r="L52" i="6"/>
  <c r="M52" i="6"/>
  <c r="N52" i="6"/>
  <c r="N50" i="6" s="1"/>
  <c r="T52" i="6"/>
  <c r="U52" i="6"/>
  <c r="R59" i="6"/>
  <c r="U59" i="6" s="1"/>
  <c r="L60" i="6"/>
  <c r="O60" i="6" s="1"/>
  <c r="M60" i="6"/>
  <c r="N60" i="6"/>
  <c r="Q60" i="6"/>
  <c r="R60" i="6"/>
  <c r="U60" i="6" s="1"/>
  <c r="S60" i="6"/>
  <c r="S59" i="6" s="1"/>
  <c r="T60" i="6"/>
  <c r="Q61" i="6"/>
  <c r="Q59" i="6" s="1"/>
  <c r="T59" i="6" s="1"/>
  <c r="R61" i="6"/>
  <c r="S61" i="6"/>
  <c r="U61" i="6"/>
  <c r="Q62" i="6"/>
  <c r="T62" i="6" s="1"/>
  <c r="R62" i="6"/>
  <c r="U62" i="6" s="1"/>
  <c r="S62" i="6"/>
  <c r="O63" i="6"/>
  <c r="P63" i="6"/>
  <c r="T63" i="6"/>
  <c r="U63" i="6"/>
  <c r="L64" i="6"/>
  <c r="L62" i="6" s="1"/>
  <c r="M64" i="6"/>
  <c r="M62" i="6" s="1"/>
  <c r="N64" i="6"/>
  <c r="T64" i="6"/>
  <c r="U64" i="6"/>
  <c r="Q65" i="6"/>
  <c r="T65" i="6" s="1"/>
  <c r="R65" i="6"/>
  <c r="U65" i="6" s="1"/>
  <c r="S65" i="6"/>
  <c r="O66" i="6"/>
  <c r="P66" i="6"/>
  <c r="T66" i="6"/>
  <c r="U66" i="6"/>
  <c r="L67" i="6"/>
  <c r="M67" i="6"/>
  <c r="N67" i="6"/>
  <c r="N65" i="6" s="1"/>
  <c r="T67" i="6"/>
  <c r="U67" i="6"/>
  <c r="L73" i="6"/>
  <c r="M73" i="6"/>
  <c r="N73" i="6"/>
  <c r="O73" i="6"/>
  <c r="Q73" i="6"/>
  <c r="R73" i="6"/>
  <c r="U73" i="6" s="1"/>
  <c r="S73" i="6"/>
  <c r="T73" i="6"/>
  <c r="O76" i="6"/>
  <c r="P76" i="6"/>
  <c r="T76" i="6"/>
  <c r="U76" i="6"/>
  <c r="L77" i="6"/>
  <c r="O77" i="6" s="1"/>
  <c r="M77" i="6"/>
  <c r="M75" i="6" s="1"/>
  <c r="P75" i="6" s="1"/>
  <c r="N77" i="6"/>
  <c r="N75" i="6" s="1"/>
  <c r="Q77" i="6"/>
  <c r="R77" i="6"/>
  <c r="U77" i="6" s="1"/>
  <c r="S77" i="6"/>
  <c r="O79" i="6"/>
  <c r="P79" i="6"/>
  <c r="T79" i="6"/>
  <c r="U79" i="6"/>
  <c r="L80" i="6"/>
  <c r="L78" i="6" s="1"/>
  <c r="O78" i="6" s="1"/>
  <c r="M80" i="6"/>
  <c r="P80" i="6" s="1"/>
  <c r="N80" i="6"/>
  <c r="N78" i="6" s="1"/>
  <c r="Q80" i="6"/>
  <c r="R80" i="6"/>
  <c r="U80" i="6" s="1"/>
  <c r="S80" i="6"/>
  <c r="S78" i="6" s="1"/>
  <c r="J82" i="6"/>
  <c r="J70" i="6" s="1"/>
  <c r="J83" i="6"/>
  <c r="J71" i="6" s="1"/>
  <c r="I84" i="6"/>
  <c r="I85" i="6"/>
  <c r="I86" i="6"/>
  <c r="K86" i="6" s="1"/>
  <c r="I87" i="6"/>
  <c r="K87" i="6" s="1"/>
  <c r="I88" i="6"/>
  <c r="K88" i="6" s="1"/>
  <c r="I89" i="6"/>
  <c r="K89" i="6" s="1"/>
  <c r="I90" i="6"/>
  <c r="K90" i="6" s="1"/>
  <c r="J92" i="6"/>
  <c r="J93" i="6"/>
  <c r="L95" i="6"/>
  <c r="M95" i="6"/>
  <c r="N95" i="6"/>
  <c r="Q95" i="6"/>
  <c r="R95" i="6"/>
  <c r="S95" i="6"/>
  <c r="O98" i="6"/>
  <c r="P98" i="6"/>
  <c r="T98" i="6"/>
  <c r="U98" i="6"/>
  <c r="L99" i="6"/>
  <c r="L97" i="6" s="1"/>
  <c r="O97" i="6" s="1"/>
  <c r="M99" i="6"/>
  <c r="N99" i="6"/>
  <c r="Q99" i="6"/>
  <c r="Q96" i="6" s="1"/>
  <c r="R99" i="6"/>
  <c r="R97" i="6" s="1"/>
  <c r="S99" i="6"/>
  <c r="Q100" i="6"/>
  <c r="T100" i="6" s="1"/>
  <c r="R100" i="6"/>
  <c r="U100" i="6" s="1"/>
  <c r="S100" i="6"/>
  <c r="O101" i="6"/>
  <c r="P101" i="6"/>
  <c r="T101" i="6"/>
  <c r="U101" i="6"/>
  <c r="L102" i="6"/>
  <c r="M102" i="6"/>
  <c r="N102" i="6"/>
  <c r="N100" i="6" s="1"/>
  <c r="T102" i="6"/>
  <c r="U102" i="6"/>
  <c r="I108" i="6"/>
  <c r="I92" i="6" s="1"/>
  <c r="I109" i="6"/>
  <c r="K109" i="6" s="1"/>
  <c r="I113" i="6"/>
  <c r="K113" i="6" s="1"/>
  <c r="I114" i="6"/>
  <c r="K114" i="6" s="1"/>
  <c r="J116" i="6"/>
  <c r="L118" i="6"/>
  <c r="M118" i="6"/>
  <c r="N118" i="6"/>
  <c r="O118" i="6"/>
  <c r="P118" i="6"/>
  <c r="Q118" i="6"/>
  <c r="T118" i="6" s="1"/>
  <c r="R118" i="6"/>
  <c r="S118" i="6"/>
  <c r="U118" i="6"/>
  <c r="O121" i="6"/>
  <c r="P121" i="6"/>
  <c r="T121" i="6"/>
  <c r="U121" i="6"/>
  <c r="L122" i="6"/>
  <c r="O122" i="6" s="1"/>
  <c r="M122" i="6"/>
  <c r="P122" i="6" s="1"/>
  <c r="N122" i="6"/>
  <c r="Q122" i="6"/>
  <c r="R122" i="6"/>
  <c r="R120" i="6" s="1"/>
  <c r="S122" i="6"/>
  <c r="O124" i="6"/>
  <c r="P124" i="6"/>
  <c r="T124" i="6"/>
  <c r="U124" i="6"/>
  <c r="L125" i="6"/>
  <c r="O125" i="6" s="1"/>
  <c r="M125" i="6"/>
  <c r="M123" i="6" s="1"/>
  <c r="P123" i="6" s="1"/>
  <c r="N125" i="6"/>
  <c r="N123" i="6" s="1"/>
  <c r="Q125" i="6"/>
  <c r="R125" i="6"/>
  <c r="S125" i="6"/>
  <c r="I127" i="6"/>
  <c r="I116" i="6" s="1"/>
  <c r="K116" i="6" s="1"/>
  <c r="I128" i="6"/>
  <c r="K128" i="6" s="1"/>
  <c r="I129" i="6"/>
  <c r="K129" i="6" s="1"/>
  <c r="I130" i="6"/>
  <c r="K130" i="6" s="1"/>
  <c r="J136" i="6"/>
  <c r="J137" i="6"/>
  <c r="J138" i="6"/>
  <c r="L140" i="6"/>
  <c r="M140" i="6"/>
  <c r="N140" i="6"/>
  <c r="O140" i="6"/>
  <c r="P140" i="6"/>
  <c r="Q140" i="6"/>
  <c r="R140" i="6"/>
  <c r="U140" i="6" s="1"/>
  <c r="S140" i="6"/>
  <c r="O143" i="6"/>
  <c r="P143" i="6"/>
  <c r="T143" i="6"/>
  <c r="U143" i="6"/>
  <c r="L144" i="6"/>
  <c r="M144" i="6"/>
  <c r="N144" i="6"/>
  <c r="Q144" i="6"/>
  <c r="R144" i="6"/>
  <c r="S144" i="6"/>
  <c r="O146" i="6"/>
  <c r="P146" i="6"/>
  <c r="T146" i="6"/>
  <c r="U146" i="6"/>
  <c r="L147" i="6"/>
  <c r="M147" i="6"/>
  <c r="P147" i="6" s="1"/>
  <c r="N147" i="6"/>
  <c r="N145" i="6" s="1"/>
  <c r="Q147" i="6"/>
  <c r="Q145" i="6" s="1"/>
  <c r="T145" i="6" s="1"/>
  <c r="R147" i="6"/>
  <c r="S147" i="6"/>
  <c r="S145" i="6" s="1"/>
  <c r="I150" i="6"/>
  <c r="K150" i="6" s="1"/>
  <c r="I151" i="6"/>
  <c r="K151" i="6" s="1"/>
  <c r="I152" i="6"/>
  <c r="I153" i="6"/>
  <c r="I154" i="6"/>
  <c r="J156" i="6"/>
  <c r="L158" i="6"/>
  <c r="O158" i="6" s="1"/>
  <c r="M158" i="6"/>
  <c r="N158" i="6"/>
  <c r="P158" i="6"/>
  <c r="Q158" i="6"/>
  <c r="R158" i="6"/>
  <c r="U158" i="6" s="1"/>
  <c r="S158" i="6"/>
  <c r="T158" i="6"/>
  <c r="O161" i="6"/>
  <c r="P161" i="6"/>
  <c r="T161" i="6"/>
  <c r="U161" i="6"/>
  <c r="L162" i="6"/>
  <c r="M162" i="6"/>
  <c r="N162" i="6"/>
  <c r="Q162" i="6"/>
  <c r="Q160" i="6" s="1"/>
  <c r="T160" i="6" s="1"/>
  <c r="R162" i="6"/>
  <c r="U162" i="6" s="1"/>
  <c r="S162" i="6"/>
  <c r="Q163" i="6"/>
  <c r="R163" i="6"/>
  <c r="U163" i="6" s="1"/>
  <c r="S163" i="6"/>
  <c r="T163" i="6"/>
  <c r="O164" i="6"/>
  <c r="P164" i="6"/>
  <c r="T164" i="6"/>
  <c r="U164" i="6"/>
  <c r="L165" i="6"/>
  <c r="O165" i="6" s="1"/>
  <c r="M165" i="6"/>
  <c r="M163" i="6" s="1"/>
  <c r="P163" i="6" s="1"/>
  <c r="N165" i="6"/>
  <c r="N163" i="6" s="1"/>
  <c r="T165" i="6"/>
  <c r="U165" i="6"/>
  <c r="I167" i="6"/>
  <c r="K167" i="6" s="1"/>
  <c r="I168" i="6"/>
  <c r="K168" i="6" s="1"/>
  <c r="I169" i="6"/>
  <c r="K169" i="6" s="1"/>
  <c r="J172" i="6"/>
  <c r="L174" i="6"/>
  <c r="O174" i="6" s="1"/>
  <c r="M174" i="6"/>
  <c r="P174" i="6" s="1"/>
  <c r="N174" i="6"/>
  <c r="Q174" i="6"/>
  <c r="R174" i="6"/>
  <c r="S174" i="6"/>
  <c r="U174" i="6"/>
  <c r="O177" i="6"/>
  <c r="P177" i="6"/>
  <c r="T177" i="6"/>
  <c r="U177" i="6"/>
  <c r="L178" i="6"/>
  <c r="M178" i="6"/>
  <c r="N178" i="6"/>
  <c r="Q178" i="6"/>
  <c r="R178" i="6"/>
  <c r="R175" i="6" s="1"/>
  <c r="U175" i="6" s="1"/>
  <c r="S178" i="6"/>
  <c r="Q179" i="6"/>
  <c r="T179" i="6" s="1"/>
  <c r="R179" i="6"/>
  <c r="U179" i="6" s="1"/>
  <c r="S179" i="6"/>
  <c r="O180" i="6"/>
  <c r="P180" i="6"/>
  <c r="T180" i="6"/>
  <c r="U180" i="6"/>
  <c r="L181" i="6"/>
  <c r="L179" i="6" s="1"/>
  <c r="O179" i="6" s="1"/>
  <c r="M181" i="6"/>
  <c r="P181" i="6" s="1"/>
  <c r="N181" i="6"/>
  <c r="N179" i="6" s="1"/>
  <c r="T181" i="6"/>
  <c r="U181" i="6"/>
  <c r="I183" i="6"/>
  <c r="I172" i="6" s="1"/>
  <c r="K172" i="6" s="1"/>
  <c r="K184" i="6"/>
  <c r="J185" i="6"/>
  <c r="L187" i="6"/>
  <c r="M187" i="6"/>
  <c r="N187" i="6"/>
  <c r="P187" i="6"/>
  <c r="Q187" i="6"/>
  <c r="R187" i="6"/>
  <c r="S187" i="6"/>
  <c r="O190" i="6"/>
  <c r="P190" i="6"/>
  <c r="T190" i="6"/>
  <c r="U190" i="6"/>
  <c r="L191" i="6"/>
  <c r="M191" i="6"/>
  <c r="N191" i="6"/>
  <c r="Q191" i="6"/>
  <c r="Q189" i="6" s="1"/>
  <c r="T189" i="6" s="1"/>
  <c r="R191" i="6"/>
  <c r="S191" i="6"/>
  <c r="S189" i="6" s="1"/>
  <c r="O193" i="6"/>
  <c r="P193" i="6"/>
  <c r="T193" i="6"/>
  <c r="U193" i="6"/>
  <c r="L194" i="6"/>
  <c r="M194" i="6"/>
  <c r="N194" i="6"/>
  <c r="N192" i="6" s="1"/>
  <c r="Q194" i="6"/>
  <c r="Q192" i="6" s="1"/>
  <c r="T192" i="6" s="1"/>
  <c r="R194" i="6"/>
  <c r="S194" i="6"/>
  <c r="S192" i="6" s="1"/>
  <c r="J195" i="6"/>
  <c r="L196" i="6"/>
  <c r="O196" i="6" s="1"/>
  <c r="P196" i="6"/>
  <c r="I198" i="6"/>
  <c r="I195" i="6" s="1"/>
  <c r="K195" i="6" s="1"/>
  <c r="J199" i="6"/>
  <c r="J202" i="6"/>
  <c r="N203" i="6"/>
  <c r="P203" i="6"/>
  <c r="S203" i="6"/>
  <c r="U203" i="6"/>
  <c r="L204" i="6"/>
  <c r="L205" i="6"/>
  <c r="L206" i="6"/>
  <c r="Q206" i="6"/>
  <c r="Q203" i="6" s="1"/>
  <c r="T203" i="6" s="1"/>
  <c r="L207" i="6"/>
  <c r="I209" i="6"/>
  <c r="I202" i="6" s="1"/>
  <c r="K202" i="6" s="1"/>
  <c r="I211" i="6"/>
  <c r="K211" i="6" s="1"/>
  <c r="I212" i="6"/>
  <c r="K212" i="6" s="1"/>
  <c r="J213" i="6"/>
  <c r="N214" i="6"/>
  <c r="P214" i="6"/>
  <c r="S214" i="6"/>
  <c r="U214" i="6"/>
  <c r="L215" i="6"/>
  <c r="L216" i="6"/>
  <c r="L217" i="6"/>
  <c r="Q217" i="6"/>
  <c r="Q214" i="6" s="1"/>
  <c r="T214" i="6" s="1"/>
  <c r="I219" i="6"/>
  <c r="K219" i="6" s="1"/>
  <c r="I220" i="6"/>
  <c r="I213" i="6" s="1"/>
  <c r="K213" i="6" s="1"/>
  <c r="J221" i="6"/>
  <c r="N222" i="6"/>
  <c r="P222" i="6"/>
  <c r="L223" i="6"/>
  <c r="L224" i="6"/>
  <c r="L225" i="6"/>
  <c r="I228" i="6"/>
  <c r="K228" i="6" s="1"/>
  <c r="I229" i="6"/>
  <c r="I230" i="6"/>
  <c r="K230" i="6" s="1"/>
  <c r="N233" i="6"/>
  <c r="N234" i="6"/>
  <c r="N235" i="6"/>
  <c r="N236" i="6"/>
  <c r="J238" i="6"/>
  <c r="I240" i="6"/>
  <c r="K240" i="6" s="1"/>
  <c r="J240" i="6"/>
  <c r="I241" i="6"/>
  <c r="J241" i="6"/>
  <c r="K241" i="6"/>
  <c r="J242" i="6"/>
  <c r="J231" i="6" s="1"/>
  <c r="N243" i="6"/>
  <c r="N232" i="6" s="1"/>
  <c r="P243" i="6"/>
  <c r="L244" i="6"/>
  <c r="L245" i="6"/>
  <c r="L246" i="6"/>
  <c r="L247" i="6"/>
  <c r="I249" i="6"/>
  <c r="K249" i="6" s="1"/>
  <c r="K251" i="6"/>
  <c r="K252" i="6"/>
  <c r="J253" i="6"/>
  <c r="N254" i="6"/>
  <c r="P254" i="6"/>
  <c r="L255" i="6"/>
  <c r="L256" i="6"/>
  <c r="L257" i="6"/>
  <c r="L258" i="6"/>
  <c r="I260" i="6"/>
  <c r="K262" i="6"/>
  <c r="K263" i="6"/>
  <c r="J265" i="6"/>
  <c r="L267" i="6"/>
  <c r="O267" i="6" s="1"/>
  <c r="M267" i="6"/>
  <c r="P267" i="6" s="1"/>
  <c r="N267" i="6"/>
  <c r="Q267" i="6"/>
  <c r="T267" i="6" s="1"/>
  <c r="R267" i="6"/>
  <c r="U267" i="6" s="1"/>
  <c r="S267" i="6"/>
  <c r="O270" i="6"/>
  <c r="P270" i="6"/>
  <c r="T270" i="6"/>
  <c r="U270" i="6"/>
  <c r="L271" i="6"/>
  <c r="M271" i="6"/>
  <c r="M269" i="6" s="1"/>
  <c r="N271" i="6"/>
  <c r="Q271" i="6"/>
  <c r="Q268" i="6" s="1"/>
  <c r="R271" i="6"/>
  <c r="S271" i="6"/>
  <c r="S268" i="6" s="1"/>
  <c r="S266" i="6" s="1"/>
  <c r="Q272" i="6"/>
  <c r="T272" i="6" s="1"/>
  <c r="R272" i="6"/>
  <c r="U272" i="6" s="1"/>
  <c r="S272" i="6"/>
  <c r="O273" i="6"/>
  <c r="P273" i="6"/>
  <c r="T273" i="6"/>
  <c r="U273" i="6"/>
  <c r="L274" i="6"/>
  <c r="L272" i="6" s="1"/>
  <c r="O272" i="6" s="1"/>
  <c r="M274" i="6"/>
  <c r="P274" i="6" s="1"/>
  <c r="N274" i="6"/>
  <c r="N272" i="6" s="1"/>
  <c r="T274" i="6"/>
  <c r="U274" i="6"/>
  <c r="I276" i="6"/>
  <c r="J281" i="6"/>
  <c r="L283" i="6"/>
  <c r="O283" i="6" s="1"/>
  <c r="M283" i="6"/>
  <c r="N283" i="6"/>
  <c r="P283" i="6"/>
  <c r="Q283" i="6"/>
  <c r="R283" i="6"/>
  <c r="U283" i="6" s="1"/>
  <c r="S283" i="6"/>
  <c r="S282" i="6" s="1"/>
  <c r="Q284" i="6"/>
  <c r="T284" i="6" s="1"/>
  <c r="R284" i="6"/>
  <c r="U284" i="6" s="1"/>
  <c r="S284" i="6"/>
  <c r="Q285" i="6"/>
  <c r="R285" i="6"/>
  <c r="U285" i="6" s="1"/>
  <c r="S285" i="6"/>
  <c r="T285" i="6"/>
  <c r="O286" i="6"/>
  <c r="P286" i="6"/>
  <c r="T286" i="6"/>
  <c r="U286" i="6"/>
  <c r="L287" i="6"/>
  <c r="L285" i="6" s="1"/>
  <c r="O285" i="6" s="1"/>
  <c r="M287" i="6"/>
  <c r="N287" i="6"/>
  <c r="N285" i="6" s="1"/>
  <c r="T287" i="6"/>
  <c r="U287" i="6"/>
  <c r="Q288" i="6"/>
  <c r="T288" i="6" s="1"/>
  <c r="R288" i="6"/>
  <c r="U288" i="6" s="1"/>
  <c r="S288" i="6"/>
  <c r="O289" i="6"/>
  <c r="P289" i="6"/>
  <c r="T289" i="6"/>
  <c r="U289" i="6"/>
  <c r="L290" i="6"/>
  <c r="O290" i="6" s="1"/>
  <c r="M290" i="6"/>
  <c r="N290" i="6"/>
  <c r="N288" i="6" s="1"/>
  <c r="T290" i="6"/>
  <c r="U290" i="6"/>
  <c r="I292" i="6"/>
  <c r="K292" i="6" s="1"/>
  <c r="I293" i="6"/>
  <c r="J293" i="6"/>
  <c r="J280" i="6" s="1"/>
  <c r="I295" i="6"/>
  <c r="K295" i="6" s="1"/>
  <c r="I296" i="6"/>
  <c r="K296" i="6" s="1"/>
  <c r="J302" i="6"/>
  <c r="L304" i="6"/>
  <c r="O304" i="6" s="1"/>
  <c r="M304" i="6"/>
  <c r="P304" i="6" s="1"/>
  <c r="N304" i="6"/>
  <c r="Q304" i="6"/>
  <c r="R304" i="6"/>
  <c r="S304" i="6"/>
  <c r="O307" i="6"/>
  <c r="P307" i="6"/>
  <c r="T307" i="6"/>
  <c r="U307" i="6"/>
  <c r="L308" i="6"/>
  <c r="O308" i="6" s="1"/>
  <c r="M308" i="6"/>
  <c r="P308" i="6" s="1"/>
  <c r="N308" i="6"/>
  <c r="N306" i="6" s="1"/>
  <c r="Q308" i="6"/>
  <c r="Q305" i="6" s="1"/>
  <c r="T305" i="6" s="1"/>
  <c r="R308" i="6"/>
  <c r="S308" i="6"/>
  <c r="S306" i="6" s="1"/>
  <c r="Q309" i="6"/>
  <c r="T309" i="6" s="1"/>
  <c r="R309" i="6"/>
  <c r="U309" i="6" s="1"/>
  <c r="S309" i="6"/>
  <c r="O310" i="6"/>
  <c r="P310" i="6"/>
  <c r="T310" i="6"/>
  <c r="U310" i="6"/>
  <c r="L311" i="6"/>
  <c r="L309" i="6" s="1"/>
  <c r="O309" i="6" s="1"/>
  <c r="M311" i="6"/>
  <c r="M309" i="6" s="1"/>
  <c r="P309" i="6" s="1"/>
  <c r="N311" i="6"/>
  <c r="N309" i="6" s="1"/>
  <c r="T311" i="6"/>
  <c r="U311" i="6"/>
  <c r="I314" i="6"/>
  <c r="J319" i="6"/>
  <c r="L321" i="6"/>
  <c r="M321" i="6"/>
  <c r="N321" i="6"/>
  <c r="P321" i="6"/>
  <c r="Q321" i="6"/>
  <c r="R321" i="6"/>
  <c r="S321" i="6"/>
  <c r="T321" i="6"/>
  <c r="Q322" i="6"/>
  <c r="T322" i="6" s="1"/>
  <c r="R322" i="6"/>
  <c r="U322" i="6" s="1"/>
  <c r="S322" i="6"/>
  <c r="S320" i="6" s="1"/>
  <c r="Q323" i="6"/>
  <c r="R323" i="6"/>
  <c r="U323" i="6" s="1"/>
  <c r="S323" i="6"/>
  <c r="T323" i="6"/>
  <c r="O324" i="6"/>
  <c r="P324" i="6"/>
  <c r="T324" i="6"/>
  <c r="U324" i="6"/>
  <c r="L325" i="6"/>
  <c r="O325" i="6" s="1"/>
  <c r="M325" i="6"/>
  <c r="N325" i="6"/>
  <c r="N323" i="6" s="1"/>
  <c r="T325" i="6"/>
  <c r="U325" i="6"/>
  <c r="Q326" i="6"/>
  <c r="T326" i="6" s="1"/>
  <c r="R326" i="6"/>
  <c r="S326" i="6"/>
  <c r="U326" i="6"/>
  <c r="O327" i="6"/>
  <c r="P327" i="6"/>
  <c r="T327" i="6"/>
  <c r="U327" i="6"/>
  <c r="L328" i="6"/>
  <c r="L326" i="6" s="1"/>
  <c r="O326" i="6" s="1"/>
  <c r="M328" i="6"/>
  <c r="P328" i="6" s="1"/>
  <c r="N328" i="6"/>
  <c r="N326" i="6" s="1"/>
  <c r="T328" i="6"/>
  <c r="U328" i="6"/>
  <c r="I330" i="6"/>
  <c r="L334" i="6"/>
  <c r="M334" i="6"/>
  <c r="N334" i="6"/>
  <c r="O334" i="6"/>
  <c r="P334" i="6"/>
  <c r="Q334" i="6"/>
  <c r="T334" i="6" s="1"/>
  <c r="R334" i="6"/>
  <c r="S334" i="6"/>
  <c r="U334" i="6"/>
  <c r="Q335" i="6"/>
  <c r="T335" i="6" s="1"/>
  <c r="R335" i="6"/>
  <c r="U335" i="6" s="1"/>
  <c r="S335" i="6"/>
  <c r="S333" i="6" s="1"/>
  <c r="Q336" i="6"/>
  <c r="T336" i="6" s="1"/>
  <c r="R336" i="6"/>
  <c r="S336" i="6"/>
  <c r="U336" i="6"/>
  <c r="O337" i="6"/>
  <c r="P337" i="6"/>
  <c r="T337" i="6"/>
  <c r="U337" i="6"/>
  <c r="L338" i="6"/>
  <c r="M338" i="6"/>
  <c r="N338" i="6"/>
  <c r="N336" i="6" s="1"/>
  <c r="T338" i="6"/>
  <c r="U338" i="6"/>
  <c r="Q339" i="6"/>
  <c r="T339" i="6" s="1"/>
  <c r="R339" i="6"/>
  <c r="U339" i="6" s="1"/>
  <c r="S339" i="6"/>
  <c r="O340" i="6"/>
  <c r="P340" i="6"/>
  <c r="T340" i="6"/>
  <c r="U340" i="6"/>
  <c r="L341" i="6"/>
  <c r="O341" i="6" s="1"/>
  <c r="M341" i="6"/>
  <c r="N341" i="6"/>
  <c r="N339" i="6" s="1"/>
  <c r="T341" i="6"/>
  <c r="U341" i="6"/>
  <c r="I344" i="6"/>
  <c r="J344" i="6"/>
  <c r="I346" i="6"/>
  <c r="J346" i="6"/>
  <c r="J347" i="6"/>
  <c r="J348" i="6"/>
  <c r="J349" i="6"/>
  <c r="D350" i="6"/>
  <c r="J352" i="6"/>
  <c r="J353" i="6"/>
  <c r="J354" i="6"/>
  <c r="L357" i="6"/>
  <c r="O357" i="6" s="1"/>
  <c r="M357" i="6"/>
  <c r="P357" i="6" s="1"/>
  <c r="N357" i="6"/>
  <c r="Q357" i="6"/>
  <c r="R357" i="6"/>
  <c r="U357" i="6" s="1"/>
  <c r="S357" i="6"/>
  <c r="Q358" i="6"/>
  <c r="T358" i="6" s="1"/>
  <c r="R358" i="6"/>
  <c r="U358" i="6" s="1"/>
  <c r="S358" i="6"/>
  <c r="Q359" i="6"/>
  <c r="T359" i="6" s="1"/>
  <c r="R359" i="6"/>
  <c r="U359" i="6" s="1"/>
  <c r="S359" i="6"/>
  <c r="O360" i="6"/>
  <c r="P360" i="6"/>
  <c r="T360" i="6"/>
  <c r="U360" i="6"/>
  <c r="L361" i="6"/>
  <c r="M361" i="6"/>
  <c r="N361" i="6"/>
  <c r="N359" i="6" s="1"/>
  <c r="T361" i="6"/>
  <c r="U361" i="6"/>
  <c r="Q362" i="6"/>
  <c r="T362" i="6" s="1"/>
  <c r="R362" i="6"/>
  <c r="U362" i="6" s="1"/>
  <c r="S362" i="6"/>
  <c r="O363" i="6"/>
  <c r="P363" i="6"/>
  <c r="T363" i="6"/>
  <c r="U363" i="6"/>
  <c r="L364" i="6"/>
  <c r="M364" i="6"/>
  <c r="P364" i="6" s="1"/>
  <c r="N364" i="6"/>
  <c r="N362" i="6" s="1"/>
  <c r="T364" i="6"/>
  <c r="U364" i="6"/>
  <c r="J367" i="6"/>
  <c r="K367" i="6"/>
  <c r="I368" i="6"/>
  <c r="J368" i="6"/>
  <c r="I369" i="6"/>
  <c r="J369" i="6"/>
  <c r="J370" i="6"/>
  <c r="K370" i="6"/>
  <c r="I371" i="6"/>
  <c r="I365" i="6" s="1"/>
  <c r="J371" i="6"/>
  <c r="J365" i="6" s="1"/>
  <c r="J372" i="6"/>
  <c r="K372" i="6"/>
  <c r="D373" i="6"/>
  <c r="L376" i="6"/>
  <c r="M376" i="6"/>
  <c r="N376" i="6"/>
  <c r="O376" i="6"/>
  <c r="Q376" i="6"/>
  <c r="R376" i="6"/>
  <c r="S376" i="6"/>
  <c r="U376" i="6"/>
  <c r="O379" i="6"/>
  <c r="P379" i="6"/>
  <c r="T379" i="6"/>
  <c r="U379" i="6"/>
  <c r="L380" i="6"/>
  <c r="O380" i="6" s="1"/>
  <c r="M380" i="6"/>
  <c r="P380" i="6" s="1"/>
  <c r="N380" i="6"/>
  <c r="Q380" i="6"/>
  <c r="R380" i="6"/>
  <c r="S380" i="6"/>
  <c r="S378" i="6" s="1"/>
  <c r="Q381" i="6"/>
  <c r="R381" i="6"/>
  <c r="U381" i="6" s="1"/>
  <c r="S381" i="6"/>
  <c r="T381" i="6"/>
  <c r="O382" i="6"/>
  <c r="P382" i="6"/>
  <c r="T382" i="6"/>
  <c r="U382" i="6"/>
  <c r="L383" i="6"/>
  <c r="M383" i="6"/>
  <c r="P383" i="6" s="1"/>
  <c r="N383" i="6"/>
  <c r="N381" i="6" s="1"/>
  <c r="T383" i="6"/>
  <c r="U383" i="6"/>
  <c r="J385" i="6"/>
  <c r="K385" i="6"/>
  <c r="I386" i="6"/>
  <c r="J386" i="6"/>
  <c r="J387" i="6"/>
  <c r="K387" i="6"/>
  <c r="I388" i="6"/>
  <c r="J388" i="6"/>
  <c r="I391" i="6"/>
  <c r="K391" i="6" s="1"/>
  <c r="J391" i="6"/>
  <c r="L393" i="6"/>
  <c r="O393" i="6" s="1"/>
  <c r="M393" i="6"/>
  <c r="N393" i="6"/>
  <c r="Q393" i="6"/>
  <c r="R393" i="6"/>
  <c r="U393" i="6" s="1"/>
  <c r="S393" i="6"/>
  <c r="T393" i="6"/>
  <c r="L394" i="6"/>
  <c r="M394" i="6"/>
  <c r="P394" i="6" s="1"/>
  <c r="N394" i="6"/>
  <c r="L395" i="6"/>
  <c r="M395" i="6"/>
  <c r="P395" i="6" s="1"/>
  <c r="N395" i="6"/>
  <c r="O395" i="6"/>
  <c r="O396" i="6"/>
  <c r="P396" i="6"/>
  <c r="T396" i="6"/>
  <c r="U396" i="6"/>
  <c r="O397" i="6"/>
  <c r="P397" i="6"/>
  <c r="Q397" i="6"/>
  <c r="R397" i="6"/>
  <c r="R394" i="6" s="1"/>
  <c r="U394" i="6" s="1"/>
  <c r="S397" i="6"/>
  <c r="S395" i="6" s="1"/>
  <c r="L398" i="6"/>
  <c r="O398" i="6" s="1"/>
  <c r="M398" i="6"/>
  <c r="P398" i="6" s="1"/>
  <c r="N398" i="6"/>
  <c r="Q398" i="6"/>
  <c r="T398" i="6" s="1"/>
  <c r="R398" i="6"/>
  <c r="U398" i="6" s="1"/>
  <c r="S398" i="6"/>
  <c r="O399" i="6"/>
  <c r="P399" i="6"/>
  <c r="T399" i="6"/>
  <c r="U399" i="6"/>
  <c r="O400" i="6"/>
  <c r="P400" i="6"/>
  <c r="T400" i="6"/>
  <c r="U400" i="6"/>
  <c r="L414" i="6"/>
  <c r="M414" i="6"/>
  <c r="N414" i="6"/>
  <c r="O414" i="6"/>
  <c r="Q414" i="6"/>
  <c r="T414" i="6" s="1"/>
  <c r="R414" i="6"/>
  <c r="S414" i="6"/>
  <c r="U414" i="6"/>
  <c r="O417" i="6"/>
  <c r="P417" i="6"/>
  <c r="T417" i="6"/>
  <c r="U417" i="6"/>
  <c r="L418" i="6"/>
  <c r="M418" i="6"/>
  <c r="N418" i="6"/>
  <c r="Q418" i="6"/>
  <c r="R418" i="6"/>
  <c r="S418" i="6"/>
  <c r="S415" i="6" s="1"/>
  <c r="S413" i="6" s="1"/>
  <c r="Q419" i="6"/>
  <c r="T419" i="6" s="1"/>
  <c r="R419" i="6"/>
  <c r="U419" i="6" s="1"/>
  <c r="S419" i="6"/>
  <c r="O420" i="6"/>
  <c r="P420" i="6"/>
  <c r="T420" i="6"/>
  <c r="U420" i="6"/>
  <c r="L421" i="6"/>
  <c r="L419" i="6" s="1"/>
  <c r="O419" i="6" s="1"/>
  <c r="M421" i="6"/>
  <c r="M419" i="6" s="1"/>
  <c r="P419" i="6" s="1"/>
  <c r="N421" i="6"/>
  <c r="N419" i="6" s="1"/>
  <c r="T421" i="6"/>
  <c r="U421" i="6"/>
  <c r="I424" i="6"/>
  <c r="J424" i="6"/>
  <c r="I425" i="6"/>
  <c r="J425" i="6"/>
  <c r="I432" i="6"/>
  <c r="J432" i="6"/>
  <c r="I433" i="6"/>
  <c r="K433" i="6" s="1"/>
  <c r="J433" i="6"/>
  <c r="I440" i="6"/>
  <c r="I441" i="6"/>
  <c r="K441" i="6" s="1"/>
  <c r="J446" i="6"/>
  <c r="J440" i="6" s="1"/>
  <c r="J423" i="6" s="1"/>
  <c r="J412" i="6" s="1"/>
  <c r="J447" i="6"/>
  <c r="J441" i="6" s="1"/>
  <c r="I457" i="6"/>
  <c r="I458" i="6"/>
  <c r="K458" i="6" s="1"/>
  <c r="J459" i="6"/>
  <c r="J457" i="6" s="1"/>
  <c r="J456" i="6" s="1"/>
  <c r="J460" i="6"/>
  <c r="J467" i="6"/>
  <c r="J468" i="6"/>
  <c r="J475" i="6"/>
  <c r="K475" i="6"/>
  <c r="J476" i="6"/>
  <c r="K476" i="6"/>
  <c r="J477" i="6"/>
  <c r="K477" i="6"/>
  <c r="J482" i="6"/>
  <c r="J483" i="6"/>
  <c r="I484" i="6"/>
  <c r="K484" i="6" s="1"/>
  <c r="J484" i="6"/>
  <c r="I485" i="6"/>
  <c r="K485" i="6" s="1"/>
  <c r="J485" i="6"/>
  <c r="L494" i="6"/>
  <c r="M494" i="6"/>
  <c r="N494" i="6"/>
  <c r="Q494" i="6"/>
  <c r="T494" i="6" s="1"/>
  <c r="R494" i="6"/>
  <c r="S494" i="6"/>
  <c r="O497" i="6"/>
  <c r="P497" i="6"/>
  <c r="T497" i="6"/>
  <c r="U497" i="6"/>
  <c r="L498" i="6"/>
  <c r="M498" i="6"/>
  <c r="N498" i="6"/>
  <c r="N496" i="6" s="1"/>
  <c r="Q498" i="6"/>
  <c r="T498" i="6" s="1"/>
  <c r="R498" i="6"/>
  <c r="R495" i="6" s="1"/>
  <c r="U495" i="6" s="1"/>
  <c r="S498" i="6"/>
  <c r="S496" i="6" s="1"/>
  <c r="Q499" i="6"/>
  <c r="T499" i="6" s="1"/>
  <c r="R499" i="6"/>
  <c r="U499" i="6" s="1"/>
  <c r="S499" i="6"/>
  <c r="O500" i="6"/>
  <c r="P500" i="6"/>
  <c r="T500" i="6"/>
  <c r="U500" i="6"/>
  <c r="L501" i="6"/>
  <c r="L499" i="6" s="1"/>
  <c r="O499" i="6" s="1"/>
  <c r="M501" i="6"/>
  <c r="N501" i="6"/>
  <c r="N499" i="6" s="1"/>
  <c r="T501" i="6"/>
  <c r="U501" i="6"/>
  <c r="I503" i="6"/>
  <c r="K503" i="6" s="1"/>
  <c r="I504" i="6"/>
  <c r="K504" i="6" s="1"/>
  <c r="I505" i="6"/>
  <c r="K505" i="6" s="1"/>
  <c r="I506" i="6"/>
  <c r="I507" i="6"/>
  <c r="K507" i="6" s="1"/>
  <c r="K508" i="6"/>
  <c r="I509" i="6"/>
  <c r="K509" i="6" s="1"/>
  <c r="I512" i="6"/>
  <c r="K512" i="6" s="1"/>
  <c r="J512" i="6"/>
  <c r="L514" i="6"/>
  <c r="O514" i="6" s="1"/>
  <c r="M514" i="6"/>
  <c r="N514" i="6"/>
  <c r="P514" i="6"/>
  <c r="Q514" i="6"/>
  <c r="R514" i="6"/>
  <c r="U514" i="6" s="1"/>
  <c r="S514" i="6"/>
  <c r="Q515" i="6"/>
  <c r="T515" i="6" s="1"/>
  <c r="R515" i="6"/>
  <c r="U515" i="6" s="1"/>
  <c r="S515" i="6"/>
  <c r="S513" i="6" s="1"/>
  <c r="Q516" i="6"/>
  <c r="R516" i="6"/>
  <c r="U516" i="6" s="1"/>
  <c r="S516" i="6"/>
  <c r="T516" i="6"/>
  <c r="O517" i="6"/>
  <c r="P517" i="6"/>
  <c r="T517" i="6"/>
  <c r="U517" i="6"/>
  <c r="L518" i="6"/>
  <c r="M518" i="6"/>
  <c r="P518" i="6" s="1"/>
  <c r="N518" i="6"/>
  <c r="N516" i="6" s="1"/>
  <c r="T518" i="6"/>
  <c r="U518" i="6"/>
  <c r="Q519" i="6"/>
  <c r="T519" i="6" s="1"/>
  <c r="R519" i="6"/>
  <c r="U519" i="6" s="1"/>
  <c r="S519" i="6"/>
  <c r="O520" i="6"/>
  <c r="P520" i="6"/>
  <c r="T520" i="6"/>
  <c r="U520" i="6"/>
  <c r="L521" i="6"/>
  <c r="L519" i="6" s="1"/>
  <c r="O519" i="6" s="1"/>
  <c r="M521" i="6"/>
  <c r="M519" i="6" s="1"/>
  <c r="P519" i="6" s="1"/>
  <c r="N521" i="6"/>
  <c r="N519" i="6" s="1"/>
  <c r="T521" i="6"/>
  <c r="U521" i="6"/>
  <c r="K523" i="6"/>
  <c r="K524" i="6"/>
  <c r="I533" i="6"/>
  <c r="K533" i="6" s="1"/>
  <c r="J533" i="6"/>
  <c r="L535" i="6"/>
  <c r="M535" i="6"/>
  <c r="N535" i="6"/>
  <c r="P535" i="6"/>
  <c r="Q535" i="6"/>
  <c r="R535" i="6"/>
  <c r="S535" i="6"/>
  <c r="Q536" i="6"/>
  <c r="R536" i="6"/>
  <c r="U536" i="6" s="1"/>
  <c r="S536" i="6"/>
  <c r="T536" i="6"/>
  <c r="Q537" i="6"/>
  <c r="R537" i="6"/>
  <c r="S537" i="6"/>
  <c r="T537" i="6"/>
  <c r="U537" i="6"/>
  <c r="O538" i="6"/>
  <c r="P538" i="6"/>
  <c r="T538" i="6"/>
  <c r="U538" i="6"/>
  <c r="L539" i="6"/>
  <c r="M539" i="6"/>
  <c r="N539" i="6"/>
  <c r="N537" i="6" s="1"/>
  <c r="T539" i="6"/>
  <c r="U539" i="6"/>
  <c r="Q540" i="6"/>
  <c r="T540" i="6" s="1"/>
  <c r="R540" i="6"/>
  <c r="U540" i="6" s="1"/>
  <c r="S540" i="6"/>
  <c r="O541" i="6"/>
  <c r="P541" i="6"/>
  <c r="T541" i="6"/>
  <c r="U541" i="6"/>
  <c r="L542" i="6"/>
  <c r="L540" i="6" s="1"/>
  <c r="O540" i="6" s="1"/>
  <c r="M542" i="6"/>
  <c r="M540" i="6" s="1"/>
  <c r="P540" i="6" s="1"/>
  <c r="N542" i="6"/>
  <c r="N540" i="6" s="1"/>
  <c r="T542" i="6"/>
  <c r="U542" i="6"/>
  <c r="I554" i="6"/>
  <c r="K554" i="6" s="1"/>
  <c r="J554" i="6"/>
  <c r="L556" i="6"/>
  <c r="M556" i="6"/>
  <c r="N556" i="6"/>
  <c r="O556" i="6"/>
  <c r="Q556" i="6"/>
  <c r="R556" i="6"/>
  <c r="S556" i="6"/>
  <c r="S555" i="6" s="1"/>
  <c r="T556" i="6"/>
  <c r="U556" i="6"/>
  <c r="Q557" i="6"/>
  <c r="T557" i="6" s="1"/>
  <c r="R557" i="6"/>
  <c r="U557" i="6" s="1"/>
  <c r="S557" i="6"/>
  <c r="Q558" i="6"/>
  <c r="R558" i="6"/>
  <c r="S558" i="6"/>
  <c r="T558" i="6"/>
  <c r="U558" i="6"/>
  <c r="O559" i="6"/>
  <c r="P559" i="6"/>
  <c r="T559" i="6"/>
  <c r="U559" i="6"/>
  <c r="L560" i="6"/>
  <c r="M560" i="6"/>
  <c r="N560" i="6"/>
  <c r="T560" i="6"/>
  <c r="U560" i="6"/>
  <c r="Q561" i="6"/>
  <c r="T561" i="6" s="1"/>
  <c r="R561" i="6"/>
  <c r="U561" i="6" s="1"/>
  <c r="S561" i="6"/>
  <c r="O562" i="6"/>
  <c r="P562" i="6"/>
  <c r="T562" i="6"/>
  <c r="U562" i="6"/>
  <c r="L563" i="6"/>
  <c r="O563" i="6" s="1"/>
  <c r="M563" i="6"/>
  <c r="M561" i="6" s="1"/>
  <c r="P561" i="6" s="1"/>
  <c r="N563" i="6"/>
  <c r="N561" i="6" s="1"/>
  <c r="T563" i="6"/>
  <c r="U563" i="6"/>
  <c r="I575" i="6"/>
  <c r="K575" i="6" s="1"/>
  <c r="J575" i="6"/>
  <c r="L577" i="6"/>
  <c r="O577" i="6" s="1"/>
  <c r="M577" i="6"/>
  <c r="N577" i="6"/>
  <c r="P577" i="6"/>
  <c r="Q577" i="6"/>
  <c r="T577" i="6" s="1"/>
  <c r="R577" i="6"/>
  <c r="U577" i="6" s="1"/>
  <c r="S577" i="6"/>
  <c r="Q578" i="6"/>
  <c r="R578" i="6"/>
  <c r="S578" i="6"/>
  <c r="T578" i="6"/>
  <c r="U578" i="6"/>
  <c r="Q579" i="6"/>
  <c r="T579" i="6" s="1"/>
  <c r="R579" i="6"/>
  <c r="U579" i="6" s="1"/>
  <c r="S579" i="6"/>
  <c r="O580" i="6"/>
  <c r="P580" i="6"/>
  <c r="T580" i="6"/>
  <c r="U580" i="6"/>
  <c r="L581" i="6"/>
  <c r="L579" i="6" s="1"/>
  <c r="O579" i="6" s="1"/>
  <c r="M581" i="6"/>
  <c r="M579" i="6" s="1"/>
  <c r="P579" i="6" s="1"/>
  <c r="N581" i="6"/>
  <c r="N579" i="6" s="1"/>
  <c r="T581" i="6"/>
  <c r="U581" i="6"/>
  <c r="Q582" i="6"/>
  <c r="T582" i="6" s="1"/>
  <c r="R582" i="6"/>
  <c r="S582" i="6"/>
  <c r="U582" i="6"/>
  <c r="O583" i="6"/>
  <c r="P583" i="6"/>
  <c r="T583" i="6"/>
  <c r="U583" i="6"/>
  <c r="L584" i="6"/>
  <c r="M584" i="6"/>
  <c r="P584" i="6" s="1"/>
  <c r="N584" i="6"/>
  <c r="N582" i="6" s="1"/>
  <c r="T584" i="6"/>
  <c r="U584" i="6"/>
  <c r="L600" i="6"/>
  <c r="M600" i="6"/>
  <c r="N600" i="6"/>
  <c r="O600" i="6"/>
  <c r="P600" i="6"/>
  <c r="Q600" i="6"/>
  <c r="R600" i="6"/>
  <c r="S600" i="6"/>
  <c r="T600" i="6"/>
  <c r="U600" i="6"/>
  <c r="O603" i="6"/>
  <c r="P603" i="6"/>
  <c r="T603" i="6"/>
  <c r="U603" i="6"/>
  <c r="L604" i="6"/>
  <c r="M604" i="6"/>
  <c r="N604" i="6"/>
  <c r="N602" i="6" s="1"/>
  <c r="Q604" i="6"/>
  <c r="T604" i="6" s="1"/>
  <c r="R604" i="6"/>
  <c r="U604" i="6" s="1"/>
  <c r="S604" i="6"/>
  <c r="S602" i="6" s="1"/>
  <c r="O606" i="6"/>
  <c r="P606" i="6"/>
  <c r="T606" i="6"/>
  <c r="U606" i="6"/>
  <c r="L607" i="6"/>
  <c r="O607" i="6" s="1"/>
  <c r="M607" i="6"/>
  <c r="P607" i="6" s="1"/>
  <c r="N607" i="6"/>
  <c r="N605" i="6" s="1"/>
  <c r="Q607" i="6"/>
  <c r="T607" i="6" s="1"/>
  <c r="R607" i="6"/>
  <c r="U607" i="6" s="1"/>
  <c r="S607" i="6"/>
  <c r="S605" i="6" s="1"/>
  <c r="L617" i="6"/>
  <c r="M617" i="6"/>
  <c r="M616" i="6" s="1"/>
  <c r="P616" i="6" s="1"/>
  <c r="N617" i="6"/>
  <c r="Q617" i="6"/>
  <c r="T617" i="6" s="1"/>
  <c r="R617" i="6"/>
  <c r="S617" i="6"/>
  <c r="L618" i="6"/>
  <c r="O618" i="6" s="1"/>
  <c r="M618" i="6"/>
  <c r="P618" i="6" s="1"/>
  <c r="N618" i="6"/>
  <c r="N616" i="6" s="1"/>
  <c r="L619" i="6"/>
  <c r="M619" i="6"/>
  <c r="N619" i="6"/>
  <c r="O619" i="6"/>
  <c r="P619" i="6"/>
  <c r="O620" i="6"/>
  <c r="P620" i="6"/>
  <c r="T620" i="6"/>
  <c r="U620" i="6"/>
  <c r="O621" i="6"/>
  <c r="P621" i="6"/>
  <c r="Q621" i="6"/>
  <c r="Q618" i="6" s="1"/>
  <c r="R621" i="6"/>
  <c r="R619" i="6" s="1"/>
  <c r="S621" i="6"/>
  <c r="S619" i="6" s="1"/>
  <c r="L622" i="6"/>
  <c r="O622" i="6" s="1"/>
  <c r="M622" i="6"/>
  <c r="P622" i="6" s="1"/>
  <c r="N622" i="6"/>
  <c r="Q622" i="6"/>
  <c r="R622" i="6"/>
  <c r="U622" i="6" s="1"/>
  <c r="S622" i="6"/>
  <c r="T622" i="6"/>
  <c r="O623" i="6"/>
  <c r="P623" i="6"/>
  <c r="T623" i="6"/>
  <c r="U623" i="6"/>
  <c r="O624" i="6"/>
  <c r="P624" i="6"/>
  <c r="T624" i="6"/>
  <c r="U624" i="6"/>
  <c r="I626" i="6"/>
  <c r="K631" i="6" s="1"/>
  <c r="I627" i="6"/>
  <c r="K627" i="6" s="1"/>
  <c r="I628" i="6"/>
  <c r="K628" i="6" s="1"/>
  <c r="J632" i="6"/>
  <c r="J626" i="6" s="1"/>
  <c r="J615" i="6" s="1"/>
  <c r="I635" i="6"/>
  <c r="K635" i="6" s="1"/>
  <c r="J636" i="6"/>
  <c r="J635" i="6" s="1"/>
  <c r="L643" i="6"/>
  <c r="M643" i="6"/>
  <c r="P643" i="6" s="1"/>
  <c r="N643" i="6"/>
  <c r="Q643" i="6"/>
  <c r="R643" i="6"/>
  <c r="S643" i="6"/>
  <c r="L644" i="6"/>
  <c r="O644" i="6" s="1"/>
  <c r="M644" i="6"/>
  <c r="P644" i="6" s="1"/>
  <c r="N644" i="6"/>
  <c r="N642" i="6" s="1"/>
  <c r="L645" i="6"/>
  <c r="M645" i="6"/>
  <c r="N645" i="6"/>
  <c r="O645" i="6"/>
  <c r="P645" i="6"/>
  <c r="O646" i="6"/>
  <c r="P646" i="6"/>
  <c r="T646" i="6"/>
  <c r="U646" i="6"/>
  <c r="O647" i="6"/>
  <c r="P647" i="6"/>
  <c r="Q647" i="6"/>
  <c r="Q645" i="6" s="1"/>
  <c r="T645" i="6" s="1"/>
  <c r="R647" i="6"/>
  <c r="S647" i="6"/>
  <c r="S644" i="6" s="1"/>
  <c r="S642" i="6" s="1"/>
  <c r="L648" i="6"/>
  <c r="O648" i="6" s="1"/>
  <c r="M648" i="6"/>
  <c r="P648" i="6" s="1"/>
  <c r="N648" i="6"/>
  <c r="Q648" i="6"/>
  <c r="T648" i="6" s="1"/>
  <c r="R648" i="6"/>
  <c r="U648" i="6" s="1"/>
  <c r="S648" i="6"/>
  <c r="O649" i="6"/>
  <c r="P649" i="6"/>
  <c r="T649" i="6"/>
  <c r="U649" i="6"/>
  <c r="O650" i="6"/>
  <c r="P650" i="6"/>
  <c r="T650" i="6"/>
  <c r="U650" i="6"/>
  <c r="I652" i="6"/>
  <c r="K652" i="6" s="1"/>
  <c r="J652" i="6"/>
  <c r="I653" i="6"/>
  <c r="K653" i="6" s="1"/>
  <c r="J653" i="6"/>
  <c r="I654" i="6"/>
  <c r="K654" i="6" s="1"/>
  <c r="J654" i="6"/>
  <c r="I657" i="6"/>
  <c r="I660" i="6"/>
  <c r="I661" i="6"/>
  <c r="K661" i="6" s="1"/>
  <c r="J661" i="6"/>
  <c r="J671" i="6"/>
  <c r="J672" i="6"/>
  <c r="I673" i="6"/>
  <c r="K673" i="6" s="1"/>
  <c r="J673" i="6"/>
  <c r="I674" i="6"/>
  <c r="K674" i="6" s="1"/>
  <c r="I675" i="6"/>
  <c r="K675" i="6" s="1"/>
  <c r="I676" i="6"/>
  <c r="K676" i="6" s="1"/>
  <c r="J676" i="6"/>
  <c r="J677" i="6"/>
  <c r="I678" i="6"/>
  <c r="K678" i="6" s="1"/>
  <c r="J678" i="6"/>
  <c r="I679" i="6"/>
  <c r="K679" i="6" s="1"/>
  <c r="J679" i="6"/>
  <c r="J680" i="6"/>
  <c r="I681" i="6"/>
  <c r="K681" i="6" s="1"/>
  <c r="J681" i="6"/>
  <c r="I682" i="6"/>
  <c r="K682" i="6" s="1"/>
  <c r="J682" i="6"/>
  <c r="L691" i="6"/>
  <c r="L690" i="6" s="1"/>
  <c r="O690" i="6" s="1"/>
  <c r="M691" i="6"/>
  <c r="N691" i="6"/>
  <c r="P691" i="6"/>
  <c r="Q691" i="6"/>
  <c r="R691" i="6"/>
  <c r="S691" i="6"/>
  <c r="L692" i="6"/>
  <c r="O692" i="6" s="1"/>
  <c r="M692" i="6"/>
  <c r="P692" i="6" s="1"/>
  <c r="N692" i="6"/>
  <c r="N690" i="6" s="1"/>
  <c r="L693" i="6"/>
  <c r="M693" i="6"/>
  <c r="N693" i="6"/>
  <c r="O693" i="6"/>
  <c r="P693" i="6"/>
  <c r="O694" i="6"/>
  <c r="P694" i="6"/>
  <c r="T694" i="6"/>
  <c r="U694" i="6"/>
  <c r="O695" i="6"/>
  <c r="P695" i="6"/>
  <c r="Q695" i="6"/>
  <c r="Q693" i="6" s="1"/>
  <c r="T693" i="6" s="1"/>
  <c r="R695" i="6"/>
  <c r="R693" i="6" s="1"/>
  <c r="U693" i="6" s="1"/>
  <c r="S695" i="6"/>
  <c r="S692" i="6" s="1"/>
  <c r="S690" i="6" s="1"/>
  <c r="L696" i="6"/>
  <c r="O696" i="6" s="1"/>
  <c r="M696" i="6"/>
  <c r="P696" i="6" s="1"/>
  <c r="N696" i="6"/>
  <c r="Q696" i="6"/>
  <c r="T696" i="6" s="1"/>
  <c r="R696" i="6"/>
  <c r="U696" i="6" s="1"/>
  <c r="S696" i="6"/>
  <c r="O697" i="6"/>
  <c r="P697" i="6"/>
  <c r="T697" i="6"/>
  <c r="U697" i="6"/>
  <c r="O698" i="6"/>
  <c r="P698" i="6"/>
  <c r="T698" i="6"/>
  <c r="U698" i="6"/>
  <c r="I700" i="6"/>
  <c r="K700" i="6" s="1"/>
  <c r="K702" i="6"/>
  <c r="I703" i="6"/>
  <c r="J703" i="6"/>
  <c r="J704" i="6"/>
  <c r="K704" i="6"/>
  <c r="I705" i="6"/>
  <c r="K705" i="6" s="1"/>
  <c r="J705" i="6"/>
  <c r="J706" i="6"/>
  <c r="K706" i="6"/>
  <c r="I707" i="6"/>
  <c r="J707" i="6"/>
  <c r="J689" i="6" s="1"/>
  <c r="J708" i="6"/>
  <c r="K708" i="6"/>
  <c r="I709" i="6"/>
  <c r="K709" i="6" s="1"/>
  <c r="J709" i="6"/>
  <c r="J710" i="6"/>
  <c r="K710" i="6"/>
  <c r="J712" i="6"/>
  <c r="K712" i="6"/>
  <c r="M714" i="6"/>
  <c r="P714" i="6" s="1"/>
  <c r="L715" i="6"/>
  <c r="O715" i="6" s="1"/>
  <c r="M715" i="6"/>
  <c r="P715" i="6" s="1"/>
  <c r="N715" i="6"/>
  <c r="N714" i="6" s="1"/>
  <c r="Q715" i="6"/>
  <c r="R715" i="6"/>
  <c r="S715" i="6"/>
  <c r="S714" i="6" s="1"/>
  <c r="T715" i="6"/>
  <c r="U715" i="6"/>
  <c r="L716" i="6"/>
  <c r="O716" i="6" s="1"/>
  <c r="M716" i="6"/>
  <c r="N716" i="6"/>
  <c r="P716" i="6"/>
  <c r="Q716" i="6"/>
  <c r="T716" i="6" s="1"/>
  <c r="R716" i="6"/>
  <c r="U716" i="6" s="1"/>
  <c r="S716" i="6"/>
  <c r="L717" i="6"/>
  <c r="O717" i="6" s="1"/>
  <c r="M717" i="6"/>
  <c r="P717" i="6" s="1"/>
  <c r="N717" i="6"/>
  <c r="Q717" i="6"/>
  <c r="R717" i="6"/>
  <c r="U717" i="6" s="1"/>
  <c r="S717" i="6"/>
  <c r="T717" i="6"/>
  <c r="O718" i="6"/>
  <c r="P718" i="6"/>
  <c r="T718" i="6"/>
  <c r="U718" i="6"/>
  <c r="O719" i="6"/>
  <c r="P719" i="6"/>
  <c r="T719" i="6"/>
  <c r="U719" i="6"/>
  <c r="L720" i="6"/>
  <c r="O720" i="6" s="1"/>
  <c r="M720" i="6"/>
  <c r="P720" i="6" s="1"/>
  <c r="N720" i="6"/>
  <c r="Q720" i="6"/>
  <c r="R720" i="6"/>
  <c r="U720" i="6" s="1"/>
  <c r="S720" i="6"/>
  <c r="T720" i="6"/>
  <c r="O721" i="6"/>
  <c r="P721" i="6"/>
  <c r="T721" i="6"/>
  <c r="U721" i="6"/>
  <c r="O722" i="6"/>
  <c r="P722" i="6"/>
  <c r="T722" i="6"/>
  <c r="U722" i="6"/>
  <c r="I726" i="6"/>
  <c r="J726" i="6"/>
  <c r="I727" i="6"/>
  <c r="J727" i="6"/>
  <c r="N728" i="6"/>
  <c r="L729" i="6"/>
  <c r="M729" i="6"/>
  <c r="N729" i="6"/>
  <c r="O729" i="6"/>
  <c r="P729" i="6"/>
  <c r="Q729" i="6"/>
  <c r="T729" i="6" s="1"/>
  <c r="R729" i="6"/>
  <c r="S729" i="6"/>
  <c r="U729" i="6"/>
  <c r="L730" i="6"/>
  <c r="O730" i="6" s="1"/>
  <c r="M730" i="6"/>
  <c r="P730" i="6" s="1"/>
  <c r="N730" i="6"/>
  <c r="L731" i="6"/>
  <c r="O731" i="6" s="1"/>
  <c r="M731" i="6"/>
  <c r="P731" i="6" s="1"/>
  <c r="N731" i="6"/>
  <c r="O732" i="6"/>
  <c r="P732" i="6"/>
  <c r="T732" i="6"/>
  <c r="U732" i="6"/>
  <c r="O733" i="6"/>
  <c r="P733" i="6"/>
  <c r="Q733" i="6"/>
  <c r="R733" i="6"/>
  <c r="R730" i="6" s="1"/>
  <c r="S733" i="6"/>
  <c r="S730" i="6" s="1"/>
  <c r="S728" i="6" s="1"/>
  <c r="L734" i="6"/>
  <c r="M734" i="6"/>
  <c r="P734" i="6" s="1"/>
  <c r="N734" i="6"/>
  <c r="O734" i="6"/>
  <c r="Q734" i="6"/>
  <c r="T734" i="6" s="1"/>
  <c r="R734" i="6"/>
  <c r="S734" i="6"/>
  <c r="U734" i="6"/>
  <c r="O735" i="6"/>
  <c r="P735" i="6"/>
  <c r="T735" i="6"/>
  <c r="U735" i="6"/>
  <c r="O736" i="6"/>
  <c r="P736" i="6"/>
  <c r="T736" i="6"/>
  <c r="U736" i="6"/>
  <c r="I740" i="6"/>
  <c r="K740" i="6" s="1"/>
  <c r="I742" i="6"/>
  <c r="K742" i="6" s="1"/>
  <c r="I744" i="6"/>
  <c r="K744" i="6" s="1"/>
  <c r="I746" i="6"/>
  <c r="K746" i="6" s="1"/>
  <c r="I749" i="6"/>
  <c r="K749" i="6" s="1"/>
  <c r="I752" i="6"/>
  <c r="K752" i="6" s="1"/>
  <c r="I755" i="6"/>
  <c r="K755" i="6" s="1"/>
  <c r="J758" i="6"/>
  <c r="J759" i="6"/>
  <c r="L761" i="6"/>
  <c r="O761" i="6" s="1"/>
  <c r="M761" i="6"/>
  <c r="N761" i="6"/>
  <c r="P761" i="6"/>
  <c r="Q761" i="6"/>
  <c r="R761" i="6"/>
  <c r="U761" i="6" s="1"/>
  <c r="S761" i="6"/>
  <c r="L762" i="6"/>
  <c r="O762" i="6" s="1"/>
  <c r="M762" i="6"/>
  <c r="P762" i="6" s="1"/>
  <c r="N762" i="6"/>
  <c r="N760" i="6" s="1"/>
  <c r="L763" i="6"/>
  <c r="O763" i="6" s="1"/>
  <c r="M763" i="6"/>
  <c r="P763" i="6" s="1"/>
  <c r="N763" i="6"/>
  <c r="O764" i="6"/>
  <c r="P764" i="6"/>
  <c r="T764" i="6"/>
  <c r="U764" i="6"/>
  <c r="O765" i="6"/>
  <c r="P765" i="6"/>
  <c r="Q765" i="6"/>
  <c r="Q763" i="6" s="1"/>
  <c r="T763" i="6" s="1"/>
  <c r="R765" i="6"/>
  <c r="S765" i="6"/>
  <c r="L766" i="6"/>
  <c r="O766" i="6" s="1"/>
  <c r="M766" i="6"/>
  <c r="N766" i="6"/>
  <c r="P766" i="6"/>
  <c r="Q766" i="6"/>
  <c r="T766" i="6" s="1"/>
  <c r="R766" i="6"/>
  <c r="U766" i="6" s="1"/>
  <c r="S766" i="6"/>
  <c r="O767" i="6"/>
  <c r="P767" i="6"/>
  <c r="T767" i="6"/>
  <c r="U767" i="6"/>
  <c r="O768" i="6"/>
  <c r="P768" i="6"/>
  <c r="T768" i="6"/>
  <c r="U768" i="6"/>
  <c r="I770" i="6"/>
  <c r="K770" i="6" s="1"/>
  <c r="I772" i="6"/>
  <c r="K772" i="6" s="1"/>
  <c r="I774" i="6"/>
  <c r="K774" i="6" s="1"/>
  <c r="I775" i="6"/>
  <c r="I776" i="6"/>
  <c r="H777" i="6"/>
  <c r="I778" i="6"/>
  <c r="J778" i="6"/>
  <c r="I779" i="6"/>
  <c r="J779" i="6"/>
  <c r="I780" i="6"/>
  <c r="J780" i="6"/>
  <c r="I781" i="6"/>
  <c r="J781" i="6"/>
  <c r="I782" i="6"/>
  <c r="J782" i="6"/>
  <c r="I783" i="6"/>
  <c r="J783" i="6"/>
  <c r="I784" i="6"/>
  <c r="J784" i="6"/>
  <c r="I785" i="6"/>
  <c r="J785" i="6"/>
  <c r="A788" i="6"/>
  <c r="A789" i="6"/>
  <c r="L22" i="5"/>
  <c r="O22" i="5" s="1"/>
  <c r="M22" i="5"/>
  <c r="N22" i="5"/>
  <c r="Q22" i="5"/>
  <c r="T22" i="5" s="1"/>
  <c r="R22" i="5"/>
  <c r="S22" i="5"/>
  <c r="L25" i="5"/>
  <c r="M25" i="5"/>
  <c r="N25" i="5"/>
  <c r="O25" i="5"/>
  <c r="Q25" i="5"/>
  <c r="T25" i="5" s="1"/>
  <c r="R25" i="5"/>
  <c r="S25" i="5"/>
  <c r="U25" i="5"/>
  <c r="L45" i="5"/>
  <c r="O45" i="5" s="1"/>
  <c r="M45" i="5"/>
  <c r="N45" i="5"/>
  <c r="P45" i="5"/>
  <c r="Q45" i="5"/>
  <c r="Q44" i="5" s="1"/>
  <c r="T44" i="5" s="1"/>
  <c r="R45" i="5"/>
  <c r="U45" i="5" s="1"/>
  <c r="S45" i="5"/>
  <c r="Q46" i="5"/>
  <c r="R46" i="5"/>
  <c r="U46" i="5" s="1"/>
  <c r="S46" i="5"/>
  <c r="T46" i="5"/>
  <c r="Q47" i="5"/>
  <c r="R47" i="5"/>
  <c r="U47" i="5" s="1"/>
  <c r="S47" i="5"/>
  <c r="T47" i="5"/>
  <c r="O48" i="5"/>
  <c r="P48" i="5"/>
  <c r="T48" i="5"/>
  <c r="U48" i="5"/>
  <c r="L49" i="5"/>
  <c r="L47" i="5" s="1"/>
  <c r="M49" i="5"/>
  <c r="M47" i="5" s="1"/>
  <c r="N49" i="5"/>
  <c r="N47" i="5" s="1"/>
  <c r="T49" i="5"/>
  <c r="U49" i="5"/>
  <c r="Q50" i="5"/>
  <c r="T50" i="5" s="1"/>
  <c r="R50" i="5"/>
  <c r="U50" i="5" s="1"/>
  <c r="S50" i="5"/>
  <c r="O51" i="5"/>
  <c r="P51" i="5"/>
  <c r="T51" i="5"/>
  <c r="U51" i="5"/>
  <c r="L52" i="5"/>
  <c r="M52" i="5"/>
  <c r="N52" i="5"/>
  <c r="T52" i="5"/>
  <c r="U52" i="5"/>
  <c r="L60" i="5"/>
  <c r="O60" i="5" s="1"/>
  <c r="M60" i="5"/>
  <c r="N60" i="5"/>
  <c r="P60" i="5"/>
  <c r="Q60" i="5"/>
  <c r="R60" i="5"/>
  <c r="U60" i="5" s="1"/>
  <c r="S60" i="5"/>
  <c r="Q61" i="5"/>
  <c r="T61" i="5" s="1"/>
  <c r="R61" i="5"/>
  <c r="U61" i="5" s="1"/>
  <c r="S61" i="5"/>
  <c r="Q62" i="5"/>
  <c r="R62" i="5"/>
  <c r="U62" i="5" s="1"/>
  <c r="S62" i="5"/>
  <c r="T62" i="5"/>
  <c r="O63" i="5"/>
  <c r="P63" i="5"/>
  <c r="T63" i="5"/>
  <c r="U63" i="5"/>
  <c r="L64" i="5"/>
  <c r="M64" i="5"/>
  <c r="N64" i="5"/>
  <c r="N62" i="5" s="1"/>
  <c r="T64" i="5"/>
  <c r="U64" i="5"/>
  <c r="Q65" i="5"/>
  <c r="T65" i="5" s="1"/>
  <c r="R65" i="5"/>
  <c r="S65" i="5"/>
  <c r="U65" i="5"/>
  <c r="O66" i="5"/>
  <c r="P66" i="5"/>
  <c r="T66" i="5"/>
  <c r="U66" i="5"/>
  <c r="L67" i="5"/>
  <c r="L65" i="5" s="1"/>
  <c r="M67" i="5"/>
  <c r="N67" i="5"/>
  <c r="T67" i="5"/>
  <c r="U67" i="5"/>
  <c r="L73" i="5"/>
  <c r="O73" i="5" s="1"/>
  <c r="M73" i="5"/>
  <c r="P73" i="5" s="1"/>
  <c r="N73" i="5"/>
  <c r="Q73" i="5"/>
  <c r="R73" i="5"/>
  <c r="U73" i="5" s="1"/>
  <c r="S73" i="5"/>
  <c r="T73" i="5"/>
  <c r="O76" i="5"/>
  <c r="P76" i="5"/>
  <c r="T76" i="5"/>
  <c r="U76" i="5"/>
  <c r="L77" i="5"/>
  <c r="L75" i="5" s="1"/>
  <c r="O75" i="5" s="1"/>
  <c r="M77" i="5"/>
  <c r="M75" i="5" s="1"/>
  <c r="P75" i="5" s="1"/>
  <c r="N77" i="5"/>
  <c r="N75" i="5" s="1"/>
  <c r="Q77" i="5"/>
  <c r="R77" i="5"/>
  <c r="S77" i="5"/>
  <c r="S75" i="5" s="1"/>
  <c r="O79" i="5"/>
  <c r="P79" i="5"/>
  <c r="T79" i="5"/>
  <c r="U79" i="5"/>
  <c r="L80" i="5"/>
  <c r="O80" i="5" s="1"/>
  <c r="M80" i="5"/>
  <c r="M78" i="5" s="1"/>
  <c r="P78" i="5" s="1"/>
  <c r="N80" i="5"/>
  <c r="N78" i="5" s="1"/>
  <c r="Q80" i="5"/>
  <c r="R80" i="5"/>
  <c r="R78" i="5" s="1"/>
  <c r="U78" i="5" s="1"/>
  <c r="S80" i="5"/>
  <c r="S78" i="5" s="1"/>
  <c r="J82" i="5"/>
  <c r="J70" i="5" s="1"/>
  <c r="J83" i="5"/>
  <c r="J71" i="5" s="1"/>
  <c r="I84" i="5"/>
  <c r="K84" i="5" s="1"/>
  <c r="I85" i="5"/>
  <c r="K85" i="5" s="1"/>
  <c r="I86" i="5"/>
  <c r="K86" i="5" s="1"/>
  <c r="I87" i="5"/>
  <c r="K87" i="5" s="1"/>
  <c r="I88" i="5"/>
  <c r="K88" i="5" s="1"/>
  <c r="I89" i="5"/>
  <c r="K89" i="5" s="1"/>
  <c r="I90" i="5"/>
  <c r="K90" i="5" s="1"/>
  <c r="J92" i="5"/>
  <c r="J93" i="5"/>
  <c r="L95" i="5"/>
  <c r="M95" i="5"/>
  <c r="P95" i="5" s="1"/>
  <c r="N95" i="5"/>
  <c r="Q95" i="5"/>
  <c r="R95" i="5"/>
  <c r="S95" i="5"/>
  <c r="T95" i="5"/>
  <c r="O98" i="5"/>
  <c r="P98" i="5"/>
  <c r="T98" i="5"/>
  <c r="U98" i="5"/>
  <c r="L99" i="5"/>
  <c r="O99" i="5" s="1"/>
  <c r="M99" i="5"/>
  <c r="M97" i="5" s="1"/>
  <c r="P97" i="5" s="1"/>
  <c r="N99" i="5"/>
  <c r="N97" i="5" s="1"/>
  <c r="Q99" i="5"/>
  <c r="Q97" i="5" s="1"/>
  <c r="T97" i="5" s="1"/>
  <c r="R99" i="5"/>
  <c r="U99" i="5" s="1"/>
  <c r="S99" i="5"/>
  <c r="S97" i="5" s="1"/>
  <c r="Q100" i="5"/>
  <c r="R100" i="5"/>
  <c r="U100" i="5" s="1"/>
  <c r="S100" i="5"/>
  <c r="T100" i="5"/>
  <c r="O101" i="5"/>
  <c r="P101" i="5"/>
  <c r="T101" i="5"/>
  <c r="U101" i="5"/>
  <c r="L102" i="5"/>
  <c r="O102" i="5" s="1"/>
  <c r="M102" i="5"/>
  <c r="M100" i="5" s="1"/>
  <c r="P100" i="5" s="1"/>
  <c r="N102" i="5"/>
  <c r="N100" i="5" s="1"/>
  <c r="T102" i="5"/>
  <c r="U102" i="5"/>
  <c r="I108" i="5"/>
  <c r="I109" i="5"/>
  <c r="I114" i="5"/>
  <c r="K114" i="5" s="1"/>
  <c r="J116" i="5"/>
  <c r="L118" i="5"/>
  <c r="M118" i="5"/>
  <c r="P118" i="5" s="1"/>
  <c r="N118" i="5"/>
  <c r="Q118" i="5"/>
  <c r="R118" i="5"/>
  <c r="S118" i="5"/>
  <c r="T118" i="5"/>
  <c r="O121" i="5"/>
  <c r="P121" i="5"/>
  <c r="T121" i="5"/>
  <c r="U121" i="5"/>
  <c r="L122" i="5"/>
  <c r="M122" i="5"/>
  <c r="N122" i="5"/>
  <c r="N120" i="5" s="1"/>
  <c r="Q122" i="5"/>
  <c r="R122" i="5"/>
  <c r="S122" i="5"/>
  <c r="S120" i="5" s="1"/>
  <c r="O124" i="5"/>
  <c r="P124" i="5"/>
  <c r="T124" i="5"/>
  <c r="U124" i="5"/>
  <c r="L125" i="5"/>
  <c r="O125" i="5" s="1"/>
  <c r="M125" i="5"/>
  <c r="N125" i="5"/>
  <c r="N123" i="5" s="1"/>
  <c r="Q125" i="5"/>
  <c r="Q123" i="5" s="1"/>
  <c r="T123" i="5" s="1"/>
  <c r="R125" i="5"/>
  <c r="U125" i="5" s="1"/>
  <c r="S125" i="5"/>
  <c r="S123" i="5" s="1"/>
  <c r="I127" i="5"/>
  <c r="K127" i="5" s="1"/>
  <c r="I128" i="5"/>
  <c r="K128" i="5" s="1"/>
  <c r="I129" i="5"/>
  <c r="K129" i="5" s="1"/>
  <c r="I130" i="5"/>
  <c r="K130" i="5" s="1"/>
  <c r="J136" i="5"/>
  <c r="J137" i="5"/>
  <c r="J138" i="5"/>
  <c r="L140" i="5"/>
  <c r="M140" i="5"/>
  <c r="N140" i="5"/>
  <c r="O140" i="5"/>
  <c r="Q140" i="5"/>
  <c r="T140" i="5" s="1"/>
  <c r="R140" i="5"/>
  <c r="U140" i="5" s="1"/>
  <c r="S140" i="5"/>
  <c r="O143" i="5"/>
  <c r="P143" i="5"/>
  <c r="T143" i="5"/>
  <c r="U143" i="5"/>
  <c r="L144" i="5"/>
  <c r="L142" i="5" s="1"/>
  <c r="M144" i="5"/>
  <c r="N144" i="5"/>
  <c r="N142" i="5" s="1"/>
  <c r="Q144" i="5"/>
  <c r="Q142" i="5" s="1"/>
  <c r="R144" i="5"/>
  <c r="R142" i="5" s="1"/>
  <c r="S144" i="5"/>
  <c r="S142" i="5" s="1"/>
  <c r="O146" i="5"/>
  <c r="P146" i="5"/>
  <c r="T146" i="5"/>
  <c r="U146" i="5"/>
  <c r="L147" i="5"/>
  <c r="M147" i="5"/>
  <c r="P147" i="5" s="1"/>
  <c r="N147" i="5"/>
  <c r="N145" i="5" s="1"/>
  <c r="Q147" i="5"/>
  <c r="R147" i="5"/>
  <c r="S147" i="5"/>
  <c r="S145" i="5" s="1"/>
  <c r="I150" i="5"/>
  <c r="K150" i="5" s="1"/>
  <c r="I151" i="5"/>
  <c r="K151" i="5" s="1"/>
  <c r="I152" i="5"/>
  <c r="I153" i="5"/>
  <c r="I138" i="5" s="1"/>
  <c r="I154" i="5"/>
  <c r="I136" i="5" s="1"/>
  <c r="K136" i="5" s="1"/>
  <c r="J156" i="5"/>
  <c r="L158" i="5"/>
  <c r="M158" i="5"/>
  <c r="N158" i="5"/>
  <c r="P158" i="5"/>
  <c r="Q158" i="5"/>
  <c r="T158" i="5" s="1"/>
  <c r="R158" i="5"/>
  <c r="S158" i="5"/>
  <c r="O161" i="5"/>
  <c r="P161" i="5"/>
  <c r="T161" i="5"/>
  <c r="U161" i="5"/>
  <c r="L162" i="5"/>
  <c r="O162" i="5" s="1"/>
  <c r="M162" i="5"/>
  <c r="P162" i="5" s="1"/>
  <c r="N162" i="5"/>
  <c r="N160" i="5" s="1"/>
  <c r="Q162" i="5"/>
  <c r="Q160" i="5" s="1"/>
  <c r="T160" i="5" s="1"/>
  <c r="R162" i="5"/>
  <c r="U162" i="5" s="1"/>
  <c r="S162" i="5"/>
  <c r="Q163" i="5"/>
  <c r="R163" i="5"/>
  <c r="U163" i="5" s="1"/>
  <c r="S163" i="5"/>
  <c r="T163" i="5"/>
  <c r="O164" i="5"/>
  <c r="P164" i="5"/>
  <c r="T164" i="5"/>
  <c r="U164" i="5"/>
  <c r="L165" i="5"/>
  <c r="O165" i="5" s="1"/>
  <c r="M165" i="5"/>
  <c r="M163" i="5" s="1"/>
  <c r="P163" i="5" s="1"/>
  <c r="N165" i="5"/>
  <c r="N163" i="5" s="1"/>
  <c r="T165" i="5"/>
  <c r="U165" i="5"/>
  <c r="I167" i="5"/>
  <c r="K167" i="5" s="1"/>
  <c r="I168" i="5"/>
  <c r="K168" i="5" s="1"/>
  <c r="I169" i="5"/>
  <c r="J172" i="5"/>
  <c r="L174" i="5"/>
  <c r="O174" i="5" s="1"/>
  <c r="M174" i="5"/>
  <c r="N174" i="5"/>
  <c r="Q174" i="5"/>
  <c r="T174" i="5" s="1"/>
  <c r="R174" i="5"/>
  <c r="U174" i="5" s="1"/>
  <c r="S174" i="5"/>
  <c r="O177" i="5"/>
  <c r="P177" i="5"/>
  <c r="T177" i="5"/>
  <c r="U177" i="5"/>
  <c r="L178" i="5"/>
  <c r="M178" i="5"/>
  <c r="N178" i="5"/>
  <c r="N176" i="5" s="1"/>
  <c r="Q178" i="5"/>
  <c r="R178" i="5"/>
  <c r="U178" i="5" s="1"/>
  <c r="S178" i="5"/>
  <c r="S175" i="5" s="1"/>
  <c r="Q179" i="5"/>
  <c r="R179" i="5"/>
  <c r="S179" i="5"/>
  <c r="T179" i="5"/>
  <c r="U179" i="5"/>
  <c r="O180" i="5"/>
  <c r="P180" i="5"/>
  <c r="T180" i="5"/>
  <c r="U180" i="5"/>
  <c r="L181" i="5"/>
  <c r="M181" i="5"/>
  <c r="N181" i="5"/>
  <c r="N179" i="5" s="1"/>
  <c r="T181" i="5"/>
  <c r="U181" i="5"/>
  <c r="I183" i="5"/>
  <c r="K184" i="5"/>
  <c r="L187" i="5"/>
  <c r="M187" i="5"/>
  <c r="N187" i="5"/>
  <c r="O187" i="5"/>
  <c r="P187" i="5"/>
  <c r="Q187" i="5"/>
  <c r="R187" i="5"/>
  <c r="S187" i="5"/>
  <c r="U187" i="5"/>
  <c r="O190" i="5"/>
  <c r="P190" i="5"/>
  <c r="T190" i="5"/>
  <c r="U190" i="5"/>
  <c r="L191" i="5"/>
  <c r="M191" i="5"/>
  <c r="M189" i="5" s="1"/>
  <c r="N191" i="5"/>
  <c r="N189" i="5" s="1"/>
  <c r="Q191" i="5"/>
  <c r="R191" i="5"/>
  <c r="S191" i="5"/>
  <c r="S189" i="5" s="1"/>
  <c r="O193" i="5"/>
  <c r="P193" i="5"/>
  <c r="T193" i="5"/>
  <c r="U193" i="5"/>
  <c r="L194" i="5"/>
  <c r="O194" i="5" s="1"/>
  <c r="M194" i="5"/>
  <c r="N194" i="5"/>
  <c r="N192" i="5" s="1"/>
  <c r="Q194" i="5"/>
  <c r="T194" i="5" s="1"/>
  <c r="R194" i="5"/>
  <c r="U194" i="5" s="1"/>
  <c r="S194" i="5"/>
  <c r="S192" i="5" s="1"/>
  <c r="J195" i="5"/>
  <c r="L196" i="5"/>
  <c r="O196" i="5" s="1"/>
  <c r="N196" i="5"/>
  <c r="P196" i="5"/>
  <c r="I198" i="5"/>
  <c r="K198" i="5" s="1"/>
  <c r="J200" i="5"/>
  <c r="J199" i="5" s="1"/>
  <c r="J202" i="5"/>
  <c r="N203" i="5"/>
  <c r="P203" i="5"/>
  <c r="S203" i="5"/>
  <c r="U203" i="5"/>
  <c r="L204" i="5"/>
  <c r="L205" i="5"/>
  <c r="L206" i="5"/>
  <c r="Q206" i="5"/>
  <c r="Q203" i="5" s="1"/>
  <c r="T203" i="5" s="1"/>
  <c r="L207" i="5"/>
  <c r="I209" i="5"/>
  <c r="K209" i="5" s="1"/>
  <c r="I211" i="5"/>
  <c r="K211" i="5" s="1"/>
  <c r="I212" i="5"/>
  <c r="K212" i="5" s="1"/>
  <c r="J213" i="5"/>
  <c r="N214" i="5"/>
  <c r="P214" i="5"/>
  <c r="S214" i="5"/>
  <c r="U214" i="5"/>
  <c r="L215" i="5"/>
  <c r="L216" i="5"/>
  <c r="L217" i="5"/>
  <c r="Q217" i="5"/>
  <c r="Q214" i="5" s="1"/>
  <c r="T214" i="5" s="1"/>
  <c r="I219" i="5"/>
  <c r="K219" i="5" s="1"/>
  <c r="I220" i="5"/>
  <c r="I213" i="5" s="1"/>
  <c r="K213" i="5" s="1"/>
  <c r="J221" i="5"/>
  <c r="N222" i="5"/>
  <c r="P222" i="5"/>
  <c r="L223" i="5"/>
  <c r="L224" i="5"/>
  <c r="L225" i="5"/>
  <c r="I228" i="5"/>
  <c r="K228" i="5" s="1"/>
  <c r="I229" i="5"/>
  <c r="I230" i="5"/>
  <c r="N235" i="5"/>
  <c r="J238" i="5"/>
  <c r="J240" i="5"/>
  <c r="J241" i="5"/>
  <c r="J242" i="5"/>
  <c r="P243" i="5"/>
  <c r="L244" i="5"/>
  <c r="N244" i="5"/>
  <c r="N233" i="5" s="1"/>
  <c r="L245" i="5"/>
  <c r="N245" i="5"/>
  <c r="N234" i="5" s="1"/>
  <c r="L246" i="5"/>
  <c r="L247" i="5"/>
  <c r="N247" i="5"/>
  <c r="N236" i="5" s="1"/>
  <c r="I249" i="5"/>
  <c r="I251" i="5"/>
  <c r="I240" i="5" s="1"/>
  <c r="K240" i="5" s="1"/>
  <c r="I252" i="5"/>
  <c r="J253" i="5"/>
  <c r="J231" i="5" s="1"/>
  <c r="J185" i="5" s="1"/>
  <c r="N254" i="5"/>
  <c r="P254" i="5"/>
  <c r="L255" i="5"/>
  <c r="L256" i="5"/>
  <c r="L257" i="5"/>
  <c r="L258" i="5"/>
  <c r="I260" i="5"/>
  <c r="I253" i="5" s="1"/>
  <c r="K253" i="5" s="1"/>
  <c r="K262" i="5"/>
  <c r="K263" i="5"/>
  <c r="J265" i="5"/>
  <c r="L267" i="5"/>
  <c r="M267" i="5"/>
  <c r="P267" i="5" s="1"/>
  <c r="N267" i="5"/>
  <c r="Q267" i="5"/>
  <c r="R267" i="5"/>
  <c r="S267" i="5"/>
  <c r="T267" i="5"/>
  <c r="O270" i="5"/>
  <c r="P270" i="5"/>
  <c r="T270" i="5"/>
  <c r="U270" i="5"/>
  <c r="L271" i="5"/>
  <c r="L269" i="5" s="1"/>
  <c r="M271" i="5"/>
  <c r="N271" i="5"/>
  <c r="Q271" i="5"/>
  <c r="R271" i="5"/>
  <c r="S271" i="5"/>
  <c r="S268" i="5" s="1"/>
  <c r="Q272" i="5"/>
  <c r="T272" i="5" s="1"/>
  <c r="R272" i="5"/>
  <c r="U272" i="5" s="1"/>
  <c r="S272" i="5"/>
  <c r="O273" i="5"/>
  <c r="P273" i="5"/>
  <c r="T273" i="5"/>
  <c r="U273" i="5"/>
  <c r="L274" i="5"/>
  <c r="O274" i="5" s="1"/>
  <c r="M274" i="5"/>
  <c r="M272" i="5" s="1"/>
  <c r="P272" i="5" s="1"/>
  <c r="N274" i="5"/>
  <c r="N272" i="5" s="1"/>
  <c r="T274" i="5"/>
  <c r="U274" i="5"/>
  <c r="I276" i="5"/>
  <c r="J280" i="5"/>
  <c r="J281" i="5"/>
  <c r="L283" i="5"/>
  <c r="M283" i="5"/>
  <c r="N283" i="5"/>
  <c r="O283" i="5"/>
  <c r="Q283" i="5"/>
  <c r="R283" i="5"/>
  <c r="S283" i="5"/>
  <c r="U283" i="5"/>
  <c r="Q284" i="5"/>
  <c r="T284" i="5" s="1"/>
  <c r="R284" i="5"/>
  <c r="S284" i="5"/>
  <c r="Q285" i="5"/>
  <c r="T285" i="5" s="1"/>
  <c r="R285" i="5"/>
  <c r="U285" i="5" s="1"/>
  <c r="S285" i="5"/>
  <c r="O286" i="5"/>
  <c r="P286" i="5"/>
  <c r="T286" i="5"/>
  <c r="U286" i="5"/>
  <c r="L287" i="5"/>
  <c r="M287" i="5"/>
  <c r="M285" i="5" s="1"/>
  <c r="P285" i="5" s="1"/>
  <c r="N287" i="5"/>
  <c r="N285" i="5" s="1"/>
  <c r="T287" i="5"/>
  <c r="U287" i="5"/>
  <c r="Q288" i="5"/>
  <c r="R288" i="5"/>
  <c r="S288" i="5"/>
  <c r="T288" i="5"/>
  <c r="U288" i="5"/>
  <c r="O289" i="5"/>
  <c r="P289" i="5"/>
  <c r="T289" i="5"/>
  <c r="U289" i="5"/>
  <c r="L290" i="5"/>
  <c r="M290" i="5"/>
  <c r="P290" i="5" s="1"/>
  <c r="N290" i="5"/>
  <c r="N288" i="5" s="1"/>
  <c r="T290" i="5"/>
  <c r="U290" i="5"/>
  <c r="I292" i="5"/>
  <c r="K292" i="5" s="1"/>
  <c r="I293" i="5"/>
  <c r="I280" i="5" s="1"/>
  <c r="K280" i="5" s="1"/>
  <c r="J293" i="5"/>
  <c r="I295" i="5"/>
  <c r="K295" i="5" s="1"/>
  <c r="I296" i="5"/>
  <c r="K296" i="5" s="1"/>
  <c r="J302" i="5"/>
  <c r="L304" i="5"/>
  <c r="O304" i="5" s="1"/>
  <c r="M304" i="5"/>
  <c r="N304" i="5"/>
  <c r="Q304" i="5"/>
  <c r="R304" i="5"/>
  <c r="U304" i="5" s="1"/>
  <c r="S304" i="5"/>
  <c r="T304" i="5"/>
  <c r="O307" i="5"/>
  <c r="P307" i="5"/>
  <c r="T307" i="5"/>
  <c r="U307" i="5"/>
  <c r="L308" i="5"/>
  <c r="M308" i="5"/>
  <c r="N308" i="5"/>
  <c r="N306" i="5" s="1"/>
  <c r="Q308" i="5"/>
  <c r="R308" i="5"/>
  <c r="S308" i="5"/>
  <c r="S305" i="5" s="1"/>
  <c r="Q309" i="5"/>
  <c r="T309" i="5" s="1"/>
  <c r="R309" i="5"/>
  <c r="U309" i="5" s="1"/>
  <c r="S309" i="5"/>
  <c r="O310" i="5"/>
  <c r="P310" i="5"/>
  <c r="T310" i="5"/>
  <c r="U310" i="5"/>
  <c r="L311" i="5"/>
  <c r="M311" i="5"/>
  <c r="N311" i="5"/>
  <c r="N309" i="5" s="1"/>
  <c r="T311" i="5"/>
  <c r="U311" i="5"/>
  <c r="I314" i="5"/>
  <c r="I302" i="5" s="1"/>
  <c r="K302" i="5" s="1"/>
  <c r="J319" i="5"/>
  <c r="L321" i="5"/>
  <c r="O321" i="5" s="1"/>
  <c r="M321" i="5"/>
  <c r="N321" i="5"/>
  <c r="Q321" i="5"/>
  <c r="T321" i="5" s="1"/>
  <c r="R321" i="5"/>
  <c r="U321" i="5" s="1"/>
  <c r="S321" i="5"/>
  <c r="Q322" i="5"/>
  <c r="T322" i="5" s="1"/>
  <c r="R322" i="5"/>
  <c r="U322" i="5" s="1"/>
  <c r="S322" i="5"/>
  <c r="Q323" i="5"/>
  <c r="T323" i="5" s="1"/>
  <c r="R323" i="5"/>
  <c r="U323" i="5" s="1"/>
  <c r="S323" i="5"/>
  <c r="O324" i="5"/>
  <c r="P324" i="5"/>
  <c r="T324" i="5"/>
  <c r="U324" i="5"/>
  <c r="L325" i="5"/>
  <c r="L323" i="5" s="1"/>
  <c r="O323" i="5" s="1"/>
  <c r="M325" i="5"/>
  <c r="M323" i="5" s="1"/>
  <c r="P323" i="5" s="1"/>
  <c r="N325" i="5"/>
  <c r="T325" i="5"/>
  <c r="U325" i="5"/>
  <c r="Q326" i="5"/>
  <c r="T326" i="5" s="1"/>
  <c r="R326" i="5"/>
  <c r="U326" i="5" s="1"/>
  <c r="S326" i="5"/>
  <c r="O327" i="5"/>
  <c r="P327" i="5"/>
  <c r="T327" i="5"/>
  <c r="U327" i="5"/>
  <c r="L328" i="5"/>
  <c r="O328" i="5" s="1"/>
  <c r="M328" i="5"/>
  <c r="N328" i="5"/>
  <c r="N326" i="5" s="1"/>
  <c r="T328" i="5"/>
  <c r="U328" i="5"/>
  <c r="I330" i="5"/>
  <c r="K330" i="5" s="1"/>
  <c r="L334" i="5"/>
  <c r="O334" i="5" s="1"/>
  <c r="M334" i="5"/>
  <c r="P334" i="5" s="1"/>
  <c r="N334" i="5"/>
  <c r="Q334" i="5"/>
  <c r="R334" i="5"/>
  <c r="S334" i="5"/>
  <c r="S333" i="5" s="1"/>
  <c r="T334" i="5"/>
  <c r="Q335" i="5"/>
  <c r="R335" i="5"/>
  <c r="S335" i="5"/>
  <c r="T335" i="5"/>
  <c r="U335" i="5"/>
  <c r="Q336" i="5"/>
  <c r="T336" i="5" s="1"/>
  <c r="R336" i="5"/>
  <c r="U336" i="5" s="1"/>
  <c r="S336" i="5"/>
  <c r="O337" i="5"/>
  <c r="P337" i="5"/>
  <c r="T337" i="5"/>
  <c r="U337" i="5"/>
  <c r="L338" i="5"/>
  <c r="M338" i="5"/>
  <c r="M336" i="5" s="1"/>
  <c r="N338" i="5"/>
  <c r="T338" i="5"/>
  <c r="U338" i="5"/>
  <c r="Q339" i="5"/>
  <c r="T339" i="5" s="1"/>
  <c r="R339" i="5"/>
  <c r="U339" i="5" s="1"/>
  <c r="S339" i="5"/>
  <c r="O340" i="5"/>
  <c r="P340" i="5"/>
  <c r="T340" i="5"/>
  <c r="U340" i="5"/>
  <c r="L341" i="5"/>
  <c r="M341" i="5"/>
  <c r="P341" i="5" s="1"/>
  <c r="N341" i="5"/>
  <c r="N339" i="5" s="1"/>
  <c r="T341" i="5"/>
  <c r="U341" i="5"/>
  <c r="I344" i="5"/>
  <c r="J344" i="5"/>
  <c r="I346" i="5"/>
  <c r="J346" i="5"/>
  <c r="J347" i="5"/>
  <c r="J348" i="5"/>
  <c r="J349" i="5"/>
  <c r="D350" i="5"/>
  <c r="J352" i="5"/>
  <c r="J353" i="5"/>
  <c r="D354" i="5"/>
  <c r="L357" i="5"/>
  <c r="M357" i="5"/>
  <c r="N357" i="5"/>
  <c r="P357" i="5"/>
  <c r="Q357" i="5"/>
  <c r="R357" i="5"/>
  <c r="U357" i="5" s="1"/>
  <c r="S357" i="5"/>
  <c r="Q358" i="5"/>
  <c r="T358" i="5" s="1"/>
  <c r="R358" i="5"/>
  <c r="U358" i="5" s="1"/>
  <c r="S358" i="5"/>
  <c r="S356" i="5" s="1"/>
  <c r="Q359" i="5"/>
  <c r="R359" i="5"/>
  <c r="S359" i="5"/>
  <c r="T359" i="5"/>
  <c r="U359" i="5"/>
  <c r="O360" i="5"/>
  <c r="P360" i="5"/>
  <c r="T360" i="5"/>
  <c r="U360" i="5"/>
  <c r="L361" i="5"/>
  <c r="M361" i="5"/>
  <c r="N361" i="5"/>
  <c r="T361" i="5"/>
  <c r="U361" i="5"/>
  <c r="Q362" i="5"/>
  <c r="T362" i="5" s="1"/>
  <c r="R362" i="5"/>
  <c r="U362" i="5" s="1"/>
  <c r="S362" i="5"/>
  <c r="O363" i="5"/>
  <c r="P363" i="5"/>
  <c r="T363" i="5"/>
  <c r="U363" i="5"/>
  <c r="L364" i="5"/>
  <c r="M364" i="5"/>
  <c r="P364" i="5" s="1"/>
  <c r="N364" i="5"/>
  <c r="N362" i="5" s="1"/>
  <c r="T364" i="5"/>
  <c r="U364" i="5"/>
  <c r="J367" i="5"/>
  <c r="K367" i="5"/>
  <c r="I368" i="5"/>
  <c r="J368" i="5"/>
  <c r="I369" i="5"/>
  <c r="J369" i="5"/>
  <c r="J370" i="5"/>
  <c r="K370" i="5"/>
  <c r="I371" i="5"/>
  <c r="I365" i="5" s="1"/>
  <c r="J371" i="5"/>
  <c r="J372" i="5"/>
  <c r="K372" i="5"/>
  <c r="D373" i="5"/>
  <c r="L376" i="5"/>
  <c r="M376" i="5"/>
  <c r="P376" i="5" s="1"/>
  <c r="N376" i="5"/>
  <c r="Q376" i="5"/>
  <c r="T376" i="5" s="1"/>
  <c r="R376" i="5"/>
  <c r="S376" i="5"/>
  <c r="U376" i="5"/>
  <c r="O379" i="5"/>
  <c r="P379" i="5"/>
  <c r="T379" i="5"/>
  <c r="U379" i="5"/>
  <c r="L380" i="5"/>
  <c r="M380" i="5"/>
  <c r="M378" i="5" s="1"/>
  <c r="P378" i="5" s="1"/>
  <c r="N380" i="5"/>
  <c r="Q380" i="5"/>
  <c r="R380" i="5"/>
  <c r="S380" i="5"/>
  <c r="S378" i="5" s="1"/>
  <c r="Q381" i="5"/>
  <c r="T381" i="5" s="1"/>
  <c r="R381" i="5"/>
  <c r="U381" i="5" s="1"/>
  <c r="S381" i="5"/>
  <c r="O382" i="5"/>
  <c r="P382" i="5"/>
  <c r="T382" i="5"/>
  <c r="U382" i="5"/>
  <c r="L383" i="5"/>
  <c r="L381" i="5" s="1"/>
  <c r="O381" i="5" s="1"/>
  <c r="M383" i="5"/>
  <c r="M381" i="5" s="1"/>
  <c r="P381" i="5" s="1"/>
  <c r="N383" i="5"/>
  <c r="N381" i="5" s="1"/>
  <c r="T383" i="5"/>
  <c r="U383" i="5"/>
  <c r="J385" i="5"/>
  <c r="K385" i="5"/>
  <c r="I386" i="5"/>
  <c r="J386" i="5"/>
  <c r="J387" i="5"/>
  <c r="K387" i="5"/>
  <c r="I388" i="5"/>
  <c r="K388" i="5" s="1"/>
  <c r="J388" i="5"/>
  <c r="I391" i="5"/>
  <c r="K391" i="5" s="1"/>
  <c r="J391" i="5"/>
  <c r="L393" i="5"/>
  <c r="O393" i="5" s="1"/>
  <c r="M393" i="5"/>
  <c r="N393" i="5"/>
  <c r="N392" i="5" s="1"/>
  <c r="P393" i="5"/>
  <c r="Q393" i="5"/>
  <c r="T393" i="5" s="1"/>
  <c r="R393" i="5"/>
  <c r="U393" i="5" s="1"/>
  <c r="S393" i="5"/>
  <c r="L394" i="5"/>
  <c r="O394" i="5" s="1"/>
  <c r="M394" i="5"/>
  <c r="P394" i="5" s="1"/>
  <c r="N394" i="5"/>
  <c r="L395" i="5"/>
  <c r="O395" i="5" s="1"/>
  <c r="M395" i="5"/>
  <c r="P395" i="5" s="1"/>
  <c r="N395" i="5"/>
  <c r="O396" i="5"/>
  <c r="P396" i="5"/>
  <c r="T396" i="5"/>
  <c r="U396" i="5"/>
  <c r="O397" i="5"/>
  <c r="P397" i="5"/>
  <c r="Q397" i="5"/>
  <c r="Q395" i="5" s="1"/>
  <c r="T395" i="5" s="1"/>
  <c r="R397" i="5"/>
  <c r="S397" i="5"/>
  <c r="S394" i="5" s="1"/>
  <c r="S392" i="5" s="1"/>
  <c r="L398" i="5"/>
  <c r="O398" i="5" s="1"/>
  <c r="M398" i="5"/>
  <c r="P398" i="5" s="1"/>
  <c r="N398" i="5"/>
  <c r="Q398" i="5"/>
  <c r="T398" i="5" s="1"/>
  <c r="R398" i="5"/>
  <c r="U398" i="5" s="1"/>
  <c r="S398" i="5"/>
  <c r="O399" i="5"/>
  <c r="P399" i="5"/>
  <c r="T399" i="5"/>
  <c r="U399" i="5"/>
  <c r="O400" i="5"/>
  <c r="P400" i="5"/>
  <c r="T400" i="5"/>
  <c r="U400" i="5"/>
  <c r="L414" i="5"/>
  <c r="M414" i="5"/>
  <c r="P414" i="5" s="1"/>
  <c r="N414" i="5"/>
  <c r="Q414" i="5"/>
  <c r="R414" i="5"/>
  <c r="S414" i="5"/>
  <c r="T414" i="5"/>
  <c r="O417" i="5"/>
  <c r="P417" i="5"/>
  <c r="T417" i="5"/>
  <c r="U417" i="5"/>
  <c r="L418" i="5"/>
  <c r="M418" i="5"/>
  <c r="M416" i="5" s="1"/>
  <c r="N418" i="5"/>
  <c r="N416" i="5" s="1"/>
  <c r="Q418" i="5"/>
  <c r="R418" i="5"/>
  <c r="S418" i="5"/>
  <c r="Q419" i="5"/>
  <c r="R419" i="5"/>
  <c r="U419" i="5" s="1"/>
  <c r="S419" i="5"/>
  <c r="T419" i="5"/>
  <c r="O420" i="5"/>
  <c r="P420" i="5"/>
  <c r="T420" i="5"/>
  <c r="U420" i="5"/>
  <c r="L421" i="5"/>
  <c r="M421" i="5"/>
  <c r="N421" i="5"/>
  <c r="T421" i="5"/>
  <c r="U421" i="5"/>
  <c r="I424" i="5"/>
  <c r="J424" i="5"/>
  <c r="I425" i="5"/>
  <c r="J425" i="5"/>
  <c r="I432" i="5"/>
  <c r="K432" i="5" s="1"/>
  <c r="J432" i="5"/>
  <c r="I433" i="5"/>
  <c r="J433" i="5"/>
  <c r="I440" i="5"/>
  <c r="I423" i="5" s="1"/>
  <c r="I441" i="5"/>
  <c r="J446" i="5"/>
  <c r="J440" i="5" s="1"/>
  <c r="J447" i="5"/>
  <c r="J441" i="5" s="1"/>
  <c r="I457" i="5"/>
  <c r="I456" i="5" s="1"/>
  <c r="I458" i="5"/>
  <c r="K458" i="5" s="1"/>
  <c r="J459" i="5"/>
  <c r="J460" i="5"/>
  <c r="J467" i="5"/>
  <c r="J457" i="5" s="1"/>
  <c r="J468" i="5"/>
  <c r="J475" i="5"/>
  <c r="K475" i="5"/>
  <c r="J476" i="5"/>
  <c r="K476" i="5"/>
  <c r="J477" i="5"/>
  <c r="K477" i="5"/>
  <c r="J482" i="5"/>
  <c r="J483" i="5"/>
  <c r="I484" i="5"/>
  <c r="J484" i="5"/>
  <c r="K484" i="5"/>
  <c r="I485" i="5"/>
  <c r="K485" i="5" s="1"/>
  <c r="J485" i="5"/>
  <c r="L494" i="5"/>
  <c r="O494" i="5" s="1"/>
  <c r="M494" i="5"/>
  <c r="N494" i="5"/>
  <c r="Q494" i="5"/>
  <c r="T494" i="5" s="1"/>
  <c r="R494" i="5"/>
  <c r="U494" i="5" s="1"/>
  <c r="S494" i="5"/>
  <c r="O497" i="5"/>
  <c r="P497" i="5"/>
  <c r="T497" i="5"/>
  <c r="U497" i="5"/>
  <c r="L498" i="5"/>
  <c r="M498" i="5"/>
  <c r="M496" i="5" s="1"/>
  <c r="P496" i="5" s="1"/>
  <c r="N498" i="5"/>
  <c r="N496" i="5" s="1"/>
  <c r="Q498" i="5"/>
  <c r="R498" i="5"/>
  <c r="S498" i="5"/>
  <c r="S496" i="5" s="1"/>
  <c r="Q499" i="5"/>
  <c r="T499" i="5" s="1"/>
  <c r="R499" i="5"/>
  <c r="U499" i="5" s="1"/>
  <c r="S499" i="5"/>
  <c r="O500" i="5"/>
  <c r="P500" i="5"/>
  <c r="T500" i="5"/>
  <c r="U500" i="5"/>
  <c r="L501" i="5"/>
  <c r="O501" i="5" s="1"/>
  <c r="M501" i="5"/>
  <c r="N501" i="5"/>
  <c r="N499" i="5" s="1"/>
  <c r="T501" i="5"/>
  <c r="U501" i="5"/>
  <c r="I503" i="5"/>
  <c r="I492" i="5" s="1"/>
  <c r="K492" i="5" s="1"/>
  <c r="I504" i="5"/>
  <c r="I505" i="5"/>
  <c r="K505" i="5" s="1"/>
  <c r="I506" i="5"/>
  <c r="K506" i="5" s="1"/>
  <c r="I507" i="5"/>
  <c r="K507" i="5" s="1"/>
  <c r="K508" i="5"/>
  <c r="I509" i="5"/>
  <c r="K509" i="5" s="1"/>
  <c r="I512" i="5"/>
  <c r="K512" i="5" s="1"/>
  <c r="J512" i="5"/>
  <c r="L514" i="5"/>
  <c r="M514" i="5"/>
  <c r="P514" i="5" s="1"/>
  <c r="N514" i="5"/>
  <c r="Q514" i="5"/>
  <c r="Q513" i="5" s="1"/>
  <c r="T513" i="5" s="1"/>
  <c r="R514" i="5"/>
  <c r="U514" i="5" s="1"/>
  <c r="S514" i="5"/>
  <c r="T514" i="5"/>
  <c r="Q515" i="5"/>
  <c r="R515" i="5"/>
  <c r="U515" i="5" s="1"/>
  <c r="S515" i="5"/>
  <c r="T515" i="5"/>
  <c r="Q516" i="5"/>
  <c r="R516" i="5"/>
  <c r="U516" i="5" s="1"/>
  <c r="S516" i="5"/>
  <c r="T516" i="5"/>
  <c r="O517" i="5"/>
  <c r="P517" i="5"/>
  <c r="T517" i="5"/>
  <c r="U517" i="5"/>
  <c r="L518" i="5"/>
  <c r="O518" i="5" s="1"/>
  <c r="M518" i="5"/>
  <c r="M516" i="5" s="1"/>
  <c r="P516" i="5" s="1"/>
  <c r="N518" i="5"/>
  <c r="T518" i="5"/>
  <c r="U518" i="5"/>
  <c r="Q519" i="5"/>
  <c r="T519" i="5" s="1"/>
  <c r="R519" i="5"/>
  <c r="U519" i="5" s="1"/>
  <c r="S519" i="5"/>
  <c r="O520" i="5"/>
  <c r="P520" i="5"/>
  <c r="T520" i="5"/>
  <c r="U520" i="5"/>
  <c r="L521" i="5"/>
  <c r="L519" i="5" s="1"/>
  <c r="O519" i="5" s="1"/>
  <c r="M521" i="5"/>
  <c r="P521" i="5" s="1"/>
  <c r="N521" i="5"/>
  <c r="N519" i="5" s="1"/>
  <c r="T521" i="5"/>
  <c r="U521" i="5"/>
  <c r="K523" i="5"/>
  <c r="K524" i="5"/>
  <c r="I533" i="5"/>
  <c r="J533" i="5"/>
  <c r="K533" i="5"/>
  <c r="L535" i="5"/>
  <c r="M535" i="5"/>
  <c r="P535" i="5" s="1"/>
  <c r="N535" i="5"/>
  <c r="Q535" i="5"/>
  <c r="T535" i="5" s="1"/>
  <c r="R535" i="5"/>
  <c r="S535" i="5"/>
  <c r="Q536" i="5"/>
  <c r="T536" i="5" s="1"/>
  <c r="R536" i="5"/>
  <c r="S536" i="5"/>
  <c r="U536" i="5"/>
  <c r="Q537" i="5"/>
  <c r="T537" i="5" s="1"/>
  <c r="R537" i="5"/>
  <c r="S537" i="5"/>
  <c r="U537" i="5"/>
  <c r="O538" i="5"/>
  <c r="P538" i="5"/>
  <c r="T538" i="5"/>
  <c r="U538" i="5"/>
  <c r="L539" i="5"/>
  <c r="M539" i="5"/>
  <c r="N539" i="5"/>
  <c r="T539" i="5"/>
  <c r="U539" i="5"/>
  <c r="Q540" i="5"/>
  <c r="T540" i="5" s="1"/>
  <c r="R540" i="5"/>
  <c r="U540" i="5" s="1"/>
  <c r="S540" i="5"/>
  <c r="O541" i="5"/>
  <c r="P541" i="5"/>
  <c r="T541" i="5"/>
  <c r="U541" i="5"/>
  <c r="L542" i="5"/>
  <c r="O542" i="5" s="1"/>
  <c r="M542" i="5"/>
  <c r="P542" i="5" s="1"/>
  <c r="N542" i="5"/>
  <c r="N540" i="5" s="1"/>
  <c r="T542" i="5"/>
  <c r="U542" i="5"/>
  <c r="I554" i="5"/>
  <c r="J554" i="5"/>
  <c r="K554" i="5"/>
  <c r="L556" i="5"/>
  <c r="O556" i="5" s="1"/>
  <c r="M556" i="5"/>
  <c r="N556" i="5"/>
  <c r="P556" i="5"/>
  <c r="Q556" i="5"/>
  <c r="T556" i="5" s="1"/>
  <c r="R556" i="5"/>
  <c r="S556" i="5"/>
  <c r="Q557" i="5"/>
  <c r="R557" i="5"/>
  <c r="U557" i="5" s="1"/>
  <c r="S557" i="5"/>
  <c r="S555" i="5" s="1"/>
  <c r="Q558" i="5"/>
  <c r="R558" i="5"/>
  <c r="U558" i="5" s="1"/>
  <c r="S558" i="5"/>
  <c r="T558" i="5"/>
  <c r="O559" i="5"/>
  <c r="P559" i="5"/>
  <c r="T559" i="5"/>
  <c r="U559" i="5"/>
  <c r="L560" i="5"/>
  <c r="O560" i="5" s="1"/>
  <c r="M560" i="5"/>
  <c r="N560" i="5"/>
  <c r="N558" i="5" s="1"/>
  <c r="T560" i="5"/>
  <c r="U560" i="5"/>
  <c r="Q561" i="5"/>
  <c r="T561" i="5" s="1"/>
  <c r="R561" i="5"/>
  <c r="S561" i="5"/>
  <c r="U561" i="5"/>
  <c r="O562" i="5"/>
  <c r="P562" i="5"/>
  <c r="T562" i="5"/>
  <c r="U562" i="5"/>
  <c r="L563" i="5"/>
  <c r="L561" i="5" s="1"/>
  <c r="O561" i="5" s="1"/>
  <c r="M563" i="5"/>
  <c r="P563" i="5" s="1"/>
  <c r="N563" i="5"/>
  <c r="N561" i="5" s="1"/>
  <c r="T563" i="5"/>
  <c r="U563" i="5"/>
  <c r="I575" i="5"/>
  <c r="J575" i="5"/>
  <c r="K575" i="5"/>
  <c r="L577" i="5"/>
  <c r="O577" i="5" s="1"/>
  <c r="M577" i="5"/>
  <c r="N577" i="5"/>
  <c r="P577" i="5"/>
  <c r="Q577" i="5"/>
  <c r="R577" i="5"/>
  <c r="S577" i="5"/>
  <c r="Q578" i="5"/>
  <c r="T578" i="5" s="1"/>
  <c r="R578" i="5"/>
  <c r="U578" i="5" s="1"/>
  <c r="S578" i="5"/>
  <c r="Q579" i="5"/>
  <c r="R579" i="5"/>
  <c r="S579" i="5"/>
  <c r="T579" i="5"/>
  <c r="U579" i="5"/>
  <c r="O580" i="5"/>
  <c r="P580" i="5"/>
  <c r="T580" i="5"/>
  <c r="U580" i="5"/>
  <c r="L581" i="5"/>
  <c r="M581" i="5"/>
  <c r="N581" i="5"/>
  <c r="N579" i="5" s="1"/>
  <c r="T581" i="5"/>
  <c r="U581" i="5"/>
  <c r="Q582" i="5"/>
  <c r="T582" i="5" s="1"/>
  <c r="R582" i="5"/>
  <c r="U582" i="5" s="1"/>
  <c r="S582" i="5"/>
  <c r="O583" i="5"/>
  <c r="P583" i="5"/>
  <c r="T583" i="5"/>
  <c r="U583" i="5"/>
  <c r="L584" i="5"/>
  <c r="O584" i="5" s="1"/>
  <c r="M584" i="5"/>
  <c r="M582" i="5" s="1"/>
  <c r="P582" i="5" s="1"/>
  <c r="N584" i="5"/>
  <c r="N582" i="5" s="1"/>
  <c r="T584" i="5"/>
  <c r="U584" i="5"/>
  <c r="K586" i="5"/>
  <c r="K587" i="5"/>
  <c r="L600" i="5"/>
  <c r="M600" i="5"/>
  <c r="N600" i="5"/>
  <c r="O600" i="5"/>
  <c r="Q600" i="5"/>
  <c r="R600" i="5"/>
  <c r="S600" i="5"/>
  <c r="T600" i="5"/>
  <c r="U600" i="5"/>
  <c r="O603" i="5"/>
  <c r="P603" i="5"/>
  <c r="T603" i="5"/>
  <c r="U603" i="5"/>
  <c r="L604" i="5"/>
  <c r="M604" i="5"/>
  <c r="M602" i="5" s="1"/>
  <c r="N604" i="5"/>
  <c r="Q604" i="5"/>
  <c r="T604" i="5" s="1"/>
  <c r="R604" i="5"/>
  <c r="S604" i="5"/>
  <c r="O606" i="5"/>
  <c r="P606" i="5"/>
  <c r="T606" i="5"/>
  <c r="U606" i="5"/>
  <c r="L607" i="5"/>
  <c r="L605" i="5" s="1"/>
  <c r="O605" i="5" s="1"/>
  <c r="M607" i="5"/>
  <c r="M605" i="5" s="1"/>
  <c r="P605" i="5" s="1"/>
  <c r="N607" i="5"/>
  <c r="N605" i="5" s="1"/>
  <c r="Q607" i="5"/>
  <c r="T607" i="5" s="1"/>
  <c r="R607" i="5"/>
  <c r="R605" i="5" s="1"/>
  <c r="U605" i="5" s="1"/>
  <c r="S607" i="5"/>
  <c r="S605" i="5" s="1"/>
  <c r="L617" i="5"/>
  <c r="M617" i="5"/>
  <c r="N617" i="5"/>
  <c r="Q617" i="5"/>
  <c r="R617" i="5"/>
  <c r="U617" i="5" s="1"/>
  <c r="S617" i="5"/>
  <c r="T617" i="5"/>
  <c r="L618" i="5"/>
  <c r="O618" i="5" s="1"/>
  <c r="M618" i="5"/>
  <c r="N618" i="5"/>
  <c r="P618" i="5"/>
  <c r="L619" i="5"/>
  <c r="M619" i="5"/>
  <c r="N619" i="5"/>
  <c r="O619" i="5"/>
  <c r="P619" i="5"/>
  <c r="O620" i="5"/>
  <c r="P620" i="5"/>
  <c r="T620" i="5"/>
  <c r="U620" i="5"/>
  <c r="O621" i="5"/>
  <c r="P621" i="5"/>
  <c r="Q621" i="5"/>
  <c r="Q619" i="5" s="1"/>
  <c r="R621" i="5"/>
  <c r="R619" i="5" s="1"/>
  <c r="S621" i="5"/>
  <c r="S619" i="5" s="1"/>
  <c r="L622" i="5"/>
  <c r="O622" i="5" s="1"/>
  <c r="M622" i="5"/>
  <c r="P622" i="5" s="1"/>
  <c r="N622" i="5"/>
  <c r="Q622" i="5"/>
  <c r="R622" i="5"/>
  <c r="S622" i="5"/>
  <c r="T622" i="5"/>
  <c r="U622" i="5"/>
  <c r="O623" i="5"/>
  <c r="P623" i="5"/>
  <c r="T623" i="5"/>
  <c r="U623" i="5"/>
  <c r="O624" i="5"/>
  <c r="P624" i="5"/>
  <c r="T624" i="5"/>
  <c r="U624" i="5"/>
  <c r="I626" i="5"/>
  <c r="I627" i="5"/>
  <c r="K627" i="5" s="1"/>
  <c r="I628" i="5"/>
  <c r="K628" i="5" s="1"/>
  <c r="J632" i="5"/>
  <c r="J626" i="5" s="1"/>
  <c r="J615" i="5" s="1"/>
  <c r="I635" i="5"/>
  <c r="K635" i="5" s="1"/>
  <c r="J636" i="5"/>
  <c r="J635" i="5" s="1"/>
  <c r="L643" i="5"/>
  <c r="M643" i="5"/>
  <c r="P643" i="5" s="1"/>
  <c r="N643" i="5"/>
  <c r="O643" i="5"/>
  <c r="Q643" i="5"/>
  <c r="T643" i="5" s="1"/>
  <c r="R643" i="5"/>
  <c r="S643" i="5"/>
  <c r="U643" i="5"/>
  <c r="L644" i="5"/>
  <c r="O644" i="5" s="1"/>
  <c r="M644" i="5"/>
  <c r="P644" i="5" s="1"/>
  <c r="N644" i="5"/>
  <c r="L645" i="5"/>
  <c r="O645" i="5" s="1"/>
  <c r="M645" i="5"/>
  <c r="P645" i="5" s="1"/>
  <c r="N645" i="5"/>
  <c r="O646" i="5"/>
  <c r="P646" i="5"/>
  <c r="T646" i="5"/>
  <c r="U646" i="5"/>
  <c r="O647" i="5"/>
  <c r="P647" i="5"/>
  <c r="Q647" i="5"/>
  <c r="R647" i="5"/>
  <c r="R645" i="5" s="1"/>
  <c r="U645" i="5" s="1"/>
  <c r="S647" i="5"/>
  <c r="S644" i="5" s="1"/>
  <c r="L648" i="5"/>
  <c r="O648" i="5" s="1"/>
  <c r="M648" i="5"/>
  <c r="P648" i="5" s="1"/>
  <c r="N648" i="5"/>
  <c r="Q648" i="5"/>
  <c r="T648" i="5" s="1"/>
  <c r="R648" i="5"/>
  <c r="U648" i="5" s="1"/>
  <c r="S648" i="5"/>
  <c r="O649" i="5"/>
  <c r="P649" i="5"/>
  <c r="T649" i="5"/>
  <c r="U649" i="5"/>
  <c r="O650" i="5"/>
  <c r="P650" i="5"/>
  <c r="T650" i="5"/>
  <c r="U650" i="5"/>
  <c r="I652" i="5"/>
  <c r="K652" i="5" s="1"/>
  <c r="J652" i="5"/>
  <c r="I653" i="5"/>
  <c r="K653" i="5" s="1"/>
  <c r="J653" i="5"/>
  <c r="I654" i="5"/>
  <c r="K654" i="5" s="1"/>
  <c r="J654" i="5"/>
  <c r="I657" i="5"/>
  <c r="I660" i="5"/>
  <c r="I661" i="5"/>
  <c r="K661" i="5" s="1"/>
  <c r="J661" i="5"/>
  <c r="J671" i="5"/>
  <c r="J672" i="5"/>
  <c r="I673" i="5"/>
  <c r="K673" i="5" s="1"/>
  <c r="J673" i="5"/>
  <c r="I674" i="5"/>
  <c r="K674" i="5" s="1"/>
  <c r="I675" i="5"/>
  <c r="K675" i="5" s="1"/>
  <c r="I676" i="5"/>
  <c r="K676" i="5" s="1"/>
  <c r="J676" i="5"/>
  <c r="J677" i="5"/>
  <c r="I678" i="5"/>
  <c r="K678" i="5" s="1"/>
  <c r="J678" i="5"/>
  <c r="I679" i="5"/>
  <c r="K679" i="5" s="1"/>
  <c r="J679" i="5"/>
  <c r="J680" i="5"/>
  <c r="I681" i="5"/>
  <c r="K681" i="5" s="1"/>
  <c r="J681" i="5"/>
  <c r="I682" i="5"/>
  <c r="K682" i="5" s="1"/>
  <c r="J682" i="5"/>
  <c r="L691" i="5"/>
  <c r="M691" i="5"/>
  <c r="N691" i="5"/>
  <c r="N690" i="5" s="1"/>
  <c r="Q691" i="5"/>
  <c r="R691" i="5"/>
  <c r="S691" i="5"/>
  <c r="L692" i="5"/>
  <c r="M692" i="5"/>
  <c r="P692" i="5" s="1"/>
  <c r="N692" i="5"/>
  <c r="O692" i="5"/>
  <c r="L693" i="5"/>
  <c r="O693" i="5" s="1"/>
  <c r="M693" i="5"/>
  <c r="P693" i="5" s="1"/>
  <c r="N693" i="5"/>
  <c r="O694" i="5"/>
  <c r="P694" i="5"/>
  <c r="T694" i="5"/>
  <c r="U694" i="5"/>
  <c r="O695" i="5"/>
  <c r="P695" i="5"/>
  <c r="Q695" i="5"/>
  <c r="Q692" i="5" s="1"/>
  <c r="R695" i="5"/>
  <c r="S695" i="5"/>
  <c r="L696" i="5"/>
  <c r="O696" i="5" s="1"/>
  <c r="M696" i="5"/>
  <c r="N696" i="5"/>
  <c r="P696" i="5"/>
  <c r="Q696" i="5"/>
  <c r="T696" i="5" s="1"/>
  <c r="R696" i="5"/>
  <c r="U696" i="5" s="1"/>
  <c r="S696" i="5"/>
  <c r="O697" i="5"/>
  <c r="P697" i="5"/>
  <c r="T697" i="5"/>
  <c r="U697" i="5"/>
  <c r="O698" i="5"/>
  <c r="P698" i="5"/>
  <c r="T698" i="5"/>
  <c r="U698" i="5"/>
  <c r="I700" i="5"/>
  <c r="K700" i="5" s="1"/>
  <c r="K702" i="5"/>
  <c r="I703" i="5"/>
  <c r="J703" i="5"/>
  <c r="J704" i="5"/>
  <c r="K704" i="5"/>
  <c r="I705" i="5"/>
  <c r="J705" i="5"/>
  <c r="J706" i="5"/>
  <c r="K706" i="5"/>
  <c r="I707" i="5"/>
  <c r="J707" i="5"/>
  <c r="J689" i="5" s="1"/>
  <c r="J708" i="5"/>
  <c r="K708" i="5"/>
  <c r="I709" i="5"/>
  <c r="J709" i="5"/>
  <c r="J710" i="5"/>
  <c r="K710" i="5"/>
  <c r="J712" i="5"/>
  <c r="K712" i="5"/>
  <c r="L715" i="5"/>
  <c r="M715" i="5"/>
  <c r="N715" i="5"/>
  <c r="N714" i="5" s="1"/>
  <c r="O715" i="5"/>
  <c r="Q715" i="5"/>
  <c r="R715" i="5"/>
  <c r="S715" i="5"/>
  <c r="U715" i="5"/>
  <c r="L716" i="5"/>
  <c r="M716" i="5"/>
  <c r="P716" i="5" s="1"/>
  <c r="N716" i="5"/>
  <c r="Q716" i="5"/>
  <c r="T716" i="5" s="1"/>
  <c r="R716" i="5"/>
  <c r="R714" i="5" s="1"/>
  <c r="U714" i="5" s="1"/>
  <c r="S716" i="5"/>
  <c r="U716" i="5"/>
  <c r="L717" i="5"/>
  <c r="O717" i="5" s="1"/>
  <c r="M717" i="5"/>
  <c r="P717" i="5" s="1"/>
  <c r="N717" i="5"/>
  <c r="Q717" i="5"/>
  <c r="T717" i="5" s="1"/>
  <c r="R717" i="5"/>
  <c r="U717" i="5" s="1"/>
  <c r="S717" i="5"/>
  <c r="O718" i="5"/>
  <c r="P718" i="5"/>
  <c r="T718" i="5"/>
  <c r="U718" i="5"/>
  <c r="O719" i="5"/>
  <c r="P719" i="5"/>
  <c r="T719" i="5"/>
  <c r="U719" i="5"/>
  <c r="L720" i="5"/>
  <c r="O720" i="5" s="1"/>
  <c r="M720" i="5"/>
  <c r="P720" i="5" s="1"/>
  <c r="N720" i="5"/>
  <c r="Q720" i="5"/>
  <c r="T720" i="5" s="1"/>
  <c r="R720" i="5"/>
  <c r="U720" i="5" s="1"/>
  <c r="S720" i="5"/>
  <c r="O721" i="5"/>
  <c r="P721" i="5"/>
  <c r="T721" i="5"/>
  <c r="U721" i="5"/>
  <c r="O722" i="5"/>
  <c r="P722" i="5"/>
  <c r="T722" i="5"/>
  <c r="U722" i="5"/>
  <c r="I726" i="5"/>
  <c r="K726" i="5" s="1"/>
  <c r="J726" i="5"/>
  <c r="I727" i="5"/>
  <c r="K727" i="5" s="1"/>
  <c r="J727" i="5"/>
  <c r="L729" i="5"/>
  <c r="O729" i="5" s="1"/>
  <c r="M729" i="5"/>
  <c r="N729" i="5"/>
  <c r="P729" i="5"/>
  <c r="Q729" i="5"/>
  <c r="R729" i="5"/>
  <c r="U729" i="5" s="1"/>
  <c r="S729" i="5"/>
  <c r="L730" i="5"/>
  <c r="O730" i="5" s="1"/>
  <c r="M730" i="5"/>
  <c r="P730" i="5" s="1"/>
  <c r="N730" i="5"/>
  <c r="N728" i="5" s="1"/>
  <c r="L731" i="5"/>
  <c r="M731" i="5"/>
  <c r="P731" i="5" s="1"/>
  <c r="N731" i="5"/>
  <c r="O731" i="5"/>
  <c r="O732" i="5"/>
  <c r="P732" i="5"/>
  <c r="T732" i="5"/>
  <c r="U732" i="5"/>
  <c r="O733" i="5"/>
  <c r="P733" i="5"/>
  <c r="Q733" i="5"/>
  <c r="Q730" i="5" s="1"/>
  <c r="R733" i="5"/>
  <c r="R731" i="5" s="1"/>
  <c r="S733" i="5"/>
  <c r="S730" i="5" s="1"/>
  <c r="L734" i="5"/>
  <c r="O734" i="5" s="1"/>
  <c r="M734" i="5"/>
  <c r="P734" i="5" s="1"/>
  <c r="N734" i="5"/>
  <c r="Q734" i="5"/>
  <c r="R734" i="5"/>
  <c r="U734" i="5" s="1"/>
  <c r="S734" i="5"/>
  <c r="T734" i="5"/>
  <c r="O735" i="5"/>
  <c r="P735" i="5"/>
  <c r="T735" i="5"/>
  <c r="U735" i="5"/>
  <c r="O736" i="5"/>
  <c r="P736" i="5"/>
  <c r="T736" i="5"/>
  <c r="U736" i="5"/>
  <c r="I740" i="5"/>
  <c r="K740" i="5" s="1"/>
  <c r="I742" i="5"/>
  <c r="K742" i="5" s="1"/>
  <c r="I744" i="5"/>
  <c r="K744" i="5" s="1"/>
  <c r="I746" i="5"/>
  <c r="K746" i="5" s="1"/>
  <c r="I749" i="5"/>
  <c r="K749" i="5" s="1"/>
  <c r="I752" i="5"/>
  <c r="K752" i="5" s="1"/>
  <c r="I755" i="5"/>
  <c r="K755" i="5" s="1"/>
  <c r="J758" i="5"/>
  <c r="J759" i="5"/>
  <c r="L761" i="5"/>
  <c r="M761" i="5"/>
  <c r="P761" i="5" s="1"/>
  <c r="N761" i="5"/>
  <c r="Q761" i="5"/>
  <c r="R761" i="5"/>
  <c r="S761" i="5"/>
  <c r="L762" i="5"/>
  <c r="O762" i="5" s="1"/>
  <c r="M762" i="5"/>
  <c r="N762" i="5"/>
  <c r="N760" i="5" s="1"/>
  <c r="L763" i="5"/>
  <c r="O763" i="5" s="1"/>
  <c r="M763" i="5"/>
  <c r="P763" i="5" s="1"/>
  <c r="N763" i="5"/>
  <c r="O764" i="5"/>
  <c r="P764" i="5"/>
  <c r="T764" i="5"/>
  <c r="U764" i="5"/>
  <c r="O765" i="5"/>
  <c r="P765" i="5"/>
  <c r="Q765" i="5"/>
  <c r="Q763" i="5" s="1"/>
  <c r="T763" i="5" s="1"/>
  <c r="R765" i="5"/>
  <c r="S765" i="5"/>
  <c r="S763" i="5" s="1"/>
  <c r="L766" i="5"/>
  <c r="O766" i="5" s="1"/>
  <c r="M766" i="5"/>
  <c r="P766" i="5" s="1"/>
  <c r="N766" i="5"/>
  <c r="Q766" i="5"/>
  <c r="R766" i="5"/>
  <c r="U766" i="5" s="1"/>
  <c r="S766" i="5"/>
  <c r="T766" i="5"/>
  <c r="O767" i="5"/>
  <c r="P767" i="5"/>
  <c r="T767" i="5"/>
  <c r="U767" i="5"/>
  <c r="O768" i="5"/>
  <c r="P768" i="5"/>
  <c r="T768" i="5"/>
  <c r="U768" i="5"/>
  <c r="I770" i="5"/>
  <c r="K770" i="5" s="1"/>
  <c r="I772" i="5"/>
  <c r="I774" i="5"/>
  <c r="I759" i="5" s="1"/>
  <c r="K759" i="5" s="1"/>
  <c r="I775" i="5"/>
  <c r="I776" i="5"/>
  <c r="H777" i="5"/>
  <c r="I778" i="5"/>
  <c r="J778" i="5"/>
  <c r="I779" i="5"/>
  <c r="J779" i="5"/>
  <c r="I780" i="5"/>
  <c r="J780" i="5"/>
  <c r="I781" i="5"/>
  <c r="J781" i="5"/>
  <c r="I782" i="5"/>
  <c r="K782" i="5" s="1"/>
  <c r="J782" i="5"/>
  <c r="I783" i="5"/>
  <c r="K783" i="5" s="1"/>
  <c r="J783" i="5"/>
  <c r="I784" i="5"/>
  <c r="J784" i="5"/>
  <c r="I785" i="5"/>
  <c r="J785" i="5"/>
  <c r="A788" i="5"/>
  <c r="A789" i="5"/>
  <c r="L22" i="4"/>
  <c r="M22" i="4"/>
  <c r="M19" i="4" s="1"/>
  <c r="N22" i="4"/>
  <c r="Q22" i="4"/>
  <c r="R22" i="4"/>
  <c r="R19" i="4" s="1"/>
  <c r="S22" i="4"/>
  <c r="L25" i="4"/>
  <c r="M25" i="4"/>
  <c r="N25" i="4"/>
  <c r="Q25" i="4"/>
  <c r="T25" i="4" s="1"/>
  <c r="R25" i="4"/>
  <c r="S25" i="4"/>
  <c r="L45" i="4"/>
  <c r="O45" i="4" s="1"/>
  <c r="M45" i="4"/>
  <c r="N45" i="4"/>
  <c r="Q45" i="4"/>
  <c r="Q44" i="4" s="1"/>
  <c r="T44" i="4" s="1"/>
  <c r="R45" i="4"/>
  <c r="U45" i="4" s="1"/>
  <c r="S45" i="4"/>
  <c r="S44" i="4" s="1"/>
  <c r="T45" i="4"/>
  <c r="Q46" i="4"/>
  <c r="T46" i="4" s="1"/>
  <c r="R46" i="4"/>
  <c r="S46" i="4"/>
  <c r="U46" i="4"/>
  <c r="Q47" i="4"/>
  <c r="T47" i="4" s="1"/>
  <c r="R47" i="4"/>
  <c r="U47" i="4" s="1"/>
  <c r="S47" i="4"/>
  <c r="O48" i="4"/>
  <c r="P48" i="4"/>
  <c r="T48" i="4"/>
  <c r="U48" i="4"/>
  <c r="L49" i="4"/>
  <c r="L47" i="4" s="1"/>
  <c r="M49" i="4"/>
  <c r="N49" i="4"/>
  <c r="N47" i="4" s="1"/>
  <c r="T49" i="4"/>
  <c r="U49" i="4"/>
  <c r="Q50" i="4"/>
  <c r="T50" i="4" s="1"/>
  <c r="R50" i="4"/>
  <c r="S50" i="4"/>
  <c r="U50" i="4"/>
  <c r="O51" i="4"/>
  <c r="P51" i="4"/>
  <c r="T51" i="4"/>
  <c r="U51" i="4"/>
  <c r="L52" i="4"/>
  <c r="M52" i="4"/>
  <c r="N52" i="4"/>
  <c r="N50" i="4" s="1"/>
  <c r="T52" i="4"/>
  <c r="U52" i="4"/>
  <c r="L60" i="4"/>
  <c r="O60" i="4" s="1"/>
  <c r="M60" i="4"/>
  <c r="N60" i="4"/>
  <c r="Q60" i="4"/>
  <c r="Q59" i="4" s="1"/>
  <c r="T59" i="4" s="1"/>
  <c r="R60" i="4"/>
  <c r="R59" i="4" s="1"/>
  <c r="U59" i="4" s="1"/>
  <c r="S60" i="4"/>
  <c r="S59" i="4" s="1"/>
  <c r="T60" i="4"/>
  <c r="U60" i="4"/>
  <c r="Q61" i="4"/>
  <c r="T61" i="4" s="1"/>
  <c r="R61" i="4"/>
  <c r="S61" i="4"/>
  <c r="U61" i="4"/>
  <c r="Q62" i="4"/>
  <c r="T62" i="4" s="1"/>
  <c r="R62" i="4"/>
  <c r="U62" i="4" s="1"/>
  <c r="S62" i="4"/>
  <c r="O63" i="4"/>
  <c r="P63" i="4"/>
  <c r="T63" i="4"/>
  <c r="U63" i="4"/>
  <c r="L64" i="4"/>
  <c r="L62" i="4" s="1"/>
  <c r="M64" i="4"/>
  <c r="M62" i="4" s="1"/>
  <c r="N64" i="4"/>
  <c r="T64" i="4"/>
  <c r="U64" i="4"/>
  <c r="Q65" i="4"/>
  <c r="T65" i="4" s="1"/>
  <c r="R65" i="4"/>
  <c r="U65" i="4" s="1"/>
  <c r="S65" i="4"/>
  <c r="O66" i="4"/>
  <c r="P66" i="4"/>
  <c r="T66" i="4"/>
  <c r="U66" i="4"/>
  <c r="L67" i="4"/>
  <c r="M67" i="4"/>
  <c r="N67" i="4"/>
  <c r="N65" i="4" s="1"/>
  <c r="T67" i="4"/>
  <c r="U67" i="4"/>
  <c r="L73" i="4"/>
  <c r="M73" i="4"/>
  <c r="N73" i="4"/>
  <c r="O73" i="4"/>
  <c r="Q73" i="4"/>
  <c r="R73" i="4"/>
  <c r="S73" i="4"/>
  <c r="T73" i="4"/>
  <c r="U73" i="4"/>
  <c r="O76" i="4"/>
  <c r="P76" i="4"/>
  <c r="T76" i="4"/>
  <c r="U76" i="4"/>
  <c r="L77" i="4"/>
  <c r="M77" i="4"/>
  <c r="M75" i="4" s="1"/>
  <c r="P75" i="4" s="1"/>
  <c r="N77" i="4"/>
  <c r="N75" i="4" s="1"/>
  <c r="Q77" i="4"/>
  <c r="R77" i="4"/>
  <c r="R75" i="4" s="1"/>
  <c r="U75" i="4" s="1"/>
  <c r="S77" i="4"/>
  <c r="O79" i="4"/>
  <c r="P79" i="4"/>
  <c r="T79" i="4"/>
  <c r="U79" i="4"/>
  <c r="L80" i="4"/>
  <c r="L78" i="4" s="1"/>
  <c r="O78" i="4" s="1"/>
  <c r="M80" i="4"/>
  <c r="P80" i="4" s="1"/>
  <c r="N80" i="4"/>
  <c r="N78" i="4" s="1"/>
  <c r="Q80" i="4"/>
  <c r="Q78" i="4" s="1"/>
  <c r="T78" i="4" s="1"/>
  <c r="R80" i="4"/>
  <c r="R78" i="4" s="1"/>
  <c r="U78" i="4" s="1"/>
  <c r="S80" i="4"/>
  <c r="J82" i="4"/>
  <c r="J70" i="4" s="1"/>
  <c r="J83" i="4"/>
  <c r="J71" i="4" s="1"/>
  <c r="I84" i="4"/>
  <c r="I85" i="4"/>
  <c r="I86" i="4"/>
  <c r="K86" i="4" s="1"/>
  <c r="I87" i="4"/>
  <c r="K87" i="4" s="1"/>
  <c r="I88" i="4"/>
  <c r="K88" i="4" s="1"/>
  <c r="I89" i="4"/>
  <c r="K89" i="4" s="1"/>
  <c r="I90" i="4"/>
  <c r="K90" i="4" s="1"/>
  <c r="J92" i="4"/>
  <c r="J93" i="4"/>
  <c r="L95" i="4"/>
  <c r="M95" i="4"/>
  <c r="N95" i="4"/>
  <c r="Q95" i="4"/>
  <c r="R95" i="4"/>
  <c r="S95" i="4"/>
  <c r="O98" i="4"/>
  <c r="P98" i="4"/>
  <c r="T98" i="4"/>
  <c r="U98" i="4"/>
  <c r="L99" i="4"/>
  <c r="M99" i="4"/>
  <c r="N99" i="4"/>
  <c r="Q99" i="4"/>
  <c r="R99" i="4"/>
  <c r="R97" i="4" s="1"/>
  <c r="U97" i="4" s="1"/>
  <c r="S99" i="4"/>
  <c r="Q100" i="4"/>
  <c r="T100" i="4" s="1"/>
  <c r="R100" i="4"/>
  <c r="S100" i="4"/>
  <c r="U100" i="4"/>
  <c r="O101" i="4"/>
  <c r="P101" i="4"/>
  <c r="T101" i="4"/>
  <c r="U101" i="4"/>
  <c r="L102" i="4"/>
  <c r="L100" i="4" s="1"/>
  <c r="O100" i="4" s="1"/>
  <c r="M102" i="4"/>
  <c r="N102" i="4"/>
  <c r="N100" i="4" s="1"/>
  <c r="T102" i="4"/>
  <c r="U102" i="4"/>
  <c r="I108" i="4"/>
  <c r="I109" i="4"/>
  <c r="K109" i="4" s="1"/>
  <c r="I114" i="4"/>
  <c r="K114" i="4" s="1"/>
  <c r="J116" i="4"/>
  <c r="L118" i="4"/>
  <c r="M118" i="4"/>
  <c r="N118" i="4"/>
  <c r="Q118" i="4"/>
  <c r="T118" i="4" s="1"/>
  <c r="R118" i="4"/>
  <c r="S118" i="4"/>
  <c r="O121" i="4"/>
  <c r="P121" i="4"/>
  <c r="T121" i="4"/>
  <c r="U121" i="4"/>
  <c r="L122" i="4"/>
  <c r="M122" i="4"/>
  <c r="N122" i="4"/>
  <c r="N120" i="4" s="1"/>
  <c r="Q122" i="4"/>
  <c r="Q120" i="4" s="1"/>
  <c r="R122" i="4"/>
  <c r="R120" i="4" s="1"/>
  <c r="S122" i="4"/>
  <c r="S120" i="4" s="1"/>
  <c r="O124" i="4"/>
  <c r="P124" i="4"/>
  <c r="T124" i="4"/>
  <c r="U124" i="4"/>
  <c r="L125" i="4"/>
  <c r="L123" i="4" s="1"/>
  <c r="O123" i="4" s="1"/>
  <c r="M125" i="4"/>
  <c r="N125" i="4"/>
  <c r="N123" i="4" s="1"/>
  <c r="Q125" i="4"/>
  <c r="T125" i="4" s="1"/>
  <c r="R125" i="4"/>
  <c r="R123" i="4" s="1"/>
  <c r="U123" i="4" s="1"/>
  <c r="S125" i="4"/>
  <c r="I127" i="4"/>
  <c r="K127" i="4" s="1"/>
  <c r="I128" i="4"/>
  <c r="K128" i="4" s="1"/>
  <c r="I129" i="4"/>
  <c r="K129" i="4" s="1"/>
  <c r="I130" i="4"/>
  <c r="K130" i="4" s="1"/>
  <c r="J136" i="4"/>
  <c r="J137" i="4"/>
  <c r="J138" i="4"/>
  <c r="L140" i="4"/>
  <c r="O140" i="4" s="1"/>
  <c r="M140" i="4"/>
  <c r="N140" i="4"/>
  <c r="Q140" i="4"/>
  <c r="R140" i="4"/>
  <c r="U140" i="4" s="1"/>
  <c r="S140" i="4"/>
  <c r="T140" i="4"/>
  <c r="O143" i="4"/>
  <c r="P143" i="4"/>
  <c r="T143" i="4"/>
  <c r="U143" i="4"/>
  <c r="L144" i="4"/>
  <c r="M144" i="4"/>
  <c r="M142" i="4" s="1"/>
  <c r="N144" i="4"/>
  <c r="Q144" i="4"/>
  <c r="R144" i="4"/>
  <c r="R142" i="4" s="1"/>
  <c r="S144" i="4"/>
  <c r="S142" i="4" s="1"/>
  <c r="O146" i="4"/>
  <c r="P146" i="4"/>
  <c r="T146" i="4"/>
  <c r="U146" i="4"/>
  <c r="L147" i="4"/>
  <c r="M147" i="4"/>
  <c r="M145" i="4" s="1"/>
  <c r="P145" i="4" s="1"/>
  <c r="N147" i="4"/>
  <c r="N145" i="4" s="1"/>
  <c r="Q147" i="4"/>
  <c r="T147" i="4" s="1"/>
  <c r="R147" i="4"/>
  <c r="S147" i="4"/>
  <c r="S145" i="4" s="1"/>
  <c r="I150" i="4"/>
  <c r="K150" i="4" s="1"/>
  <c r="I151" i="4"/>
  <c r="K151" i="4" s="1"/>
  <c r="I152" i="4"/>
  <c r="I153" i="4"/>
  <c r="I154" i="4"/>
  <c r="I136" i="4" s="1"/>
  <c r="K136" i="4" s="1"/>
  <c r="J156" i="4"/>
  <c r="L158" i="4"/>
  <c r="M158" i="4"/>
  <c r="N158" i="4"/>
  <c r="Q158" i="4"/>
  <c r="T158" i="4" s="1"/>
  <c r="R158" i="4"/>
  <c r="S158" i="4"/>
  <c r="O161" i="4"/>
  <c r="P161" i="4"/>
  <c r="T161" i="4"/>
  <c r="U161" i="4"/>
  <c r="L162" i="4"/>
  <c r="M162" i="4"/>
  <c r="N162" i="4"/>
  <c r="Q162" i="4"/>
  <c r="Q159" i="4" s="1"/>
  <c r="T159" i="4" s="1"/>
  <c r="R162" i="4"/>
  <c r="R160" i="4" s="1"/>
  <c r="U160" i="4" s="1"/>
  <c r="S162" i="4"/>
  <c r="S160" i="4" s="1"/>
  <c r="Q163" i="4"/>
  <c r="T163" i="4" s="1"/>
  <c r="R163" i="4"/>
  <c r="S163" i="4"/>
  <c r="U163" i="4"/>
  <c r="O164" i="4"/>
  <c r="P164" i="4"/>
  <c r="T164" i="4"/>
  <c r="U164" i="4"/>
  <c r="L165" i="4"/>
  <c r="L163" i="4" s="1"/>
  <c r="O163" i="4" s="1"/>
  <c r="M165" i="4"/>
  <c r="N165" i="4"/>
  <c r="N163" i="4" s="1"/>
  <c r="T165" i="4"/>
  <c r="U165" i="4"/>
  <c r="I167" i="4"/>
  <c r="K167" i="4" s="1"/>
  <c r="I168" i="4"/>
  <c r="K168" i="4" s="1"/>
  <c r="I169" i="4"/>
  <c r="K169" i="4" s="1"/>
  <c r="J172" i="4"/>
  <c r="L174" i="4"/>
  <c r="M174" i="4"/>
  <c r="N174" i="4"/>
  <c r="Q174" i="4"/>
  <c r="T174" i="4" s="1"/>
  <c r="R174" i="4"/>
  <c r="S174" i="4"/>
  <c r="O177" i="4"/>
  <c r="P177" i="4"/>
  <c r="T177" i="4"/>
  <c r="U177" i="4"/>
  <c r="L178" i="4"/>
  <c r="M178" i="4"/>
  <c r="N178" i="4"/>
  <c r="N176" i="4" s="1"/>
  <c r="Q178" i="4"/>
  <c r="R178" i="4"/>
  <c r="U178" i="4" s="1"/>
  <c r="S178" i="4"/>
  <c r="S175" i="4" s="1"/>
  <c r="Q179" i="4"/>
  <c r="T179" i="4" s="1"/>
  <c r="R179" i="4"/>
  <c r="U179" i="4" s="1"/>
  <c r="S179" i="4"/>
  <c r="O180" i="4"/>
  <c r="P180" i="4"/>
  <c r="T180" i="4"/>
  <c r="U180" i="4"/>
  <c r="L181" i="4"/>
  <c r="L179" i="4" s="1"/>
  <c r="O179" i="4" s="1"/>
  <c r="M181" i="4"/>
  <c r="N181" i="4"/>
  <c r="N179" i="4" s="1"/>
  <c r="T181" i="4"/>
  <c r="U181" i="4"/>
  <c r="I183" i="4"/>
  <c r="K184" i="4"/>
  <c r="L187" i="4"/>
  <c r="O187" i="4" s="1"/>
  <c r="M187" i="4"/>
  <c r="P187" i="4" s="1"/>
  <c r="N187" i="4"/>
  <c r="Q187" i="4"/>
  <c r="R187" i="4"/>
  <c r="S187" i="4"/>
  <c r="U187" i="4"/>
  <c r="O190" i="4"/>
  <c r="P190" i="4"/>
  <c r="T190" i="4"/>
  <c r="U190" i="4"/>
  <c r="L191" i="4"/>
  <c r="M191" i="4"/>
  <c r="N191" i="4"/>
  <c r="Q191" i="4"/>
  <c r="R191" i="4"/>
  <c r="S191" i="4"/>
  <c r="S189" i="4" s="1"/>
  <c r="O193" i="4"/>
  <c r="P193" i="4"/>
  <c r="T193" i="4"/>
  <c r="U193" i="4"/>
  <c r="L194" i="4"/>
  <c r="M194" i="4"/>
  <c r="P194" i="4" s="1"/>
  <c r="N194" i="4"/>
  <c r="N192" i="4" s="1"/>
  <c r="Q194" i="4"/>
  <c r="R194" i="4"/>
  <c r="S194" i="4"/>
  <c r="S192" i="4" s="1"/>
  <c r="J195" i="4"/>
  <c r="L196" i="4"/>
  <c r="O196" i="4" s="1"/>
  <c r="P196" i="4"/>
  <c r="I198" i="4"/>
  <c r="J199" i="4"/>
  <c r="J202" i="4"/>
  <c r="N203" i="4"/>
  <c r="P203" i="4"/>
  <c r="S203" i="4"/>
  <c r="U203" i="4"/>
  <c r="L204" i="4"/>
  <c r="L205" i="4"/>
  <c r="L206" i="4"/>
  <c r="Q206" i="4"/>
  <c r="Q203" i="4" s="1"/>
  <c r="T203" i="4" s="1"/>
  <c r="L207" i="4"/>
  <c r="I209" i="4"/>
  <c r="I202" i="4" s="1"/>
  <c r="K202" i="4" s="1"/>
  <c r="I211" i="4"/>
  <c r="K211" i="4" s="1"/>
  <c r="I212" i="4"/>
  <c r="K212" i="4" s="1"/>
  <c r="J213" i="4"/>
  <c r="N214" i="4"/>
  <c r="P214" i="4"/>
  <c r="S214" i="4"/>
  <c r="U214" i="4"/>
  <c r="L215" i="4"/>
  <c r="L216" i="4"/>
  <c r="L217" i="4"/>
  <c r="Q217" i="4"/>
  <c r="Q214" i="4" s="1"/>
  <c r="T214" i="4" s="1"/>
  <c r="I219" i="4"/>
  <c r="K219" i="4" s="1"/>
  <c r="I220" i="4"/>
  <c r="J221" i="4"/>
  <c r="N222" i="4"/>
  <c r="P222" i="4"/>
  <c r="L223" i="4"/>
  <c r="L224" i="4"/>
  <c r="L225" i="4"/>
  <c r="I228" i="4"/>
  <c r="K228" i="4" s="1"/>
  <c r="I229" i="4"/>
  <c r="I230" i="4"/>
  <c r="K230" i="4" s="1"/>
  <c r="N233" i="4"/>
  <c r="N234" i="4"/>
  <c r="N235" i="4"/>
  <c r="N236" i="4"/>
  <c r="J238" i="4"/>
  <c r="I240" i="4"/>
  <c r="K240" i="4" s="1"/>
  <c r="J240" i="4"/>
  <c r="I241" i="4"/>
  <c r="K241" i="4" s="1"/>
  <c r="J241" i="4"/>
  <c r="J242" i="4"/>
  <c r="N243" i="4"/>
  <c r="P243" i="4"/>
  <c r="L244" i="4"/>
  <c r="L245" i="4"/>
  <c r="L246" i="4"/>
  <c r="L247" i="4"/>
  <c r="I249" i="4"/>
  <c r="K251" i="4"/>
  <c r="K252" i="4"/>
  <c r="J253" i="4"/>
  <c r="J231" i="4" s="1"/>
  <c r="J185" i="4" s="1"/>
  <c r="N254" i="4"/>
  <c r="P254" i="4"/>
  <c r="L255" i="4"/>
  <c r="L256" i="4"/>
  <c r="L257" i="4"/>
  <c r="L258" i="4"/>
  <c r="I260" i="4"/>
  <c r="K262" i="4"/>
  <c r="K263" i="4"/>
  <c r="J265" i="4"/>
  <c r="L267" i="4"/>
  <c r="M267" i="4"/>
  <c r="N267" i="4"/>
  <c r="O267" i="4"/>
  <c r="P267" i="4"/>
  <c r="Q267" i="4"/>
  <c r="T267" i="4" s="1"/>
  <c r="R267" i="4"/>
  <c r="S267" i="4"/>
  <c r="U267" i="4"/>
  <c r="O270" i="4"/>
  <c r="P270" i="4"/>
  <c r="T270" i="4"/>
  <c r="U270" i="4"/>
  <c r="L271" i="4"/>
  <c r="M271" i="4"/>
  <c r="N271" i="4"/>
  <c r="Q271" i="4"/>
  <c r="Q268" i="4" s="1"/>
  <c r="R271" i="4"/>
  <c r="R268" i="4" s="1"/>
  <c r="S271" i="4"/>
  <c r="S268" i="4" s="1"/>
  <c r="S266" i="4" s="1"/>
  <c r="Q272" i="4"/>
  <c r="T272" i="4" s="1"/>
  <c r="R272" i="4"/>
  <c r="U272" i="4" s="1"/>
  <c r="S272" i="4"/>
  <c r="O273" i="4"/>
  <c r="P273" i="4"/>
  <c r="T273" i="4"/>
  <c r="U273" i="4"/>
  <c r="L274" i="4"/>
  <c r="O274" i="4" s="1"/>
  <c r="M274" i="4"/>
  <c r="M272" i="4" s="1"/>
  <c r="P272" i="4" s="1"/>
  <c r="N274" i="4"/>
  <c r="N272" i="4" s="1"/>
  <c r="T274" i="4"/>
  <c r="U274" i="4"/>
  <c r="I276" i="4"/>
  <c r="I265" i="4" s="1"/>
  <c r="J281" i="4"/>
  <c r="L283" i="4"/>
  <c r="M283" i="4"/>
  <c r="N283" i="4"/>
  <c r="O283" i="4"/>
  <c r="P283" i="4"/>
  <c r="Q283" i="4"/>
  <c r="R283" i="4"/>
  <c r="U283" i="4" s="1"/>
  <c r="S283" i="4"/>
  <c r="S282" i="4" s="1"/>
  <c r="Q284" i="4"/>
  <c r="T284" i="4" s="1"/>
  <c r="R284" i="4"/>
  <c r="U284" i="4" s="1"/>
  <c r="S284" i="4"/>
  <c r="Q285" i="4"/>
  <c r="R285" i="4"/>
  <c r="U285" i="4" s="1"/>
  <c r="S285" i="4"/>
  <c r="T285" i="4"/>
  <c r="O286" i="4"/>
  <c r="P286" i="4"/>
  <c r="T286" i="4"/>
  <c r="U286" i="4"/>
  <c r="L287" i="4"/>
  <c r="M287" i="4"/>
  <c r="N287" i="4"/>
  <c r="T287" i="4"/>
  <c r="U287" i="4"/>
  <c r="Q288" i="4"/>
  <c r="T288" i="4" s="1"/>
  <c r="R288" i="4"/>
  <c r="U288" i="4" s="1"/>
  <c r="S288" i="4"/>
  <c r="O289" i="4"/>
  <c r="P289" i="4"/>
  <c r="T289" i="4"/>
  <c r="U289" i="4"/>
  <c r="L290" i="4"/>
  <c r="M290" i="4"/>
  <c r="M288" i="4" s="1"/>
  <c r="P288" i="4" s="1"/>
  <c r="N290" i="4"/>
  <c r="N288" i="4" s="1"/>
  <c r="T290" i="4"/>
  <c r="U290" i="4"/>
  <c r="I292" i="4"/>
  <c r="I281" i="4" s="1"/>
  <c r="K281" i="4" s="1"/>
  <c r="I293" i="4"/>
  <c r="J293" i="4"/>
  <c r="J280" i="4" s="1"/>
  <c r="I295" i="4"/>
  <c r="K295" i="4" s="1"/>
  <c r="I296" i="4"/>
  <c r="K296" i="4" s="1"/>
  <c r="J302" i="4"/>
  <c r="L304" i="4"/>
  <c r="M304" i="4"/>
  <c r="N304" i="4"/>
  <c r="O304" i="4"/>
  <c r="P304" i="4"/>
  <c r="Q304" i="4"/>
  <c r="R304" i="4"/>
  <c r="S304" i="4"/>
  <c r="U304" i="4"/>
  <c r="O307" i="4"/>
  <c r="P307" i="4"/>
  <c r="T307" i="4"/>
  <c r="U307" i="4"/>
  <c r="L308" i="4"/>
  <c r="M308" i="4"/>
  <c r="P308" i="4" s="1"/>
  <c r="N308" i="4"/>
  <c r="N306" i="4" s="1"/>
  <c r="Q308" i="4"/>
  <c r="Q305" i="4" s="1"/>
  <c r="R308" i="4"/>
  <c r="R305" i="4" s="1"/>
  <c r="S308" i="4"/>
  <c r="S305" i="4" s="1"/>
  <c r="S303" i="4" s="1"/>
  <c r="Q309" i="4"/>
  <c r="R309" i="4"/>
  <c r="S309" i="4"/>
  <c r="T309" i="4"/>
  <c r="U309" i="4"/>
  <c r="O310" i="4"/>
  <c r="P310" i="4"/>
  <c r="T310" i="4"/>
  <c r="U310" i="4"/>
  <c r="L311" i="4"/>
  <c r="M311" i="4"/>
  <c r="P311" i="4" s="1"/>
  <c r="N311" i="4"/>
  <c r="N309" i="4" s="1"/>
  <c r="T311" i="4"/>
  <c r="U311" i="4"/>
  <c r="I314" i="4"/>
  <c r="J319" i="4"/>
  <c r="L321" i="4"/>
  <c r="M321" i="4"/>
  <c r="P321" i="4" s="1"/>
  <c r="N321" i="4"/>
  <c r="O321" i="4"/>
  <c r="Q321" i="4"/>
  <c r="T321" i="4" s="1"/>
  <c r="R321" i="4"/>
  <c r="S321" i="4"/>
  <c r="S320" i="4" s="1"/>
  <c r="U321" i="4"/>
  <c r="Q322" i="4"/>
  <c r="R322" i="4"/>
  <c r="R320" i="4" s="1"/>
  <c r="U320" i="4" s="1"/>
  <c r="S322" i="4"/>
  <c r="U322" i="4"/>
  <c r="Q323" i="4"/>
  <c r="T323" i="4" s="1"/>
  <c r="R323" i="4"/>
  <c r="U323" i="4" s="1"/>
  <c r="S323" i="4"/>
  <c r="O324" i="4"/>
  <c r="P324" i="4"/>
  <c r="T324" i="4"/>
  <c r="U324" i="4"/>
  <c r="L325" i="4"/>
  <c r="M325" i="4"/>
  <c r="N325" i="4"/>
  <c r="N323" i="4" s="1"/>
  <c r="T325" i="4"/>
  <c r="U325" i="4"/>
  <c r="Q326" i="4"/>
  <c r="R326" i="4"/>
  <c r="S326" i="4"/>
  <c r="T326" i="4"/>
  <c r="U326" i="4"/>
  <c r="O327" i="4"/>
  <c r="P327" i="4"/>
  <c r="T327" i="4"/>
  <c r="U327" i="4"/>
  <c r="L328" i="4"/>
  <c r="M328" i="4"/>
  <c r="N328" i="4"/>
  <c r="N326" i="4" s="1"/>
  <c r="T328" i="4"/>
  <c r="U328" i="4"/>
  <c r="I330" i="4"/>
  <c r="I319" i="4" s="1"/>
  <c r="K319" i="4" s="1"/>
  <c r="S333" i="4"/>
  <c r="L334" i="4"/>
  <c r="O334" i="4" s="1"/>
  <c r="M334" i="4"/>
  <c r="N334" i="4"/>
  <c r="P334" i="4"/>
  <c r="Q334" i="4"/>
  <c r="T334" i="4" s="1"/>
  <c r="R334" i="4"/>
  <c r="S334" i="4"/>
  <c r="U334" i="4"/>
  <c r="Q335" i="4"/>
  <c r="T335" i="4" s="1"/>
  <c r="R335" i="4"/>
  <c r="S335" i="4"/>
  <c r="Q336" i="4"/>
  <c r="T336" i="4" s="1"/>
  <c r="R336" i="4"/>
  <c r="U336" i="4" s="1"/>
  <c r="S336" i="4"/>
  <c r="O337" i="4"/>
  <c r="P337" i="4"/>
  <c r="T337" i="4"/>
  <c r="U337" i="4"/>
  <c r="L338" i="4"/>
  <c r="M338" i="4"/>
  <c r="M336" i="4" s="1"/>
  <c r="N338" i="4"/>
  <c r="N336" i="4" s="1"/>
  <c r="T338" i="4"/>
  <c r="U338" i="4"/>
  <c r="Q339" i="4"/>
  <c r="T339" i="4" s="1"/>
  <c r="R339" i="4"/>
  <c r="S339" i="4"/>
  <c r="U339" i="4"/>
  <c r="O340" i="4"/>
  <c r="P340" i="4"/>
  <c r="T340" i="4"/>
  <c r="U340" i="4"/>
  <c r="L341" i="4"/>
  <c r="M341" i="4"/>
  <c r="N341" i="4"/>
  <c r="N339" i="4" s="1"/>
  <c r="T341" i="4"/>
  <c r="U341" i="4"/>
  <c r="I344" i="4"/>
  <c r="J344" i="4"/>
  <c r="I346" i="4"/>
  <c r="J346" i="4"/>
  <c r="J347" i="4"/>
  <c r="J348" i="4"/>
  <c r="J349" i="4"/>
  <c r="D350" i="4"/>
  <c r="J352" i="4"/>
  <c r="J353" i="4"/>
  <c r="D354" i="4"/>
  <c r="L357" i="4"/>
  <c r="M357" i="4"/>
  <c r="N357" i="4"/>
  <c r="Q357" i="4"/>
  <c r="T357" i="4" s="1"/>
  <c r="R357" i="4"/>
  <c r="S357" i="4"/>
  <c r="Q358" i="4"/>
  <c r="T358" i="4" s="1"/>
  <c r="R358" i="4"/>
  <c r="U358" i="4" s="1"/>
  <c r="S358" i="4"/>
  <c r="Q359" i="4"/>
  <c r="T359" i="4" s="1"/>
  <c r="R359" i="4"/>
  <c r="U359" i="4" s="1"/>
  <c r="S359" i="4"/>
  <c r="O360" i="4"/>
  <c r="P360" i="4"/>
  <c r="T360" i="4"/>
  <c r="U360" i="4"/>
  <c r="L361" i="4"/>
  <c r="L359" i="4" s="1"/>
  <c r="M361" i="4"/>
  <c r="N361" i="4"/>
  <c r="N359" i="4" s="1"/>
  <c r="T361" i="4"/>
  <c r="U361" i="4"/>
  <c r="Q362" i="4"/>
  <c r="R362" i="4"/>
  <c r="U362" i="4" s="1"/>
  <c r="S362" i="4"/>
  <c r="T362" i="4"/>
  <c r="O363" i="4"/>
  <c r="P363" i="4"/>
  <c r="T363" i="4"/>
  <c r="U363" i="4"/>
  <c r="L364" i="4"/>
  <c r="M364" i="4"/>
  <c r="N364" i="4"/>
  <c r="N362" i="4" s="1"/>
  <c r="T364" i="4"/>
  <c r="U364" i="4"/>
  <c r="J367" i="4"/>
  <c r="K367" i="4"/>
  <c r="I368" i="4"/>
  <c r="J368" i="4"/>
  <c r="I369" i="4"/>
  <c r="J369" i="4"/>
  <c r="J370" i="4"/>
  <c r="K370" i="4"/>
  <c r="I371" i="4"/>
  <c r="I365" i="4" s="1"/>
  <c r="J371" i="4"/>
  <c r="J365" i="4" s="1"/>
  <c r="J372" i="4"/>
  <c r="K372" i="4"/>
  <c r="D373" i="4"/>
  <c r="L376" i="4"/>
  <c r="M376" i="4"/>
  <c r="N376" i="4"/>
  <c r="O376" i="4"/>
  <c r="Q376" i="4"/>
  <c r="T376" i="4" s="1"/>
  <c r="R376" i="4"/>
  <c r="U376" i="4" s="1"/>
  <c r="S376" i="4"/>
  <c r="O379" i="4"/>
  <c r="P379" i="4"/>
  <c r="T379" i="4"/>
  <c r="U379" i="4"/>
  <c r="L380" i="4"/>
  <c r="L378" i="4" s="1"/>
  <c r="O378" i="4" s="1"/>
  <c r="M380" i="4"/>
  <c r="P380" i="4" s="1"/>
  <c r="N380" i="4"/>
  <c r="Q380" i="4"/>
  <c r="R380" i="4"/>
  <c r="S380" i="4"/>
  <c r="S377" i="4" s="1"/>
  <c r="Q381" i="4"/>
  <c r="R381" i="4"/>
  <c r="S381" i="4"/>
  <c r="T381" i="4"/>
  <c r="U381" i="4"/>
  <c r="O382" i="4"/>
  <c r="P382" i="4"/>
  <c r="T382" i="4"/>
  <c r="U382" i="4"/>
  <c r="L383" i="4"/>
  <c r="M383" i="4"/>
  <c r="P383" i="4" s="1"/>
  <c r="N383" i="4"/>
  <c r="N381" i="4" s="1"/>
  <c r="T383" i="4"/>
  <c r="U383" i="4"/>
  <c r="J385" i="4"/>
  <c r="K385" i="4"/>
  <c r="I386" i="4"/>
  <c r="J386" i="4"/>
  <c r="J387" i="4"/>
  <c r="K387" i="4"/>
  <c r="I388" i="4"/>
  <c r="K388" i="4" s="1"/>
  <c r="J388" i="4"/>
  <c r="I391" i="4"/>
  <c r="K391" i="4" s="1"/>
  <c r="J391" i="4"/>
  <c r="L393" i="4"/>
  <c r="O393" i="4" s="1"/>
  <c r="M393" i="4"/>
  <c r="P393" i="4" s="1"/>
  <c r="N393" i="4"/>
  <c r="Q393" i="4"/>
  <c r="T393" i="4" s="1"/>
  <c r="R393" i="4"/>
  <c r="U393" i="4" s="1"/>
  <c r="S393" i="4"/>
  <c r="L394" i="4"/>
  <c r="M394" i="4"/>
  <c r="P394" i="4" s="1"/>
  <c r="N394" i="4"/>
  <c r="O394" i="4"/>
  <c r="L395" i="4"/>
  <c r="O395" i="4" s="1"/>
  <c r="M395" i="4"/>
  <c r="P395" i="4" s="1"/>
  <c r="N395" i="4"/>
  <c r="O396" i="4"/>
  <c r="P396" i="4"/>
  <c r="T396" i="4"/>
  <c r="U396" i="4"/>
  <c r="O397" i="4"/>
  <c r="P397" i="4"/>
  <c r="Q397" i="4"/>
  <c r="R397" i="4"/>
  <c r="S397" i="4"/>
  <c r="S394" i="4" s="1"/>
  <c r="S392" i="4" s="1"/>
  <c r="L398" i="4"/>
  <c r="O398" i="4" s="1"/>
  <c r="M398" i="4"/>
  <c r="N398" i="4"/>
  <c r="P398" i="4"/>
  <c r="Q398" i="4"/>
  <c r="T398" i="4" s="1"/>
  <c r="R398" i="4"/>
  <c r="U398" i="4" s="1"/>
  <c r="S398" i="4"/>
  <c r="O399" i="4"/>
  <c r="P399" i="4"/>
  <c r="T399" i="4"/>
  <c r="U399" i="4"/>
  <c r="O400" i="4"/>
  <c r="P400" i="4"/>
  <c r="T400" i="4"/>
  <c r="U400" i="4"/>
  <c r="L414" i="4"/>
  <c r="M414" i="4"/>
  <c r="N414" i="4"/>
  <c r="Q414" i="4"/>
  <c r="R414" i="4"/>
  <c r="S414" i="4"/>
  <c r="T414" i="4"/>
  <c r="U414" i="4"/>
  <c r="O417" i="4"/>
  <c r="P417" i="4"/>
  <c r="T417" i="4"/>
  <c r="U417" i="4"/>
  <c r="L418" i="4"/>
  <c r="L416" i="4" s="1"/>
  <c r="M418" i="4"/>
  <c r="N418" i="4"/>
  <c r="N416" i="4" s="1"/>
  <c r="Q418" i="4"/>
  <c r="R418" i="4"/>
  <c r="S418" i="4"/>
  <c r="S415" i="4" s="1"/>
  <c r="Q419" i="4"/>
  <c r="T419" i="4" s="1"/>
  <c r="R419" i="4"/>
  <c r="U419" i="4" s="1"/>
  <c r="S419" i="4"/>
  <c r="O420" i="4"/>
  <c r="P420" i="4"/>
  <c r="T420" i="4"/>
  <c r="U420" i="4"/>
  <c r="L421" i="4"/>
  <c r="L419" i="4" s="1"/>
  <c r="O419" i="4" s="1"/>
  <c r="M421" i="4"/>
  <c r="M419" i="4" s="1"/>
  <c r="P419" i="4" s="1"/>
  <c r="N421" i="4"/>
  <c r="N419" i="4" s="1"/>
  <c r="T421" i="4"/>
  <c r="U421" i="4"/>
  <c r="I424" i="4"/>
  <c r="J424" i="4"/>
  <c r="I425" i="4"/>
  <c r="J425" i="4"/>
  <c r="I432" i="4"/>
  <c r="J432" i="4"/>
  <c r="I433" i="4"/>
  <c r="K433" i="4" s="1"/>
  <c r="J433" i="4"/>
  <c r="I440" i="4"/>
  <c r="I441" i="4"/>
  <c r="J446" i="4"/>
  <c r="J440" i="4" s="1"/>
  <c r="J423" i="4" s="1"/>
  <c r="J412" i="4" s="1"/>
  <c r="J447" i="4"/>
  <c r="J441" i="4" s="1"/>
  <c r="I457" i="4"/>
  <c r="I456" i="4" s="1"/>
  <c r="I458" i="4"/>
  <c r="K458" i="4" s="1"/>
  <c r="J459" i="4"/>
  <c r="J457" i="4" s="1"/>
  <c r="J460" i="4"/>
  <c r="J458" i="4" s="1"/>
  <c r="J467" i="4"/>
  <c r="J468" i="4"/>
  <c r="J475" i="4"/>
  <c r="K475" i="4"/>
  <c r="J476" i="4"/>
  <c r="K476" i="4"/>
  <c r="J477" i="4"/>
  <c r="K477" i="4"/>
  <c r="J482" i="4"/>
  <c r="J483" i="4"/>
  <c r="I484" i="4"/>
  <c r="K484" i="4" s="1"/>
  <c r="J484" i="4"/>
  <c r="I485" i="4"/>
  <c r="K485" i="4" s="1"/>
  <c r="J485" i="4"/>
  <c r="L494" i="4"/>
  <c r="M494" i="4"/>
  <c r="N494" i="4"/>
  <c r="Q494" i="4"/>
  <c r="T494" i="4" s="1"/>
  <c r="R494" i="4"/>
  <c r="U494" i="4" s="1"/>
  <c r="S494" i="4"/>
  <c r="O497" i="4"/>
  <c r="P497" i="4"/>
  <c r="T497" i="4"/>
  <c r="U497" i="4"/>
  <c r="L498" i="4"/>
  <c r="M498" i="4"/>
  <c r="M496" i="4" s="1"/>
  <c r="P496" i="4" s="1"/>
  <c r="N498" i="4"/>
  <c r="N496" i="4" s="1"/>
  <c r="Q498" i="4"/>
  <c r="R498" i="4"/>
  <c r="S498" i="4"/>
  <c r="S496" i="4" s="1"/>
  <c r="Q499" i="4"/>
  <c r="T499" i="4" s="1"/>
  <c r="R499" i="4"/>
  <c r="U499" i="4" s="1"/>
  <c r="S499" i="4"/>
  <c r="O500" i="4"/>
  <c r="P500" i="4"/>
  <c r="T500" i="4"/>
  <c r="U500" i="4"/>
  <c r="L501" i="4"/>
  <c r="M501" i="4"/>
  <c r="M499" i="4" s="1"/>
  <c r="P499" i="4" s="1"/>
  <c r="N501" i="4"/>
  <c r="N499" i="4" s="1"/>
  <c r="T501" i="4"/>
  <c r="U501" i="4"/>
  <c r="I503" i="4"/>
  <c r="K503" i="4" s="1"/>
  <c r="I504" i="4"/>
  <c r="K504" i="4" s="1"/>
  <c r="I505" i="4"/>
  <c r="K505" i="4" s="1"/>
  <c r="I506" i="4"/>
  <c r="I507" i="4"/>
  <c r="K507" i="4" s="1"/>
  <c r="K508" i="4"/>
  <c r="I509" i="4"/>
  <c r="K509" i="4" s="1"/>
  <c r="I512" i="4"/>
  <c r="K512" i="4" s="1"/>
  <c r="J512" i="4"/>
  <c r="S513" i="4"/>
  <c r="L514" i="4"/>
  <c r="O514" i="4" s="1"/>
  <c r="M514" i="4"/>
  <c r="P514" i="4" s="1"/>
  <c r="N514" i="4"/>
  <c r="Q514" i="4"/>
  <c r="R514" i="4"/>
  <c r="U514" i="4" s="1"/>
  <c r="S514" i="4"/>
  <c r="Q515" i="4"/>
  <c r="T515" i="4" s="1"/>
  <c r="R515" i="4"/>
  <c r="U515" i="4" s="1"/>
  <c r="S515" i="4"/>
  <c r="Q516" i="4"/>
  <c r="T516" i="4" s="1"/>
  <c r="R516" i="4"/>
  <c r="U516" i="4" s="1"/>
  <c r="S516" i="4"/>
  <c r="O517" i="4"/>
  <c r="P517" i="4"/>
  <c r="T517" i="4"/>
  <c r="U517" i="4"/>
  <c r="L518" i="4"/>
  <c r="M518" i="4"/>
  <c r="P518" i="4" s="1"/>
  <c r="N518" i="4"/>
  <c r="T518" i="4"/>
  <c r="U518" i="4"/>
  <c r="Q519" i="4"/>
  <c r="T519" i="4" s="1"/>
  <c r="R519" i="4"/>
  <c r="U519" i="4" s="1"/>
  <c r="S519" i="4"/>
  <c r="O520" i="4"/>
  <c r="P520" i="4"/>
  <c r="T520" i="4"/>
  <c r="U520" i="4"/>
  <c r="L521" i="4"/>
  <c r="M521" i="4"/>
  <c r="M519" i="4" s="1"/>
  <c r="P519" i="4" s="1"/>
  <c r="N521" i="4"/>
  <c r="N519" i="4" s="1"/>
  <c r="T521" i="4"/>
  <c r="U521" i="4"/>
  <c r="K523" i="4"/>
  <c r="K524" i="4"/>
  <c r="I533" i="4"/>
  <c r="J533" i="4"/>
  <c r="K533" i="4"/>
  <c r="L535" i="4"/>
  <c r="M535" i="4"/>
  <c r="N535" i="4"/>
  <c r="Q535" i="4"/>
  <c r="T535" i="4" s="1"/>
  <c r="R535" i="4"/>
  <c r="S535" i="4"/>
  <c r="Q536" i="4"/>
  <c r="T536" i="4" s="1"/>
  <c r="R536" i="4"/>
  <c r="U536" i="4" s="1"/>
  <c r="S536" i="4"/>
  <c r="Q537" i="4"/>
  <c r="T537" i="4" s="1"/>
  <c r="R537" i="4"/>
  <c r="U537" i="4" s="1"/>
  <c r="S537" i="4"/>
  <c r="O538" i="4"/>
  <c r="P538" i="4"/>
  <c r="T538" i="4"/>
  <c r="U538" i="4"/>
  <c r="L539" i="4"/>
  <c r="L537" i="4" s="1"/>
  <c r="O537" i="4" s="1"/>
  <c r="M539" i="4"/>
  <c r="N539" i="4"/>
  <c r="T539" i="4"/>
  <c r="U539" i="4"/>
  <c r="Q540" i="4"/>
  <c r="T540" i="4" s="1"/>
  <c r="R540" i="4"/>
  <c r="U540" i="4" s="1"/>
  <c r="S540" i="4"/>
  <c r="O541" i="4"/>
  <c r="P541" i="4"/>
  <c r="T541" i="4"/>
  <c r="U541" i="4"/>
  <c r="L542" i="4"/>
  <c r="L540" i="4" s="1"/>
  <c r="O540" i="4" s="1"/>
  <c r="M542" i="4"/>
  <c r="M540" i="4" s="1"/>
  <c r="P540" i="4" s="1"/>
  <c r="N542" i="4"/>
  <c r="N540" i="4" s="1"/>
  <c r="T542" i="4"/>
  <c r="U542" i="4"/>
  <c r="I554" i="4"/>
  <c r="K554" i="4" s="1"/>
  <c r="J554" i="4"/>
  <c r="S555" i="4"/>
  <c r="L556" i="4"/>
  <c r="M556" i="4"/>
  <c r="N556" i="4"/>
  <c r="O556" i="4"/>
  <c r="Q556" i="4"/>
  <c r="R556" i="4"/>
  <c r="R555" i="4" s="1"/>
  <c r="U555" i="4" s="1"/>
  <c r="S556" i="4"/>
  <c r="T556" i="4"/>
  <c r="U556" i="4"/>
  <c r="Q557" i="4"/>
  <c r="T557" i="4" s="1"/>
  <c r="R557" i="4"/>
  <c r="U557" i="4" s="1"/>
  <c r="S557" i="4"/>
  <c r="Q558" i="4"/>
  <c r="R558" i="4"/>
  <c r="U558" i="4" s="1"/>
  <c r="S558" i="4"/>
  <c r="T558" i="4"/>
  <c r="O559" i="4"/>
  <c r="P559" i="4"/>
  <c r="T559" i="4"/>
  <c r="U559" i="4"/>
  <c r="L560" i="4"/>
  <c r="O560" i="4" s="1"/>
  <c r="M560" i="4"/>
  <c r="N560" i="4"/>
  <c r="N558" i="4" s="1"/>
  <c r="T560" i="4"/>
  <c r="U560" i="4"/>
  <c r="Q561" i="4"/>
  <c r="T561" i="4" s="1"/>
  <c r="R561" i="4"/>
  <c r="U561" i="4" s="1"/>
  <c r="S561" i="4"/>
  <c r="O562" i="4"/>
  <c r="P562" i="4"/>
  <c r="T562" i="4"/>
  <c r="U562" i="4"/>
  <c r="L563" i="4"/>
  <c r="M563" i="4"/>
  <c r="P563" i="4" s="1"/>
  <c r="N563" i="4"/>
  <c r="N561" i="4" s="1"/>
  <c r="T563" i="4"/>
  <c r="U563" i="4"/>
  <c r="I575" i="4"/>
  <c r="J575" i="4"/>
  <c r="K575" i="4"/>
  <c r="L577" i="4"/>
  <c r="O577" i="4" s="1"/>
  <c r="M577" i="4"/>
  <c r="N577" i="4"/>
  <c r="Q577" i="4"/>
  <c r="R577" i="4"/>
  <c r="U577" i="4" s="1"/>
  <c r="S577" i="4"/>
  <c r="Q578" i="4"/>
  <c r="T578" i="4" s="1"/>
  <c r="R578" i="4"/>
  <c r="S578" i="4"/>
  <c r="U578" i="4"/>
  <c r="Q579" i="4"/>
  <c r="T579" i="4" s="1"/>
  <c r="R579" i="4"/>
  <c r="U579" i="4" s="1"/>
  <c r="S579" i="4"/>
  <c r="O580" i="4"/>
  <c r="P580" i="4"/>
  <c r="T580" i="4"/>
  <c r="U580" i="4"/>
  <c r="L581" i="4"/>
  <c r="L579" i="4" s="1"/>
  <c r="O579" i="4" s="1"/>
  <c r="M581" i="4"/>
  <c r="M579" i="4" s="1"/>
  <c r="P579" i="4" s="1"/>
  <c r="N581" i="4"/>
  <c r="N579" i="4" s="1"/>
  <c r="T581" i="4"/>
  <c r="U581" i="4"/>
  <c r="Q582" i="4"/>
  <c r="R582" i="4"/>
  <c r="S582" i="4"/>
  <c r="T582" i="4"/>
  <c r="U582" i="4"/>
  <c r="O583" i="4"/>
  <c r="P583" i="4"/>
  <c r="T583" i="4"/>
  <c r="U583" i="4"/>
  <c r="L584" i="4"/>
  <c r="O584" i="4" s="1"/>
  <c r="M584" i="4"/>
  <c r="P584" i="4" s="1"/>
  <c r="N584" i="4"/>
  <c r="N582" i="4" s="1"/>
  <c r="T584" i="4"/>
  <c r="U584" i="4"/>
  <c r="L600" i="4"/>
  <c r="O600" i="4" s="1"/>
  <c r="M600" i="4"/>
  <c r="N600" i="4"/>
  <c r="Q600" i="4"/>
  <c r="R600" i="4"/>
  <c r="U600" i="4" s="1"/>
  <c r="S600" i="4"/>
  <c r="T600" i="4"/>
  <c r="O603" i="4"/>
  <c r="P603" i="4"/>
  <c r="T603" i="4"/>
  <c r="U603" i="4"/>
  <c r="L604" i="4"/>
  <c r="M604" i="4"/>
  <c r="N604" i="4"/>
  <c r="N602" i="4" s="1"/>
  <c r="Q604" i="4"/>
  <c r="T604" i="4" s="1"/>
  <c r="R604" i="4"/>
  <c r="S604" i="4"/>
  <c r="O606" i="4"/>
  <c r="P606" i="4"/>
  <c r="T606" i="4"/>
  <c r="U606" i="4"/>
  <c r="L607" i="4"/>
  <c r="M607" i="4"/>
  <c r="M605" i="4" s="1"/>
  <c r="P605" i="4" s="1"/>
  <c r="N607" i="4"/>
  <c r="N605" i="4" s="1"/>
  <c r="Q607" i="4"/>
  <c r="T607" i="4" s="1"/>
  <c r="R607" i="4"/>
  <c r="U607" i="4" s="1"/>
  <c r="S607" i="4"/>
  <c r="S605" i="4" s="1"/>
  <c r="L617" i="4"/>
  <c r="M617" i="4"/>
  <c r="P617" i="4" s="1"/>
  <c r="N617" i="4"/>
  <c r="Q617" i="4"/>
  <c r="R617" i="4"/>
  <c r="S617" i="4"/>
  <c r="L618" i="4"/>
  <c r="O618" i="4" s="1"/>
  <c r="M618" i="4"/>
  <c r="N618" i="4"/>
  <c r="N616" i="4" s="1"/>
  <c r="L619" i="4"/>
  <c r="M619" i="4"/>
  <c r="P619" i="4" s="1"/>
  <c r="N619" i="4"/>
  <c r="O619" i="4"/>
  <c r="O620" i="4"/>
  <c r="P620" i="4"/>
  <c r="T620" i="4"/>
  <c r="U620" i="4"/>
  <c r="O621" i="4"/>
  <c r="P621" i="4"/>
  <c r="Q621" i="4"/>
  <c r="Q618" i="4" s="1"/>
  <c r="R621" i="4"/>
  <c r="S621" i="4"/>
  <c r="L622" i="4"/>
  <c r="O622" i="4" s="1"/>
  <c r="M622" i="4"/>
  <c r="N622" i="4"/>
  <c r="P622" i="4"/>
  <c r="Q622" i="4"/>
  <c r="T622" i="4" s="1"/>
  <c r="R622" i="4"/>
  <c r="U622" i="4" s="1"/>
  <c r="S622" i="4"/>
  <c r="O623" i="4"/>
  <c r="P623" i="4"/>
  <c r="T623" i="4"/>
  <c r="U623" i="4"/>
  <c r="O624" i="4"/>
  <c r="P624" i="4"/>
  <c r="T624" i="4"/>
  <c r="U624" i="4"/>
  <c r="I626" i="4"/>
  <c r="K629" i="4" s="1"/>
  <c r="I627" i="4"/>
  <c r="K627" i="4" s="1"/>
  <c r="I628" i="4"/>
  <c r="K628" i="4" s="1"/>
  <c r="J632" i="4"/>
  <c r="J626" i="4" s="1"/>
  <c r="J615" i="4" s="1"/>
  <c r="I635" i="4"/>
  <c r="K635" i="4" s="1"/>
  <c r="J635" i="4"/>
  <c r="J636" i="4"/>
  <c r="L643" i="4"/>
  <c r="O643" i="4" s="1"/>
  <c r="M643" i="4"/>
  <c r="M642" i="4" s="1"/>
  <c r="P642" i="4" s="1"/>
  <c r="N643" i="4"/>
  <c r="N642" i="4" s="1"/>
  <c r="Q643" i="4"/>
  <c r="R643" i="4"/>
  <c r="U643" i="4" s="1"/>
  <c r="S643" i="4"/>
  <c r="T643" i="4"/>
  <c r="L644" i="4"/>
  <c r="L642" i="4" s="1"/>
  <c r="O642" i="4" s="1"/>
  <c r="M644" i="4"/>
  <c r="N644" i="4"/>
  <c r="P644" i="4"/>
  <c r="L645" i="4"/>
  <c r="O645" i="4" s="1"/>
  <c r="M645" i="4"/>
  <c r="P645" i="4" s="1"/>
  <c r="N645" i="4"/>
  <c r="O646" i="4"/>
  <c r="P646" i="4"/>
  <c r="T646" i="4"/>
  <c r="U646" i="4"/>
  <c r="O647" i="4"/>
  <c r="P647" i="4"/>
  <c r="Q647" i="4"/>
  <c r="R647" i="4"/>
  <c r="R644" i="4" s="1"/>
  <c r="U644" i="4" s="1"/>
  <c r="S647" i="4"/>
  <c r="S644" i="4" s="1"/>
  <c r="S642" i="4" s="1"/>
  <c r="L648" i="4"/>
  <c r="O648" i="4" s="1"/>
  <c r="M648" i="4"/>
  <c r="P648" i="4" s="1"/>
  <c r="N648" i="4"/>
  <c r="Q648" i="4"/>
  <c r="T648" i="4" s="1"/>
  <c r="R648" i="4"/>
  <c r="U648" i="4" s="1"/>
  <c r="S648" i="4"/>
  <c r="O649" i="4"/>
  <c r="P649" i="4"/>
  <c r="T649" i="4"/>
  <c r="U649" i="4"/>
  <c r="O650" i="4"/>
  <c r="P650" i="4"/>
  <c r="T650" i="4"/>
  <c r="U650" i="4"/>
  <c r="I652" i="4"/>
  <c r="K652" i="4" s="1"/>
  <c r="J652" i="4"/>
  <c r="I653" i="4"/>
  <c r="K653" i="4" s="1"/>
  <c r="J653" i="4"/>
  <c r="I654" i="4"/>
  <c r="K654" i="4" s="1"/>
  <c r="J654" i="4"/>
  <c r="I657" i="4"/>
  <c r="I660" i="4"/>
  <c r="I661" i="4"/>
  <c r="K661" i="4" s="1"/>
  <c r="J661" i="4"/>
  <c r="J671" i="4"/>
  <c r="J672" i="4"/>
  <c r="I673" i="4"/>
  <c r="K673" i="4" s="1"/>
  <c r="J673" i="4"/>
  <c r="I674" i="4"/>
  <c r="K674" i="4" s="1"/>
  <c r="I675" i="4"/>
  <c r="K675" i="4" s="1"/>
  <c r="I676" i="4"/>
  <c r="K676" i="4" s="1"/>
  <c r="J676" i="4"/>
  <c r="J677" i="4"/>
  <c r="I678" i="4"/>
  <c r="K678" i="4" s="1"/>
  <c r="J678" i="4"/>
  <c r="I679" i="4"/>
  <c r="K679" i="4" s="1"/>
  <c r="J679" i="4"/>
  <c r="J680" i="4"/>
  <c r="I681" i="4"/>
  <c r="K681" i="4" s="1"/>
  <c r="J681" i="4"/>
  <c r="I682" i="4"/>
  <c r="K682" i="4" s="1"/>
  <c r="J682" i="4"/>
  <c r="N690" i="4"/>
  <c r="L691" i="4"/>
  <c r="M691" i="4"/>
  <c r="M690" i="4" s="1"/>
  <c r="P690" i="4" s="1"/>
  <c r="N691" i="4"/>
  <c r="O691" i="4"/>
  <c r="Q691" i="4"/>
  <c r="R691" i="4"/>
  <c r="S691" i="4"/>
  <c r="U691" i="4"/>
  <c r="L692" i="4"/>
  <c r="O692" i="4" s="1"/>
  <c r="M692" i="4"/>
  <c r="N692" i="4"/>
  <c r="P692" i="4"/>
  <c r="L693" i="4"/>
  <c r="O693" i="4" s="1"/>
  <c r="M693" i="4"/>
  <c r="P693" i="4" s="1"/>
  <c r="N693" i="4"/>
  <c r="O694" i="4"/>
  <c r="P694" i="4"/>
  <c r="T694" i="4"/>
  <c r="U694" i="4"/>
  <c r="O695" i="4"/>
  <c r="P695" i="4"/>
  <c r="Q695" i="4"/>
  <c r="Q693" i="4" s="1"/>
  <c r="R695" i="4"/>
  <c r="R692" i="4" s="1"/>
  <c r="R690" i="4" s="1"/>
  <c r="S695" i="4"/>
  <c r="S692" i="4" s="1"/>
  <c r="L696" i="4"/>
  <c r="M696" i="4"/>
  <c r="P696" i="4" s="1"/>
  <c r="N696" i="4"/>
  <c r="O696" i="4"/>
  <c r="Q696" i="4"/>
  <c r="T696" i="4" s="1"/>
  <c r="R696" i="4"/>
  <c r="S696" i="4"/>
  <c r="U696" i="4"/>
  <c r="O697" i="4"/>
  <c r="P697" i="4"/>
  <c r="T697" i="4"/>
  <c r="U697" i="4"/>
  <c r="O698" i="4"/>
  <c r="P698" i="4"/>
  <c r="T698" i="4"/>
  <c r="U698" i="4"/>
  <c r="I700" i="4"/>
  <c r="K700" i="4" s="1"/>
  <c r="K702" i="4"/>
  <c r="I703" i="4"/>
  <c r="K703" i="4" s="1"/>
  <c r="J703" i="4"/>
  <c r="J704" i="4"/>
  <c r="K704" i="4"/>
  <c r="I705" i="4"/>
  <c r="J705" i="4"/>
  <c r="J706" i="4"/>
  <c r="K706" i="4"/>
  <c r="I707" i="4"/>
  <c r="I689" i="4" s="1"/>
  <c r="K689" i="4" s="1"/>
  <c r="J707" i="4"/>
  <c r="J689" i="4" s="1"/>
  <c r="J708" i="4"/>
  <c r="K708" i="4"/>
  <c r="I709" i="4"/>
  <c r="J709" i="4"/>
  <c r="J710" i="4"/>
  <c r="K710" i="4"/>
  <c r="J712" i="4"/>
  <c r="K712" i="4"/>
  <c r="L714" i="4"/>
  <c r="O714" i="4" s="1"/>
  <c r="L715" i="4"/>
  <c r="O715" i="4" s="1"/>
  <c r="M715" i="4"/>
  <c r="M714" i="4" s="1"/>
  <c r="P714" i="4" s="1"/>
  <c r="N715" i="4"/>
  <c r="Q715" i="4"/>
  <c r="Q714" i="4" s="1"/>
  <c r="T714" i="4" s="1"/>
  <c r="R715" i="4"/>
  <c r="U715" i="4" s="1"/>
  <c r="S715" i="4"/>
  <c r="S714" i="4" s="1"/>
  <c r="L716" i="4"/>
  <c r="O716" i="4" s="1"/>
  <c r="M716" i="4"/>
  <c r="N716" i="4"/>
  <c r="P716" i="4"/>
  <c r="Q716" i="4"/>
  <c r="R716" i="4"/>
  <c r="U716" i="4" s="1"/>
  <c r="S716" i="4"/>
  <c r="T716" i="4"/>
  <c r="L717" i="4"/>
  <c r="O717" i="4" s="1"/>
  <c r="M717" i="4"/>
  <c r="P717" i="4" s="1"/>
  <c r="N717" i="4"/>
  <c r="Q717" i="4"/>
  <c r="T717" i="4" s="1"/>
  <c r="R717" i="4"/>
  <c r="U717" i="4" s="1"/>
  <c r="S717" i="4"/>
  <c r="O718" i="4"/>
  <c r="P718" i="4"/>
  <c r="T718" i="4"/>
  <c r="U718" i="4"/>
  <c r="O719" i="4"/>
  <c r="P719" i="4"/>
  <c r="T719" i="4"/>
  <c r="U719" i="4"/>
  <c r="L720" i="4"/>
  <c r="O720" i="4" s="1"/>
  <c r="M720" i="4"/>
  <c r="P720" i="4" s="1"/>
  <c r="N720" i="4"/>
  <c r="Q720" i="4"/>
  <c r="T720" i="4" s="1"/>
  <c r="R720" i="4"/>
  <c r="U720" i="4" s="1"/>
  <c r="S720" i="4"/>
  <c r="O721" i="4"/>
  <c r="P721" i="4"/>
  <c r="T721" i="4"/>
  <c r="U721" i="4"/>
  <c r="O722" i="4"/>
  <c r="P722" i="4"/>
  <c r="T722" i="4"/>
  <c r="U722" i="4"/>
  <c r="I726" i="4"/>
  <c r="K726" i="4" s="1"/>
  <c r="J726" i="4"/>
  <c r="I727" i="4"/>
  <c r="K727" i="4" s="1"/>
  <c r="J727" i="4"/>
  <c r="L729" i="4"/>
  <c r="O729" i="4" s="1"/>
  <c r="M729" i="4"/>
  <c r="N729" i="4"/>
  <c r="N728" i="4" s="1"/>
  <c r="Q729" i="4"/>
  <c r="R729" i="4"/>
  <c r="U729" i="4" s="1"/>
  <c r="S729" i="4"/>
  <c r="T729" i="4"/>
  <c r="L730" i="4"/>
  <c r="M730" i="4"/>
  <c r="P730" i="4" s="1"/>
  <c r="N730" i="4"/>
  <c r="O730" i="4"/>
  <c r="L731" i="4"/>
  <c r="O731" i="4" s="1"/>
  <c r="M731" i="4"/>
  <c r="P731" i="4" s="1"/>
  <c r="N731" i="4"/>
  <c r="O732" i="4"/>
  <c r="P732" i="4"/>
  <c r="T732" i="4"/>
  <c r="U732" i="4"/>
  <c r="O733" i="4"/>
  <c r="P733" i="4"/>
  <c r="Q733" i="4"/>
  <c r="Q730" i="4" s="1"/>
  <c r="R733" i="4"/>
  <c r="R730" i="4" s="1"/>
  <c r="S733" i="4"/>
  <c r="S731" i="4" s="1"/>
  <c r="L734" i="4"/>
  <c r="M734" i="4"/>
  <c r="P734" i="4" s="1"/>
  <c r="N734" i="4"/>
  <c r="O734" i="4"/>
  <c r="Q734" i="4"/>
  <c r="R734" i="4"/>
  <c r="U734" i="4" s="1"/>
  <c r="S734" i="4"/>
  <c r="T734" i="4"/>
  <c r="O735" i="4"/>
  <c r="P735" i="4"/>
  <c r="T735" i="4"/>
  <c r="U735" i="4"/>
  <c r="O736" i="4"/>
  <c r="P736" i="4"/>
  <c r="T736" i="4"/>
  <c r="U736" i="4"/>
  <c r="I740" i="4"/>
  <c r="K740" i="4" s="1"/>
  <c r="I742" i="4"/>
  <c r="K742" i="4" s="1"/>
  <c r="I744" i="4"/>
  <c r="K744" i="4" s="1"/>
  <c r="I746" i="4"/>
  <c r="K746" i="4" s="1"/>
  <c r="I749" i="4"/>
  <c r="K749" i="4" s="1"/>
  <c r="I752" i="4"/>
  <c r="K752" i="4" s="1"/>
  <c r="I755" i="4"/>
  <c r="K755" i="4" s="1"/>
  <c r="J758" i="4"/>
  <c r="J759" i="4"/>
  <c r="L761" i="4"/>
  <c r="M761" i="4"/>
  <c r="P761" i="4" s="1"/>
  <c r="N761" i="4"/>
  <c r="O761" i="4"/>
  <c r="Q761" i="4"/>
  <c r="R761" i="4"/>
  <c r="U761" i="4" s="1"/>
  <c r="S761" i="4"/>
  <c r="T761" i="4"/>
  <c r="L762" i="4"/>
  <c r="L760" i="4" s="1"/>
  <c r="O760" i="4" s="1"/>
  <c r="M762" i="4"/>
  <c r="N762" i="4"/>
  <c r="P762" i="4"/>
  <c r="L763" i="4"/>
  <c r="O763" i="4" s="1"/>
  <c r="M763" i="4"/>
  <c r="P763" i="4" s="1"/>
  <c r="N763" i="4"/>
  <c r="O764" i="4"/>
  <c r="P764" i="4"/>
  <c r="T764" i="4"/>
  <c r="U764" i="4"/>
  <c r="O765" i="4"/>
  <c r="P765" i="4"/>
  <c r="Q765" i="4"/>
  <c r="Q762" i="4" s="1"/>
  <c r="R765" i="4"/>
  <c r="R762" i="4" s="1"/>
  <c r="S765" i="4"/>
  <c r="S762" i="4" s="1"/>
  <c r="S760" i="4" s="1"/>
  <c r="L766" i="4"/>
  <c r="O766" i="4" s="1"/>
  <c r="M766" i="4"/>
  <c r="N766" i="4"/>
  <c r="P766" i="4"/>
  <c r="Q766" i="4"/>
  <c r="R766" i="4"/>
  <c r="U766" i="4" s="1"/>
  <c r="S766" i="4"/>
  <c r="T766" i="4"/>
  <c r="O767" i="4"/>
  <c r="P767" i="4"/>
  <c r="T767" i="4"/>
  <c r="U767" i="4"/>
  <c r="O768" i="4"/>
  <c r="P768" i="4"/>
  <c r="T768" i="4"/>
  <c r="U768" i="4"/>
  <c r="I770" i="4"/>
  <c r="K770" i="4" s="1"/>
  <c r="I772" i="4"/>
  <c r="I758" i="4" s="1"/>
  <c r="K758" i="4" s="1"/>
  <c r="I774" i="4"/>
  <c r="K774" i="4" s="1"/>
  <c r="I775" i="4"/>
  <c r="I776" i="4"/>
  <c r="H777" i="4"/>
  <c r="I778" i="4"/>
  <c r="J778" i="4"/>
  <c r="I779" i="4"/>
  <c r="J779" i="4"/>
  <c r="I780" i="4"/>
  <c r="J780" i="4"/>
  <c r="I781" i="4"/>
  <c r="J781" i="4"/>
  <c r="I782" i="4"/>
  <c r="K782" i="4" s="1"/>
  <c r="J782" i="4"/>
  <c r="I783" i="4"/>
  <c r="K783" i="4" s="1"/>
  <c r="J783" i="4"/>
  <c r="I784" i="4"/>
  <c r="J784" i="4"/>
  <c r="I785" i="4"/>
  <c r="J785" i="4"/>
  <c r="A788" i="4"/>
  <c r="A789" i="4"/>
  <c r="L22" i="3"/>
  <c r="O22" i="3" s="1"/>
  <c r="M22" i="3"/>
  <c r="N22" i="3"/>
  <c r="Q22" i="3"/>
  <c r="T22" i="3" s="1"/>
  <c r="R22" i="3"/>
  <c r="S22" i="3"/>
  <c r="L25" i="3"/>
  <c r="M25" i="3"/>
  <c r="N25" i="3"/>
  <c r="O25" i="3"/>
  <c r="Q25" i="3"/>
  <c r="T25" i="3" s="1"/>
  <c r="R25" i="3"/>
  <c r="U25" i="3" s="1"/>
  <c r="S25" i="3"/>
  <c r="R44" i="3"/>
  <c r="U44" i="3" s="1"/>
  <c r="L45" i="3"/>
  <c r="O45" i="3" s="1"/>
  <c r="M45" i="3"/>
  <c r="P45" i="3" s="1"/>
  <c r="N45" i="3"/>
  <c r="Q45" i="3"/>
  <c r="R45" i="3"/>
  <c r="U45" i="3" s="1"/>
  <c r="S45" i="3"/>
  <c r="T45" i="3"/>
  <c r="Q46" i="3"/>
  <c r="R46" i="3"/>
  <c r="U46" i="3" s="1"/>
  <c r="S46" i="3"/>
  <c r="T46" i="3"/>
  <c r="Q47" i="3"/>
  <c r="T47" i="3" s="1"/>
  <c r="R47" i="3"/>
  <c r="U47" i="3" s="1"/>
  <c r="S47" i="3"/>
  <c r="O48" i="3"/>
  <c r="P48" i="3"/>
  <c r="T48" i="3"/>
  <c r="U48" i="3"/>
  <c r="L49" i="3"/>
  <c r="M49" i="3"/>
  <c r="M47" i="3" s="1"/>
  <c r="N49" i="3"/>
  <c r="N47" i="3" s="1"/>
  <c r="T49" i="3"/>
  <c r="U49" i="3"/>
  <c r="Q50" i="3"/>
  <c r="T50" i="3" s="1"/>
  <c r="R50" i="3"/>
  <c r="U50" i="3" s="1"/>
  <c r="S50" i="3"/>
  <c r="O51" i="3"/>
  <c r="P51" i="3"/>
  <c r="T51" i="3"/>
  <c r="U51" i="3"/>
  <c r="L52" i="3"/>
  <c r="O52" i="3" s="1"/>
  <c r="M52" i="3"/>
  <c r="N52" i="3"/>
  <c r="T52" i="3"/>
  <c r="U52" i="3"/>
  <c r="L60" i="3"/>
  <c r="O60" i="3" s="1"/>
  <c r="M60" i="3"/>
  <c r="N60" i="3"/>
  <c r="P60" i="3"/>
  <c r="Q60" i="3"/>
  <c r="R60" i="3"/>
  <c r="U60" i="3" s="1"/>
  <c r="S60" i="3"/>
  <c r="Q61" i="3"/>
  <c r="T61" i="3" s="1"/>
  <c r="R61" i="3"/>
  <c r="U61" i="3" s="1"/>
  <c r="S61" i="3"/>
  <c r="S59" i="3" s="1"/>
  <c r="Q62" i="3"/>
  <c r="R62" i="3"/>
  <c r="U62" i="3" s="1"/>
  <c r="S62" i="3"/>
  <c r="T62" i="3"/>
  <c r="O63" i="3"/>
  <c r="P63" i="3"/>
  <c r="T63" i="3"/>
  <c r="U63" i="3"/>
  <c r="L64" i="3"/>
  <c r="M64" i="3"/>
  <c r="N64" i="3"/>
  <c r="N62" i="3" s="1"/>
  <c r="T64" i="3"/>
  <c r="U64" i="3"/>
  <c r="Q65" i="3"/>
  <c r="T65" i="3" s="1"/>
  <c r="R65" i="3"/>
  <c r="S65" i="3"/>
  <c r="U65" i="3"/>
  <c r="O66" i="3"/>
  <c r="P66" i="3"/>
  <c r="T66" i="3"/>
  <c r="U66" i="3"/>
  <c r="L67" i="3"/>
  <c r="L65" i="3" s="1"/>
  <c r="M67" i="3"/>
  <c r="N67" i="3"/>
  <c r="N65" i="3" s="1"/>
  <c r="T67" i="3"/>
  <c r="U67" i="3"/>
  <c r="L73" i="3"/>
  <c r="O73" i="3" s="1"/>
  <c r="M73" i="3"/>
  <c r="P73" i="3" s="1"/>
  <c r="N73" i="3"/>
  <c r="Q73" i="3"/>
  <c r="R73" i="3"/>
  <c r="U73" i="3" s="1"/>
  <c r="S73" i="3"/>
  <c r="T73" i="3"/>
  <c r="O76" i="3"/>
  <c r="P76" i="3"/>
  <c r="T76" i="3"/>
  <c r="U76" i="3"/>
  <c r="L77" i="3"/>
  <c r="M77" i="3"/>
  <c r="M75" i="3" s="1"/>
  <c r="N77" i="3"/>
  <c r="N75" i="3" s="1"/>
  <c r="Q77" i="3"/>
  <c r="R77" i="3"/>
  <c r="S77" i="3"/>
  <c r="O79" i="3"/>
  <c r="P79" i="3"/>
  <c r="T79" i="3"/>
  <c r="U79" i="3"/>
  <c r="L80" i="3"/>
  <c r="L78" i="3" s="1"/>
  <c r="O78" i="3" s="1"/>
  <c r="M80" i="3"/>
  <c r="M78" i="3" s="1"/>
  <c r="P78" i="3" s="1"/>
  <c r="N80" i="3"/>
  <c r="N78" i="3" s="1"/>
  <c r="Q80" i="3"/>
  <c r="T80" i="3" s="1"/>
  <c r="R80" i="3"/>
  <c r="R78" i="3" s="1"/>
  <c r="U78" i="3" s="1"/>
  <c r="S80" i="3"/>
  <c r="S78" i="3" s="1"/>
  <c r="J82" i="3"/>
  <c r="J70" i="3" s="1"/>
  <c r="J83" i="3"/>
  <c r="J71" i="3" s="1"/>
  <c r="I84" i="3"/>
  <c r="K84" i="3" s="1"/>
  <c r="I85" i="3"/>
  <c r="I86" i="3"/>
  <c r="K86" i="3" s="1"/>
  <c r="I87" i="3"/>
  <c r="K87" i="3" s="1"/>
  <c r="I88" i="3"/>
  <c r="K88" i="3" s="1"/>
  <c r="I89" i="3"/>
  <c r="K89" i="3" s="1"/>
  <c r="I90" i="3"/>
  <c r="K90" i="3" s="1"/>
  <c r="J92" i="3"/>
  <c r="J93" i="3"/>
  <c r="L95" i="3"/>
  <c r="M95" i="3"/>
  <c r="P95" i="3" s="1"/>
  <c r="N95" i="3"/>
  <c r="Q95" i="3"/>
  <c r="R95" i="3"/>
  <c r="S95" i="3"/>
  <c r="T95" i="3"/>
  <c r="O98" i="3"/>
  <c r="P98" i="3"/>
  <c r="T98" i="3"/>
  <c r="U98" i="3"/>
  <c r="L99" i="3"/>
  <c r="M99" i="3"/>
  <c r="N99" i="3"/>
  <c r="Q99" i="3"/>
  <c r="R99" i="3"/>
  <c r="R96" i="3" s="1"/>
  <c r="S99" i="3"/>
  <c r="S96" i="3" s="1"/>
  <c r="Q100" i="3"/>
  <c r="T100" i="3" s="1"/>
  <c r="R100" i="3"/>
  <c r="U100" i="3" s="1"/>
  <c r="S100" i="3"/>
  <c r="O101" i="3"/>
  <c r="P101" i="3"/>
  <c r="T101" i="3"/>
  <c r="U101" i="3"/>
  <c r="L102" i="3"/>
  <c r="O102" i="3" s="1"/>
  <c r="M102" i="3"/>
  <c r="N102" i="3"/>
  <c r="N100" i="3" s="1"/>
  <c r="T102" i="3"/>
  <c r="U102" i="3"/>
  <c r="I108" i="3"/>
  <c r="I92" i="3" s="1"/>
  <c r="K92" i="3" s="1"/>
  <c r="I109" i="3"/>
  <c r="I113" i="3"/>
  <c r="K113" i="3" s="1"/>
  <c r="I114" i="3"/>
  <c r="K114" i="3" s="1"/>
  <c r="J116" i="3"/>
  <c r="L118" i="3"/>
  <c r="O118" i="3" s="1"/>
  <c r="M118" i="3"/>
  <c r="P118" i="3" s="1"/>
  <c r="N118" i="3"/>
  <c r="Q118" i="3"/>
  <c r="R118" i="3"/>
  <c r="U118" i="3" s="1"/>
  <c r="S118" i="3"/>
  <c r="T118" i="3"/>
  <c r="O121" i="3"/>
  <c r="P121" i="3"/>
  <c r="T121" i="3"/>
  <c r="U121" i="3"/>
  <c r="L122" i="3"/>
  <c r="O122" i="3" s="1"/>
  <c r="M122" i="3"/>
  <c r="P122" i="3" s="1"/>
  <c r="N122" i="3"/>
  <c r="Q122" i="3"/>
  <c r="R122" i="3"/>
  <c r="R120" i="3" s="1"/>
  <c r="S122" i="3"/>
  <c r="O124" i="3"/>
  <c r="P124" i="3"/>
  <c r="T124" i="3"/>
  <c r="U124" i="3"/>
  <c r="L125" i="3"/>
  <c r="M125" i="3"/>
  <c r="N125" i="3"/>
  <c r="N123" i="3" s="1"/>
  <c r="Q125" i="3"/>
  <c r="T125" i="3" s="1"/>
  <c r="R125" i="3"/>
  <c r="R123" i="3" s="1"/>
  <c r="U123" i="3" s="1"/>
  <c r="S125" i="3"/>
  <c r="S123" i="3" s="1"/>
  <c r="I127" i="3"/>
  <c r="I128" i="3"/>
  <c r="K128" i="3" s="1"/>
  <c r="I129" i="3"/>
  <c r="K129" i="3" s="1"/>
  <c r="I130" i="3"/>
  <c r="K130" i="3" s="1"/>
  <c r="J136" i="3"/>
  <c r="J137" i="3"/>
  <c r="J138" i="3"/>
  <c r="L140" i="3"/>
  <c r="M140" i="3"/>
  <c r="P140" i="3" s="1"/>
  <c r="N140" i="3"/>
  <c r="O140" i="3"/>
  <c r="Q140" i="3"/>
  <c r="T140" i="3" s="1"/>
  <c r="R140" i="3"/>
  <c r="U140" i="3" s="1"/>
  <c r="S140" i="3"/>
  <c r="O143" i="3"/>
  <c r="P143" i="3"/>
  <c r="T143" i="3"/>
  <c r="U143" i="3"/>
  <c r="L144" i="3"/>
  <c r="M144" i="3"/>
  <c r="N144" i="3"/>
  <c r="Q144" i="3"/>
  <c r="Q142" i="3" s="1"/>
  <c r="R144" i="3"/>
  <c r="R142" i="3" s="1"/>
  <c r="S144" i="3"/>
  <c r="O146" i="3"/>
  <c r="P146" i="3"/>
  <c r="T146" i="3"/>
  <c r="U146" i="3"/>
  <c r="L147" i="3"/>
  <c r="O147" i="3" s="1"/>
  <c r="M147" i="3"/>
  <c r="M145" i="3" s="1"/>
  <c r="P145" i="3" s="1"/>
  <c r="N147" i="3"/>
  <c r="N145" i="3" s="1"/>
  <c r="Q147" i="3"/>
  <c r="Q145" i="3" s="1"/>
  <c r="T145" i="3" s="1"/>
  <c r="R147" i="3"/>
  <c r="R145" i="3" s="1"/>
  <c r="U145" i="3" s="1"/>
  <c r="S147" i="3"/>
  <c r="S145" i="3" s="1"/>
  <c r="I150" i="3"/>
  <c r="K150" i="3" s="1"/>
  <c r="I151" i="3"/>
  <c r="K151" i="3" s="1"/>
  <c r="I152" i="3"/>
  <c r="I137" i="3" s="1"/>
  <c r="K137" i="3" s="1"/>
  <c r="I153" i="3"/>
  <c r="I154" i="3"/>
  <c r="K154" i="3" s="1"/>
  <c r="J156" i="3"/>
  <c r="L158" i="3"/>
  <c r="O158" i="3" s="1"/>
  <c r="M158" i="3"/>
  <c r="P158" i="3" s="1"/>
  <c r="N158" i="3"/>
  <c r="Q158" i="3"/>
  <c r="T158" i="3" s="1"/>
  <c r="R158" i="3"/>
  <c r="U158" i="3" s="1"/>
  <c r="S158" i="3"/>
  <c r="O161" i="3"/>
  <c r="P161" i="3"/>
  <c r="T161" i="3"/>
  <c r="U161" i="3"/>
  <c r="L162" i="3"/>
  <c r="L160" i="3" s="1"/>
  <c r="M162" i="3"/>
  <c r="M160" i="3" s="1"/>
  <c r="N162" i="3"/>
  <c r="N160" i="3" s="1"/>
  <c r="Q162" i="3"/>
  <c r="Q159" i="3" s="1"/>
  <c r="T159" i="3" s="1"/>
  <c r="R162" i="3"/>
  <c r="R160" i="3" s="1"/>
  <c r="U160" i="3" s="1"/>
  <c r="S162" i="3"/>
  <c r="S160" i="3" s="1"/>
  <c r="Q163" i="3"/>
  <c r="T163" i="3" s="1"/>
  <c r="R163" i="3"/>
  <c r="U163" i="3" s="1"/>
  <c r="S163" i="3"/>
  <c r="O164" i="3"/>
  <c r="P164" i="3"/>
  <c r="T164" i="3"/>
  <c r="U164" i="3"/>
  <c r="L165" i="3"/>
  <c r="M165" i="3"/>
  <c r="P165" i="3" s="1"/>
  <c r="N165" i="3"/>
  <c r="N163" i="3" s="1"/>
  <c r="T165" i="3"/>
  <c r="U165" i="3"/>
  <c r="I167" i="3"/>
  <c r="J172" i="3"/>
  <c r="L174" i="3"/>
  <c r="O174" i="3" s="1"/>
  <c r="M174" i="3"/>
  <c r="N174" i="3"/>
  <c r="Q174" i="3"/>
  <c r="R174" i="3"/>
  <c r="S174" i="3"/>
  <c r="T174" i="3"/>
  <c r="O177" i="3"/>
  <c r="P177" i="3"/>
  <c r="T177" i="3"/>
  <c r="U177" i="3"/>
  <c r="L178" i="3"/>
  <c r="M178" i="3"/>
  <c r="N178" i="3"/>
  <c r="Q178" i="3"/>
  <c r="R178" i="3"/>
  <c r="R176" i="3" s="1"/>
  <c r="U176" i="3" s="1"/>
  <c r="S178" i="3"/>
  <c r="S176" i="3" s="1"/>
  <c r="Q179" i="3"/>
  <c r="T179" i="3" s="1"/>
  <c r="R179" i="3"/>
  <c r="S179" i="3"/>
  <c r="U179" i="3"/>
  <c r="O180" i="3"/>
  <c r="P180" i="3"/>
  <c r="T180" i="3"/>
  <c r="U180" i="3"/>
  <c r="L181" i="3"/>
  <c r="L179" i="3" s="1"/>
  <c r="O179" i="3" s="1"/>
  <c r="M181" i="3"/>
  <c r="N181" i="3"/>
  <c r="N179" i="3" s="1"/>
  <c r="T181" i="3"/>
  <c r="U181" i="3"/>
  <c r="I183" i="3"/>
  <c r="I172" i="3" s="1"/>
  <c r="K172" i="3" s="1"/>
  <c r="K184" i="3"/>
  <c r="L187" i="3"/>
  <c r="M187" i="3"/>
  <c r="N187" i="3"/>
  <c r="O187" i="3"/>
  <c r="P187" i="3"/>
  <c r="Q187" i="3"/>
  <c r="R187" i="3"/>
  <c r="U187" i="3" s="1"/>
  <c r="S187" i="3"/>
  <c r="O190" i="3"/>
  <c r="P190" i="3"/>
  <c r="T190" i="3"/>
  <c r="U190" i="3"/>
  <c r="L191" i="3"/>
  <c r="M191" i="3"/>
  <c r="N191" i="3"/>
  <c r="Q191" i="3"/>
  <c r="Q189" i="3" s="1"/>
  <c r="R191" i="3"/>
  <c r="S191" i="3"/>
  <c r="O193" i="3"/>
  <c r="P193" i="3"/>
  <c r="T193" i="3"/>
  <c r="U193" i="3"/>
  <c r="L194" i="3"/>
  <c r="M194" i="3"/>
  <c r="P194" i="3" s="1"/>
  <c r="N194" i="3"/>
  <c r="N192" i="3" s="1"/>
  <c r="Q194" i="3"/>
  <c r="Q192" i="3" s="1"/>
  <c r="T192" i="3" s="1"/>
  <c r="R194" i="3"/>
  <c r="S194" i="3"/>
  <c r="S192" i="3" s="1"/>
  <c r="J195" i="3"/>
  <c r="L196" i="3"/>
  <c r="O196" i="3" s="1"/>
  <c r="P196" i="3"/>
  <c r="I198" i="3"/>
  <c r="I195" i="3" s="1"/>
  <c r="J199" i="3"/>
  <c r="J202" i="3"/>
  <c r="N203" i="3"/>
  <c r="P203" i="3"/>
  <c r="S203" i="3"/>
  <c r="U203" i="3"/>
  <c r="L204" i="3"/>
  <c r="L205" i="3"/>
  <c r="L206" i="3"/>
  <c r="Q206" i="3"/>
  <c r="Q203" i="3" s="1"/>
  <c r="T203" i="3" s="1"/>
  <c r="L207" i="3"/>
  <c r="I209" i="3"/>
  <c r="I211" i="3"/>
  <c r="K211" i="3" s="1"/>
  <c r="I212" i="3"/>
  <c r="K212" i="3" s="1"/>
  <c r="J213" i="3"/>
  <c r="N214" i="3"/>
  <c r="P214" i="3"/>
  <c r="S214" i="3"/>
  <c r="U214" i="3"/>
  <c r="L215" i="3"/>
  <c r="L216" i="3"/>
  <c r="L217" i="3"/>
  <c r="Q217" i="3"/>
  <c r="Q214" i="3" s="1"/>
  <c r="T214" i="3" s="1"/>
  <c r="I219" i="3"/>
  <c r="K219" i="3" s="1"/>
  <c r="I220" i="3"/>
  <c r="J221" i="3"/>
  <c r="N222" i="3"/>
  <c r="P222" i="3"/>
  <c r="L223" i="3"/>
  <c r="L224" i="3"/>
  <c r="L225" i="3"/>
  <c r="I228" i="3"/>
  <c r="K228" i="3" s="1"/>
  <c r="I229" i="3"/>
  <c r="I230" i="3"/>
  <c r="K230" i="3" s="1"/>
  <c r="N233" i="3"/>
  <c r="N234" i="3"/>
  <c r="N235" i="3"/>
  <c r="N236" i="3"/>
  <c r="J238" i="3"/>
  <c r="I240" i="3"/>
  <c r="K240" i="3" s="1"/>
  <c r="J240" i="3"/>
  <c r="I241" i="3"/>
  <c r="K241" i="3" s="1"/>
  <c r="J241" i="3"/>
  <c r="J242" i="3"/>
  <c r="J231" i="3" s="1"/>
  <c r="J185" i="3" s="1"/>
  <c r="N243" i="3"/>
  <c r="N232" i="3" s="1"/>
  <c r="P243" i="3"/>
  <c r="L244" i="3"/>
  <c r="L245" i="3"/>
  <c r="L246" i="3"/>
  <c r="L247" i="3"/>
  <c r="I249" i="3"/>
  <c r="K251" i="3"/>
  <c r="K252" i="3"/>
  <c r="J253" i="3"/>
  <c r="N254" i="3"/>
  <c r="P254" i="3"/>
  <c r="L255" i="3"/>
  <c r="L256" i="3"/>
  <c r="L257" i="3"/>
  <c r="L258" i="3"/>
  <c r="I260" i="3"/>
  <c r="I253" i="3" s="1"/>
  <c r="K253" i="3" s="1"/>
  <c r="K262" i="3"/>
  <c r="K263" i="3"/>
  <c r="J265" i="3"/>
  <c r="L267" i="3"/>
  <c r="M267" i="3"/>
  <c r="N267" i="3"/>
  <c r="O267" i="3"/>
  <c r="P267" i="3"/>
  <c r="Q267" i="3"/>
  <c r="R267" i="3"/>
  <c r="S267" i="3"/>
  <c r="U267" i="3"/>
  <c r="O270" i="3"/>
  <c r="P270" i="3"/>
  <c r="T270" i="3"/>
  <c r="U270" i="3"/>
  <c r="L271" i="3"/>
  <c r="M271" i="3"/>
  <c r="N271" i="3"/>
  <c r="Q271" i="3"/>
  <c r="R271" i="3"/>
  <c r="R269" i="3" s="1"/>
  <c r="S271" i="3"/>
  <c r="S268" i="3" s="1"/>
  <c r="S266" i="3" s="1"/>
  <c r="Q272" i="3"/>
  <c r="T272" i="3" s="1"/>
  <c r="R272" i="3"/>
  <c r="U272" i="3" s="1"/>
  <c r="S272" i="3"/>
  <c r="O273" i="3"/>
  <c r="P273" i="3"/>
  <c r="T273" i="3"/>
  <c r="U273" i="3"/>
  <c r="L274" i="3"/>
  <c r="O274" i="3" s="1"/>
  <c r="M274" i="3"/>
  <c r="M272" i="3" s="1"/>
  <c r="P272" i="3" s="1"/>
  <c r="N274" i="3"/>
  <c r="N272" i="3" s="1"/>
  <c r="T274" i="3"/>
  <c r="U274" i="3"/>
  <c r="I276" i="3"/>
  <c r="K276" i="3" s="1"/>
  <c r="J281" i="3"/>
  <c r="L283" i="3"/>
  <c r="O283" i="3" s="1"/>
  <c r="M283" i="3"/>
  <c r="P283" i="3" s="1"/>
  <c r="N283" i="3"/>
  <c r="Q283" i="3"/>
  <c r="R283" i="3"/>
  <c r="S283" i="3"/>
  <c r="Q284" i="3"/>
  <c r="T284" i="3" s="1"/>
  <c r="R284" i="3"/>
  <c r="U284" i="3" s="1"/>
  <c r="S284" i="3"/>
  <c r="S282" i="3" s="1"/>
  <c r="Q285" i="3"/>
  <c r="T285" i="3" s="1"/>
  <c r="R285" i="3"/>
  <c r="U285" i="3" s="1"/>
  <c r="S285" i="3"/>
  <c r="O286" i="3"/>
  <c r="P286" i="3"/>
  <c r="T286" i="3"/>
  <c r="U286" i="3"/>
  <c r="L287" i="3"/>
  <c r="O287" i="3" s="1"/>
  <c r="M287" i="3"/>
  <c r="M285" i="3" s="1"/>
  <c r="P285" i="3" s="1"/>
  <c r="N287" i="3"/>
  <c r="N285" i="3" s="1"/>
  <c r="T287" i="3"/>
  <c r="U287" i="3"/>
  <c r="Q288" i="3"/>
  <c r="T288" i="3" s="1"/>
  <c r="R288" i="3"/>
  <c r="U288" i="3" s="1"/>
  <c r="S288" i="3"/>
  <c r="O289" i="3"/>
  <c r="P289" i="3"/>
  <c r="T289" i="3"/>
  <c r="U289" i="3"/>
  <c r="L290" i="3"/>
  <c r="L288" i="3" s="1"/>
  <c r="O288" i="3" s="1"/>
  <c r="M290" i="3"/>
  <c r="M288" i="3" s="1"/>
  <c r="P288" i="3" s="1"/>
  <c r="N290" i="3"/>
  <c r="N288" i="3" s="1"/>
  <c r="T290" i="3"/>
  <c r="U290" i="3"/>
  <c r="I292" i="3"/>
  <c r="I281" i="3" s="1"/>
  <c r="K281" i="3" s="1"/>
  <c r="I293" i="3"/>
  <c r="J293" i="3"/>
  <c r="J280" i="3" s="1"/>
  <c r="I295" i="3"/>
  <c r="K295" i="3" s="1"/>
  <c r="I296" i="3"/>
  <c r="K296" i="3" s="1"/>
  <c r="J302" i="3"/>
  <c r="L304" i="3"/>
  <c r="M304" i="3"/>
  <c r="N304" i="3"/>
  <c r="P304" i="3"/>
  <c r="Q304" i="3"/>
  <c r="R304" i="3"/>
  <c r="S304" i="3"/>
  <c r="O307" i="3"/>
  <c r="P307" i="3"/>
  <c r="T307" i="3"/>
  <c r="U307" i="3"/>
  <c r="L308" i="3"/>
  <c r="O308" i="3" s="1"/>
  <c r="M308" i="3"/>
  <c r="M306" i="3" s="1"/>
  <c r="P306" i="3" s="1"/>
  <c r="N308" i="3"/>
  <c r="Q308" i="3"/>
  <c r="Q306" i="3" s="1"/>
  <c r="R308" i="3"/>
  <c r="S308" i="3"/>
  <c r="S305" i="3" s="1"/>
  <c r="Q309" i="3"/>
  <c r="T309" i="3" s="1"/>
  <c r="R309" i="3"/>
  <c r="S309" i="3"/>
  <c r="U309" i="3"/>
  <c r="O310" i="3"/>
  <c r="P310" i="3"/>
  <c r="T310" i="3"/>
  <c r="U310" i="3"/>
  <c r="L311" i="3"/>
  <c r="O311" i="3" s="1"/>
  <c r="M311" i="3"/>
  <c r="N311" i="3"/>
  <c r="N309" i="3" s="1"/>
  <c r="T311" i="3"/>
  <c r="U311" i="3"/>
  <c r="I314" i="3"/>
  <c r="I302" i="3" s="1"/>
  <c r="J319" i="3"/>
  <c r="L321" i="3"/>
  <c r="O321" i="3" s="1"/>
  <c r="M321" i="3"/>
  <c r="N321" i="3"/>
  <c r="Q321" i="3"/>
  <c r="R321" i="3"/>
  <c r="R320" i="3" s="1"/>
  <c r="U320" i="3" s="1"/>
  <c r="S321" i="3"/>
  <c r="S320" i="3" s="1"/>
  <c r="T321" i="3"/>
  <c r="Q322" i="3"/>
  <c r="Q320" i="3" s="1"/>
  <c r="T320" i="3" s="1"/>
  <c r="R322" i="3"/>
  <c r="S322" i="3"/>
  <c r="U322" i="3"/>
  <c r="Q323" i="3"/>
  <c r="T323" i="3" s="1"/>
  <c r="R323" i="3"/>
  <c r="U323" i="3" s="1"/>
  <c r="S323" i="3"/>
  <c r="O324" i="3"/>
  <c r="P324" i="3"/>
  <c r="T324" i="3"/>
  <c r="U324" i="3"/>
  <c r="L325" i="3"/>
  <c r="M325" i="3"/>
  <c r="M323" i="3" s="1"/>
  <c r="N325" i="3"/>
  <c r="N323" i="3" s="1"/>
  <c r="T325" i="3"/>
  <c r="U325" i="3"/>
  <c r="Q326" i="3"/>
  <c r="T326" i="3" s="1"/>
  <c r="R326" i="3"/>
  <c r="S326" i="3"/>
  <c r="U326" i="3"/>
  <c r="O327" i="3"/>
  <c r="P327" i="3"/>
  <c r="T327" i="3"/>
  <c r="U327" i="3"/>
  <c r="L328" i="3"/>
  <c r="L326" i="3" s="1"/>
  <c r="M328" i="3"/>
  <c r="N328" i="3"/>
  <c r="N326" i="3" s="1"/>
  <c r="T328" i="3"/>
  <c r="U328" i="3"/>
  <c r="I330" i="3"/>
  <c r="I319" i="3" s="1"/>
  <c r="K319" i="3" s="1"/>
  <c r="L334" i="3"/>
  <c r="M334" i="3"/>
  <c r="N334" i="3"/>
  <c r="O334" i="3"/>
  <c r="P334" i="3"/>
  <c r="Q334" i="3"/>
  <c r="R334" i="3"/>
  <c r="S334" i="3"/>
  <c r="S333" i="3" s="1"/>
  <c r="T334" i="3"/>
  <c r="U334" i="3"/>
  <c r="Q335" i="3"/>
  <c r="T335" i="3" s="1"/>
  <c r="R335" i="3"/>
  <c r="S335" i="3"/>
  <c r="Q336" i="3"/>
  <c r="T336" i="3" s="1"/>
  <c r="R336" i="3"/>
  <c r="U336" i="3" s="1"/>
  <c r="S336" i="3"/>
  <c r="O337" i="3"/>
  <c r="P337" i="3"/>
  <c r="T337" i="3"/>
  <c r="U337" i="3"/>
  <c r="L338" i="3"/>
  <c r="M338" i="3"/>
  <c r="N338" i="3"/>
  <c r="N336" i="3" s="1"/>
  <c r="T338" i="3"/>
  <c r="U338" i="3"/>
  <c r="Q339" i="3"/>
  <c r="T339" i="3" s="1"/>
  <c r="R339" i="3"/>
  <c r="U339" i="3" s="1"/>
  <c r="S339" i="3"/>
  <c r="O340" i="3"/>
  <c r="P340" i="3"/>
  <c r="T340" i="3"/>
  <c r="U340" i="3"/>
  <c r="L341" i="3"/>
  <c r="L339" i="3" s="1"/>
  <c r="O339" i="3" s="1"/>
  <c r="M341" i="3"/>
  <c r="N341" i="3"/>
  <c r="N339" i="3" s="1"/>
  <c r="T341" i="3"/>
  <c r="U341" i="3"/>
  <c r="I344" i="3"/>
  <c r="I332" i="3" s="1"/>
  <c r="J344" i="3"/>
  <c r="I346" i="3"/>
  <c r="J346" i="3"/>
  <c r="J347" i="3"/>
  <c r="J348" i="3"/>
  <c r="J349" i="3"/>
  <c r="D350" i="3"/>
  <c r="J352" i="3"/>
  <c r="J353" i="3"/>
  <c r="D354" i="3"/>
  <c r="Q356" i="3"/>
  <c r="T356" i="3" s="1"/>
  <c r="L357" i="3"/>
  <c r="O357" i="3" s="1"/>
  <c r="M357" i="3"/>
  <c r="N357" i="3"/>
  <c r="Q357" i="3"/>
  <c r="T357" i="3" s="1"/>
  <c r="R357" i="3"/>
  <c r="U357" i="3" s="1"/>
  <c r="S357" i="3"/>
  <c r="S356" i="3" s="1"/>
  <c r="Q358" i="3"/>
  <c r="R358" i="3"/>
  <c r="S358" i="3"/>
  <c r="T358" i="3"/>
  <c r="U358" i="3"/>
  <c r="Q359" i="3"/>
  <c r="T359" i="3" s="1"/>
  <c r="R359" i="3"/>
  <c r="U359" i="3" s="1"/>
  <c r="S359" i="3"/>
  <c r="O360" i="3"/>
  <c r="P360" i="3"/>
  <c r="T360" i="3"/>
  <c r="U360" i="3"/>
  <c r="L361" i="3"/>
  <c r="L359" i="3" s="1"/>
  <c r="M361" i="3"/>
  <c r="N361" i="3"/>
  <c r="T361" i="3"/>
  <c r="U361" i="3"/>
  <c r="Q362" i="3"/>
  <c r="T362" i="3" s="1"/>
  <c r="R362" i="3"/>
  <c r="S362" i="3"/>
  <c r="U362" i="3"/>
  <c r="O363" i="3"/>
  <c r="P363" i="3"/>
  <c r="T363" i="3"/>
  <c r="U363" i="3"/>
  <c r="L364" i="3"/>
  <c r="M364" i="3"/>
  <c r="N364" i="3"/>
  <c r="N362" i="3" s="1"/>
  <c r="T364" i="3"/>
  <c r="U364" i="3"/>
  <c r="J367" i="3"/>
  <c r="K367" i="3"/>
  <c r="I368" i="3"/>
  <c r="J368" i="3"/>
  <c r="I369" i="3"/>
  <c r="J369" i="3"/>
  <c r="J370" i="3"/>
  <c r="K370" i="3"/>
  <c r="I371" i="3"/>
  <c r="I365" i="3" s="1"/>
  <c r="J371" i="3"/>
  <c r="J365" i="3" s="1"/>
  <c r="J372" i="3"/>
  <c r="K372" i="3"/>
  <c r="D373" i="3"/>
  <c r="L376" i="3"/>
  <c r="M376" i="3"/>
  <c r="N376" i="3"/>
  <c r="O376" i="3"/>
  <c r="P376" i="3"/>
  <c r="Q376" i="3"/>
  <c r="T376" i="3" s="1"/>
  <c r="R376" i="3"/>
  <c r="S376" i="3"/>
  <c r="U376" i="3"/>
  <c r="O379" i="3"/>
  <c r="P379" i="3"/>
  <c r="T379" i="3"/>
  <c r="U379" i="3"/>
  <c r="L380" i="3"/>
  <c r="M380" i="3"/>
  <c r="M378" i="3" s="1"/>
  <c r="N380" i="3"/>
  <c r="Q380" i="3"/>
  <c r="Q377" i="3" s="1"/>
  <c r="R380" i="3"/>
  <c r="S380" i="3"/>
  <c r="Q381" i="3"/>
  <c r="R381" i="3"/>
  <c r="U381" i="3" s="1"/>
  <c r="S381" i="3"/>
  <c r="T381" i="3"/>
  <c r="O382" i="3"/>
  <c r="P382" i="3"/>
  <c r="T382" i="3"/>
  <c r="U382" i="3"/>
  <c r="L383" i="3"/>
  <c r="M383" i="3"/>
  <c r="N383" i="3"/>
  <c r="N381" i="3" s="1"/>
  <c r="T383" i="3"/>
  <c r="U383" i="3"/>
  <c r="J385" i="3"/>
  <c r="K385" i="3"/>
  <c r="I386" i="3"/>
  <c r="J386" i="3"/>
  <c r="J387" i="3"/>
  <c r="K387" i="3"/>
  <c r="I388" i="3"/>
  <c r="K388" i="3" s="1"/>
  <c r="J388" i="3"/>
  <c r="I391" i="3"/>
  <c r="K391" i="3" s="1"/>
  <c r="J391" i="3"/>
  <c r="L393" i="3"/>
  <c r="M393" i="3"/>
  <c r="N393" i="3"/>
  <c r="Q393" i="3"/>
  <c r="R393" i="3"/>
  <c r="S393" i="3"/>
  <c r="L394" i="3"/>
  <c r="O394" i="3" s="1"/>
  <c r="M394" i="3"/>
  <c r="P394" i="3" s="1"/>
  <c r="N394" i="3"/>
  <c r="L395" i="3"/>
  <c r="O395" i="3" s="1"/>
  <c r="M395" i="3"/>
  <c r="P395" i="3" s="1"/>
  <c r="N395" i="3"/>
  <c r="O396" i="3"/>
  <c r="P396" i="3"/>
  <c r="T396" i="3"/>
  <c r="U396" i="3"/>
  <c r="O397" i="3"/>
  <c r="P397" i="3"/>
  <c r="Q397" i="3"/>
  <c r="R397" i="3"/>
  <c r="R394" i="3" s="1"/>
  <c r="U394" i="3" s="1"/>
  <c r="S397" i="3"/>
  <c r="L398" i="3"/>
  <c r="O398" i="3" s="1"/>
  <c r="M398" i="3"/>
  <c r="P398" i="3" s="1"/>
  <c r="N398" i="3"/>
  <c r="Q398" i="3"/>
  <c r="T398" i="3" s="1"/>
  <c r="R398" i="3"/>
  <c r="U398" i="3" s="1"/>
  <c r="S398" i="3"/>
  <c r="O399" i="3"/>
  <c r="P399" i="3"/>
  <c r="T399" i="3"/>
  <c r="U399" i="3"/>
  <c r="O400" i="3"/>
  <c r="P400" i="3"/>
  <c r="T400" i="3"/>
  <c r="U400" i="3"/>
  <c r="L414" i="3"/>
  <c r="M414" i="3"/>
  <c r="N414" i="3"/>
  <c r="Q414" i="3"/>
  <c r="R414" i="3"/>
  <c r="U414" i="3" s="1"/>
  <c r="S414" i="3"/>
  <c r="T414" i="3"/>
  <c r="O417" i="3"/>
  <c r="P417" i="3"/>
  <c r="T417" i="3"/>
  <c r="U417" i="3"/>
  <c r="L418" i="3"/>
  <c r="M418" i="3"/>
  <c r="M416" i="3" s="1"/>
  <c r="N418" i="3"/>
  <c r="Q418" i="3"/>
  <c r="Q416" i="3" s="1"/>
  <c r="R418" i="3"/>
  <c r="S418" i="3"/>
  <c r="S415" i="3" s="1"/>
  <c r="Q419" i="3"/>
  <c r="R419" i="3"/>
  <c r="U419" i="3" s="1"/>
  <c r="S419" i="3"/>
  <c r="T419" i="3"/>
  <c r="O420" i="3"/>
  <c r="P420" i="3"/>
  <c r="T420" i="3"/>
  <c r="U420" i="3"/>
  <c r="L421" i="3"/>
  <c r="M421" i="3"/>
  <c r="N421" i="3"/>
  <c r="N419" i="3" s="1"/>
  <c r="T421" i="3"/>
  <c r="U421" i="3"/>
  <c r="I424" i="3"/>
  <c r="K424" i="3" s="1"/>
  <c r="J424" i="3"/>
  <c r="I425" i="3"/>
  <c r="K425" i="3" s="1"/>
  <c r="J425" i="3"/>
  <c r="I432" i="3"/>
  <c r="K432" i="3" s="1"/>
  <c r="J432" i="3"/>
  <c r="I433" i="3"/>
  <c r="K433" i="3" s="1"/>
  <c r="J433" i="3"/>
  <c r="I440" i="3"/>
  <c r="K440" i="3" s="1"/>
  <c r="I441" i="3"/>
  <c r="K441" i="3" s="1"/>
  <c r="J446" i="3"/>
  <c r="J440" i="3" s="1"/>
  <c r="J423" i="3" s="1"/>
  <c r="J412" i="3" s="1"/>
  <c r="J447" i="3"/>
  <c r="J441" i="3" s="1"/>
  <c r="I457" i="3"/>
  <c r="I458" i="3"/>
  <c r="K458" i="3" s="1"/>
  <c r="J458" i="3"/>
  <c r="J459" i="3"/>
  <c r="J457" i="3" s="1"/>
  <c r="J456" i="3" s="1"/>
  <c r="J460" i="3"/>
  <c r="J467" i="3"/>
  <c r="J468" i="3"/>
  <c r="J475" i="3"/>
  <c r="K475" i="3"/>
  <c r="J476" i="3"/>
  <c r="K476" i="3"/>
  <c r="J477" i="3"/>
  <c r="K477" i="3"/>
  <c r="J482" i="3"/>
  <c r="J483" i="3"/>
  <c r="I484" i="3"/>
  <c r="K484" i="3" s="1"/>
  <c r="J484" i="3"/>
  <c r="I485" i="3"/>
  <c r="J485" i="3"/>
  <c r="K485" i="3"/>
  <c r="L494" i="3"/>
  <c r="O494" i="3" s="1"/>
  <c r="M494" i="3"/>
  <c r="N494" i="3"/>
  <c r="P494" i="3"/>
  <c r="Q494" i="3"/>
  <c r="R494" i="3"/>
  <c r="U494" i="3" s="1"/>
  <c r="S494" i="3"/>
  <c r="O497" i="3"/>
  <c r="P497" i="3"/>
  <c r="T497" i="3"/>
  <c r="U497" i="3"/>
  <c r="L498" i="3"/>
  <c r="M498" i="3"/>
  <c r="N498" i="3"/>
  <c r="Q498" i="3"/>
  <c r="Q496" i="3" s="1"/>
  <c r="R498" i="3"/>
  <c r="S498" i="3"/>
  <c r="S495" i="3" s="1"/>
  <c r="S493" i="3" s="1"/>
  <c r="Q499" i="3"/>
  <c r="R499" i="3"/>
  <c r="U499" i="3" s="1"/>
  <c r="S499" i="3"/>
  <c r="T499" i="3"/>
  <c r="O500" i="3"/>
  <c r="P500" i="3"/>
  <c r="T500" i="3"/>
  <c r="U500" i="3"/>
  <c r="L501" i="3"/>
  <c r="M501" i="3"/>
  <c r="P501" i="3" s="1"/>
  <c r="N501" i="3"/>
  <c r="N499" i="3" s="1"/>
  <c r="T501" i="3"/>
  <c r="U501" i="3"/>
  <c r="I503" i="3"/>
  <c r="J503" i="3" s="1"/>
  <c r="J492" i="3" s="1"/>
  <c r="I504" i="3"/>
  <c r="K504" i="3" s="1"/>
  <c r="I505" i="3"/>
  <c r="K505" i="3" s="1"/>
  <c r="I506" i="3"/>
  <c r="K506" i="3" s="1"/>
  <c r="I507" i="3"/>
  <c r="K507" i="3" s="1"/>
  <c r="K508" i="3"/>
  <c r="I509" i="3"/>
  <c r="K509" i="3" s="1"/>
  <c r="I512" i="3"/>
  <c r="K512" i="3" s="1"/>
  <c r="J512" i="3"/>
  <c r="S513" i="3"/>
  <c r="L514" i="3"/>
  <c r="O514" i="3" s="1"/>
  <c r="M514" i="3"/>
  <c r="N514" i="3"/>
  <c r="P514" i="3"/>
  <c r="Q514" i="3"/>
  <c r="T514" i="3" s="1"/>
  <c r="R514" i="3"/>
  <c r="U514" i="3" s="1"/>
  <c r="S514" i="3"/>
  <c r="Q515" i="3"/>
  <c r="T515" i="3" s="1"/>
  <c r="R515" i="3"/>
  <c r="U515" i="3" s="1"/>
  <c r="S515" i="3"/>
  <c r="Q516" i="3"/>
  <c r="T516" i="3" s="1"/>
  <c r="R516" i="3"/>
  <c r="U516" i="3" s="1"/>
  <c r="S516" i="3"/>
  <c r="O517" i="3"/>
  <c r="P517" i="3"/>
  <c r="T517" i="3"/>
  <c r="U517" i="3"/>
  <c r="L518" i="3"/>
  <c r="O518" i="3" s="1"/>
  <c r="M518" i="3"/>
  <c r="P518" i="3" s="1"/>
  <c r="N518" i="3"/>
  <c r="T518" i="3"/>
  <c r="U518" i="3"/>
  <c r="Q519" i="3"/>
  <c r="T519" i="3" s="1"/>
  <c r="R519" i="3"/>
  <c r="U519" i="3" s="1"/>
  <c r="S519" i="3"/>
  <c r="O520" i="3"/>
  <c r="P520" i="3"/>
  <c r="T520" i="3"/>
  <c r="U520" i="3"/>
  <c r="L521" i="3"/>
  <c r="M521" i="3"/>
  <c r="N521" i="3"/>
  <c r="N519" i="3" s="1"/>
  <c r="T521" i="3"/>
  <c r="U521" i="3"/>
  <c r="K523" i="3"/>
  <c r="K524" i="3"/>
  <c r="I533" i="3"/>
  <c r="K533" i="3" s="1"/>
  <c r="J533" i="3"/>
  <c r="L535" i="3"/>
  <c r="M535" i="3"/>
  <c r="P535" i="3" s="1"/>
  <c r="N535" i="3"/>
  <c r="O535" i="3"/>
  <c r="Q535" i="3"/>
  <c r="R535" i="3"/>
  <c r="R534" i="3" s="1"/>
  <c r="U534" i="3" s="1"/>
  <c r="S535" i="3"/>
  <c r="S534" i="3" s="1"/>
  <c r="T535" i="3"/>
  <c r="U535" i="3"/>
  <c r="Q536" i="3"/>
  <c r="T536" i="3" s="1"/>
  <c r="R536" i="3"/>
  <c r="U536" i="3" s="1"/>
  <c r="S536" i="3"/>
  <c r="Q537" i="3"/>
  <c r="R537" i="3"/>
  <c r="U537" i="3" s="1"/>
  <c r="S537" i="3"/>
  <c r="T537" i="3"/>
  <c r="O538" i="3"/>
  <c r="P538" i="3"/>
  <c r="T538" i="3"/>
  <c r="U538" i="3"/>
  <c r="L539" i="3"/>
  <c r="L537" i="3" s="1"/>
  <c r="O537" i="3" s="1"/>
  <c r="M539" i="3"/>
  <c r="M537" i="3" s="1"/>
  <c r="P537" i="3" s="1"/>
  <c r="N539" i="3"/>
  <c r="T539" i="3"/>
  <c r="U539" i="3"/>
  <c r="Q540" i="3"/>
  <c r="T540" i="3" s="1"/>
  <c r="R540" i="3"/>
  <c r="U540" i="3" s="1"/>
  <c r="S540" i="3"/>
  <c r="O541" i="3"/>
  <c r="P541" i="3"/>
  <c r="T541" i="3"/>
  <c r="U541" i="3"/>
  <c r="L542" i="3"/>
  <c r="L540" i="3" s="1"/>
  <c r="O540" i="3" s="1"/>
  <c r="M542" i="3"/>
  <c r="N542" i="3"/>
  <c r="N540" i="3" s="1"/>
  <c r="T542" i="3"/>
  <c r="U542" i="3"/>
  <c r="I554" i="3"/>
  <c r="K554" i="3" s="1"/>
  <c r="J554" i="3"/>
  <c r="L556" i="3"/>
  <c r="M556" i="3"/>
  <c r="N556" i="3"/>
  <c r="Q556" i="3"/>
  <c r="R556" i="3"/>
  <c r="S556" i="3"/>
  <c r="Q557" i="3"/>
  <c r="T557" i="3" s="1"/>
  <c r="R557" i="3"/>
  <c r="U557" i="3" s="1"/>
  <c r="S557" i="3"/>
  <c r="Q558" i="3"/>
  <c r="T558" i="3" s="1"/>
  <c r="R558" i="3"/>
  <c r="U558" i="3" s="1"/>
  <c r="S558" i="3"/>
  <c r="O559" i="3"/>
  <c r="P559" i="3"/>
  <c r="T559" i="3"/>
  <c r="U559" i="3"/>
  <c r="L560" i="3"/>
  <c r="L558" i="3" s="1"/>
  <c r="O558" i="3" s="1"/>
  <c r="M560" i="3"/>
  <c r="N560" i="3"/>
  <c r="N558" i="3" s="1"/>
  <c r="T560" i="3"/>
  <c r="U560" i="3"/>
  <c r="Q561" i="3"/>
  <c r="R561" i="3"/>
  <c r="U561" i="3" s="1"/>
  <c r="S561" i="3"/>
  <c r="T561" i="3"/>
  <c r="O562" i="3"/>
  <c r="P562" i="3"/>
  <c r="T562" i="3"/>
  <c r="U562" i="3"/>
  <c r="L563" i="3"/>
  <c r="M563" i="3"/>
  <c r="M561" i="3" s="1"/>
  <c r="P561" i="3" s="1"/>
  <c r="N563" i="3"/>
  <c r="N561" i="3" s="1"/>
  <c r="T563" i="3"/>
  <c r="U563" i="3"/>
  <c r="I575" i="3"/>
  <c r="K575" i="3" s="1"/>
  <c r="J575" i="3"/>
  <c r="L577" i="3"/>
  <c r="M577" i="3"/>
  <c r="P577" i="3" s="1"/>
  <c r="N577" i="3"/>
  <c r="O577" i="3"/>
  <c r="Q577" i="3"/>
  <c r="R577" i="3"/>
  <c r="R576" i="3" s="1"/>
  <c r="U576" i="3" s="1"/>
  <c r="S577" i="3"/>
  <c r="S576" i="3" s="1"/>
  <c r="T577" i="3"/>
  <c r="U577" i="3"/>
  <c r="Q578" i="3"/>
  <c r="T578" i="3" s="1"/>
  <c r="R578" i="3"/>
  <c r="U578" i="3" s="1"/>
  <c r="S578" i="3"/>
  <c r="Q579" i="3"/>
  <c r="R579" i="3"/>
  <c r="U579" i="3" s="1"/>
  <c r="S579" i="3"/>
  <c r="T579" i="3"/>
  <c r="O580" i="3"/>
  <c r="P580" i="3"/>
  <c r="T580" i="3"/>
  <c r="U580" i="3"/>
  <c r="L581" i="3"/>
  <c r="L579" i="3" s="1"/>
  <c r="M581" i="3"/>
  <c r="M579" i="3" s="1"/>
  <c r="N581" i="3"/>
  <c r="T581" i="3"/>
  <c r="U581" i="3"/>
  <c r="Q582" i="3"/>
  <c r="T582" i="3" s="1"/>
  <c r="R582" i="3"/>
  <c r="S582" i="3"/>
  <c r="U582" i="3"/>
  <c r="O583" i="3"/>
  <c r="P583" i="3"/>
  <c r="T583" i="3"/>
  <c r="U583" i="3"/>
  <c r="L584" i="3"/>
  <c r="L582" i="3" s="1"/>
  <c r="O582" i="3" s="1"/>
  <c r="M584" i="3"/>
  <c r="N584" i="3"/>
  <c r="N582" i="3" s="1"/>
  <c r="T584" i="3"/>
  <c r="U584" i="3"/>
  <c r="K586" i="3"/>
  <c r="K587" i="3"/>
  <c r="L600" i="3"/>
  <c r="M600" i="3"/>
  <c r="N600" i="3"/>
  <c r="Q600" i="3"/>
  <c r="R600" i="3"/>
  <c r="S600" i="3"/>
  <c r="T600" i="3"/>
  <c r="O603" i="3"/>
  <c r="P603" i="3"/>
  <c r="T603" i="3"/>
  <c r="U603" i="3"/>
  <c r="L604" i="3"/>
  <c r="M604" i="3"/>
  <c r="N604" i="3"/>
  <c r="N602" i="3" s="1"/>
  <c r="Q604" i="3"/>
  <c r="R604" i="3"/>
  <c r="S604" i="3"/>
  <c r="O606" i="3"/>
  <c r="P606" i="3"/>
  <c r="T606" i="3"/>
  <c r="U606" i="3"/>
  <c r="L607" i="3"/>
  <c r="L605" i="3" s="1"/>
  <c r="O605" i="3" s="1"/>
  <c r="M607" i="3"/>
  <c r="M605" i="3" s="1"/>
  <c r="P605" i="3" s="1"/>
  <c r="N607" i="3"/>
  <c r="N605" i="3" s="1"/>
  <c r="Q607" i="3"/>
  <c r="T607" i="3" s="1"/>
  <c r="R607" i="3"/>
  <c r="R605" i="3" s="1"/>
  <c r="U605" i="3" s="1"/>
  <c r="S607" i="3"/>
  <c r="S605" i="3" s="1"/>
  <c r="M616" i="3"/>
  <c r="P616" i="3" s="1"/>
  <c r="N616" i="3"/>
  <c r="L617" i="3"/>
  <c r="M617" i="3"/>
  <c r="N617" i="3"/>
  <c r="O617" i="3"/>
  <c r="P617" i="3"/>
  <c r="Q617" i="3"/>
  <c r="R617" i="3"/>
  <c r="U617" i="3" s="1"/>
  <c r="S617" i="3"/>
  <c r="L618" i="3"/>
  <c r="O618" i="3" s="1"/>
  <c r="M618" i="3"/>
  <c r="P618" i="3" s="1"/>
  <c r="N618" i="3"/>
  <c r="L619" i="3"/>
  <c r="O619" i="3" s="1"/>
  <c r="M619" i="3"/>
  <c r="P619" i="3" s="1"/>
  <c r="N619" i="3"/>
  <c r="O620" i="3"/>
  <c r="P620" i="3"/>
  <c r="T620" i="3"/>
  <c r="U620" i="3"/>
  <c r="O621" i="3"/>
  <c r="P621" i="3"/>
  <c r="Q621" i="3"/>
  <c r="R621" i="3"/>
  <c r="S621" i="3"/>
  <c r="S619" i="3" s="1"/>
  <c r="L622" i="3"/>
  <c r="O622" i="3" s="1"/>
  <c r="M622" i="3"/>
  <c r="P622" i="3" s="1"/>
  <c r="N622" i="3"/>
  <c r="Q622" i="3"/>
  <c r="T622" i="3" s="1"/>
  <c r="R622" i="3"/>
  <c r="U622" i="3" s="1"/>
  <c r="S622" i="3"/>
  <c r="O623" i="3"/>
  <c r="P623" i="3"/>
  <c r="T623" i="3"/>
  <c r="U623" i="3"/>
  <c r="O624" i="3"/>
  <c r="P624" i="3"/>
  <c r="T624" i="3"/>
  <c r="U624" i="3"/>
  <c r="I626" i="3"/>
  <c r="I615" i="3" s="1"/>
  <c r="I627" i="3"/>
  <c r="K627" i="3" s="1"/>
  <c r="I628" i="3"/>
  <c r="K628" i="3" s="1"/>
  <c r="J632" i="3"/>
  <c r="I635" i="3"/>
  <c r="K635" i="3" s="1"/>
  <c r="J636" i="3"/>
  <c r="J635" i="3" s="1"/>
  <c r="M642" i="3"/>
  <c r="P642" i="3" s="1"/>
  <c r="L643" i="3"/>
  <c r="M643" i="3"/>
  <c r="N643" i="3"/>
  <c r="O643" i="3"/>
  <c r="P643" i="3"/>
  <c r="Q643" i="3"/>
  <c r="T643" i="3" s="1"/>
  <c r="R643" i="3"/>
  <c r="S643" i="3"/>
  <c r="U643" i="3"/>
  <c r="L644" i="3"/>
  <c r="O644" i="3" s="1"/>
  <c r="M644" i="3"/>
  <c r="P644" i="3" s="1"/>
  <c r="N644" i="3"/>
  <c r="L645" i="3"/>
  <c r="O645" i="3" s="1"/>
  <c r="M645" i="3"/>
  <c r="P645" i="3" s="1"/>
  <c r="N645" i="3"/>
  <c r="O646" i="3"/>
  <c r="P646" i="3"/>
  <c r="T646" i="3"/>
  <c r="U646" i="3"/>
  <c r="O647" i="3"/>
  <c r="P647" i="3"/>
  <c r="Q647" i="3"/>
  <c r="Q645" i="3" s="1"/>
  <c r="T645" i="3" s="1"/>
  <c r="R647" i="3"/>
  <c r="R644" i="3" s="1"/>
  <c r="U644" i="3" s="1"/>
  <c r="S647" i="3"/>
  <c r="L648" i="3"/>
  <c r="M648" i="3"/>
  <c r="P648" i="3" s="1"/>
  <c r="N648" i="3"/>
  <c r="O648" i="3"/>
  <c r="Q648" i="3"/>
  <c r="T648" i="3" s="1"/>
  <c r="R648" i="3"/>
  <c r="S648" i="3"/>
  <c r="U648" i="3"/>
  <c r="O649" i="3"/>
  <c r="P649" i="3"/>
  <c r="T649" i="3"/>
  <c r="U649" i="3"/>
  <c r="O650" i="3"/>
  <c r="P650" i="3"/>
  <c r="T650" i="3"/>
  <c r="U650" i="3"/>
  <c r="I652" i="3"/>
  <c r="K652" i="3" s="1"/>
  <c r="J652" i="3"/>
  <c r="I653" i="3"/>
  <c r="K653" i="3" s="1"/>
  <c r="J653" i="3"/>
  <c r="I654" i="3"/>
  <c r="K654" i="3" s="1"/>
  <c r="J654" i="3"/>
  <c r="I657" i="3"/>
  <c r="I660" i="3"/>
  <c r="I661" i="3"/>
  <c r="K661" i="3" s="1"/>
  <c r="J661" i="3"/>
  <c r="J671" i="3"/>
  <c r="J672" i="3"/>
  <c r="I673" i="3"/>
  <c r="K673" i="3" s="1"/>
  <c r="J673" i="3"/>
  <c r="I674" i="3"/>
  <c r="K674" i="3" s="1"/>
  <c r="I675" i="3"/>
  <c r="K675" i="3" s="1"/>
  <c r="I676" i="3"/>
  <c r="K676" i="3" s="1"/>
  <c r="J676" i="3"/>
  <c r="J677" i="3"/>
  <c r="I678" i="3"/>
  <c r="K678" i="3" s="1"/>
  <c r="J678" i="3"/>
  <c r="I679" i="3"/>
  <c r="K679" i="3" s="1"/>
  <c r="J679" i="3"/>
  <c r="J680" i="3"/>
  <c r="I681" i="3"/>
  <c r="K681" i="3" s="1"/>
  <c r="J681" i="3"/>
  <c r="I682" i="3"/>
  <c r="K682" i="3" s="1"/>
  <c r="J682" i="3"/>
  <c r="L691" i="3"/>
  <c r="M691" i="3"/>
  <c r="M690" i="3" s="1"/>
  <c r="P690" i="3" s="1"/>
  <c r="N691" i="3"/>
  <c r="P691" i="3"/>
  <c r="Q691" i="3"/>
  <c r="R691" i="3"/>
  <c r="U691" i="3" s="1"/>
  <c r="S691" i="3"/>
  <c r="L692" i="3"/>
  <c r="O692" i="3" s="1"/>
  <c r="M692" i="3"/>
  <c r="P692" i="3" s="1"/>
  <c r="N692" i="3"/>
  <c r="L693" i="3"/>
  <c r="O693" i="3" s="1"/>
  <c r="M693" i="3"/>
  <c r="P693" i="3" s="1"/>
  <c r="N693" i="3"/>
  <c r="O694" i="3"/>
  <c r="P694" i="3"/>
  <c r="T694" i="3"/>
  <c r="U694" i="3"/>
  <c r="O695" i="3"/>
  <c r="P695" i="3"/>
  <c r="Q695" i="3"/>
  <c r="Q693" i="3" s="1"/>
  <c r="R695" i="3"/>
  <c r="R693" i="3" s="1"/>
  <c r="S695" i="3"/>
  <c r="L696" i="3"/>
  <c r="O696" i="3" s="1"/>
  <c r="M696" i="3"/>
  <c r="P696" i="3" s="1"/>
  <c r="N696" i="3"/>
  <c r="Q696" i="3"/>
  <c r="T696" i="3" s="1"/>
  <c r="R696" i="3"/>
  <c r="U696" i="3" s="1"/>
  <c r="S696" i="3"/>
  <c r="O697" i="3"/>
  <c r="P697" i="3"/>
  <c r="T697" i="3"/>
  <c r="U697" i="3"/>
  <c r="O698" i="3"/>
  <c r="P698" i="3"/>
  <c r="T698" i="3"/>
  <c r="U698" i="3"/>
  <c r="I700" i="3"/>
  <c r="K700" i="3" s="1"/>
  <c r="K702" i="3"/>
  <c r="I703" i="3"/>
  <c r="K703" i="3" s="1"/>
  <c r="J703" i="3"/>
  <c r="J704" i="3"/>
  <c r="K704" i="3"/>
  <c r="I705" i="3"/>
  <c r="J705" i="3"/>
  <c r="J706" i="3"/>
  <c r="K706" i="3"/>
  <c r="I707" i="3"/>
  <c r="I689" i="3" s="1"/>
  <c r="K689" i="3" s="1"/>
  <c r="J707" i="3"/>
  <c r="J689" i="3" s="1"/>
  <c r="J708" i="3"/>
  <c r="K708" i="3"/>
  <c r="I709" i="3"/>
  <c r="J709" i="3"/>
  <c r="J710" i="3"/>
  <c r="K710" i="3"/>
  <c r="J712" i="3"/>
  <c r="K712" i="3"/>
  <c r="L715" i="3"/>
  <c r="M715" i="3"/>
  <c r="P715" i="3" s="1"/>
  <c r="N715" i="3"/>
  <c r="Q715" i="3"/>
  <c r="R715" i="3"/>
  <c r="S715" i="3"/>
  <c r="S714" i="3" s="1"/>
  <c r="T715" i="3"/>
  <c r="L716" i="3"/>
  <c r="O716" i="3" s="1"/>
  <c r="M716" i="3"/>
  <c r="N716" i="3"/>
  <c r="P716" i="3"/>
  <c r="Q716" i="3"/>
  <c r="T716" i="3" s="1"/>
  <c r="R716" i="3"/>
  <c r="U716" i="3" s="1"/>
  <c r="S716" i="3"/>
  <c r="L717" i="3"/>
  <c r="O717" i="3" s="1"/>
  <c r="M717" i="3"/>
  <c r="P717" i="3" s="1"/>
  <c r="N717" i="3"/>
  <c r="Q717" i="3"/>
  <c r="T717" i="3" s="1"/>
  <c r="R717" i="3"/>
  <c r="U717" i="3" s="1"/>
  <c r="S717" i="3"/>
  <c r="O718" i="3"/>
  <c r="P718" i="3"/>
  <c r="T718" i="3"/>
  <c r="U718" i="3"/>
  <c r="O719" i="3"/>
  <c r="P719" i="3"/>
  <c r="T719" i="3"/>
  <c r="U719" i="3"/>
  <c r="L720" i="3"/>
  <c r="O720" i="3" s="1"/>
  <c r="M720" i="3"/>
  <c r="P720" i="3" s="1"/>
  <c r="N720" i="3"/>
  <c r="Q720" i="3"/>
  <c r="T720" i="3" s="1"/>
  <c r="R720" i="3"/>
  <c r="U720" i="3" s="1"/>
  <c r="S720" i="3"/>
  <c r="O721" i="3"/>
  <c r="P721" i="3"/>
  <c r="T721" i="3"/>
  <c r="U721" i="3"/>
  <c r="O722" i="3"/>
  <c r="P722" i="3"/>
  <c r="T722" i="3"/>
  <c r="U722" i="3"/>
  <c r="I726" i="3"/>
  <c r="J726" i="3"/>
  <c r="I727" i="3"/>
  <c r="K727" i="3" s="1"/>
  <c r="J727" i="3"/>
  <c r="L729" i="3"/>
  <c r="M729" i="3"/>
  <c r="P729" i="3" s="1"/>
  <c r="N729" i="3"/>
  <c r="O729" i="3"/>
  <c r="Q729" i="3"/>
  <c r="R729" i="3"/>
  <c r="S729" i="3"/>
  <c r="T729" i="3"/>
  <c r="L730" i="3"/>
  <c r="O730" i="3" s="1"/>
  <c r="M730" i="3"/>
  <c r="P730" i="3" s="1"/>
  <c r="N730" i="3"/>
  <c r="L731" i="3"/>
  <c r="O731" i="3" s="1"/>
  <c r="M731" i="3"/>
  <c r="P731" i="3" s="1"/>
  <c r="N731" i="3"/>
  <c r="O732" i="3"/>
  <c r="P732" i="3"/>
  <c r="T732" i="3"/>
  <c r="U732" i="3"/>
  <c r="O733" i="3"/>
  <c r="P733" i="3"/>
  <c r="Q733" i="3"/>
  <c r="Q730" i="3" s="1"/>
  <c r="R733" i="3"/>
  <c r="R731" i="3" s="1"/>
  <c r="S733" i="3"/>
  <c r="L734" i="3"/>
  <c r="M734" i="3"/>
  <c r="P734" i="3" s="1"/>
  <c r="N734" i="3"/>
  <c r="O734" i="3"/>
  <c r="Q734" i="3"/>
  <c r="T734" i="3" s="1"/>
  <c r="R734" i="3"/>
  <c r="S734" i="3"/>
  <c r="U734" i="3"/>
  <c r="O735" i="3"/>
  <c r="P735" i="3"/>
  <c r="T735" i="3"/>
  <c r="U735" i="3"/>
  <c r="O736" i="3"/>
  <c r="P736" i="3"/>
  <c r="T736" i="3"/>
  <c r="U736" i="3"/>
  <c r="I740" i="3"/>
  <c r="K740" i="3" s="1"/>
  <c r="I742" i="3"/>
  <c r="K742" i="3" s="1"/>
  <c r="I744" i="3"/>
  <c r="K744" i="3" s="1"/>
  <c r="I746" i="3"/>
  <c r="K746" i="3" s="1"/>
  <c r="I749" i="3"/>
  <c r="K749" i="3" s="1"/>
  <c r="I752" i="3"/>
  <c r="K752" i="3" s="1"/>
  <c r="I755" i="3"/>
  <c r="K755" i="3" s="1"/>
  <c r="J758" i="3"/>
  <c r="J759" i="3"/>
  <c r="L761" i="3"/>
  <c r="M761" i="3"/>
  <c r="P761" i="3" s="1"/>
  <c r="N761" i="3"/>
  <c r="N760" i="3" s="1"/>
  <c r="O761" i="3"/>
  <c r="Q761" i="3"/>
  <c r="R761" i="3"/>
  <c r="S761" i="3"/>
  <c r="T761" i="3"/>
  <c r="U761" i="3"/>
  <c r="L762" i="3"/>
  <c r="M762" i="3"/>
  <c r="N762" i="3"/>
  <c r="P762" i="3"/>
  <c r="L763" i="3"/>
  <c r="M763" i="3"/>
  <c r="P763" i="3" s="1"/>
  <c r="N763" i="3"/>
  <c r="O763" i="3"/>
  <c r="O764" i="3"/>
  <c r="P764" i="3"/>
  <c r="T764" i="3"/>
  <c r="U764" i="3"/>
  <c r="O765" i="3"/>
  <c r="P765" i="3"/>
  <c r="Q765" i="3"/>
  <c r="Q762" i="3" s="1"/>
  <c r="R765" i="3"/>
  <c r="R762" i="3" s="1"/>
  <c r="S765" i="3"/>
  <c r="S762" i="3" s="1"/>
  <c r="S760" i="3" s="1"/>
  <c r="L766" i="3"/>
  <c r="O766" i="3" s="1"/>
  <c r="M766" i="3"/>
  <c r="P766" i="3" s="1"/>
  <c r="N766" i="3"/>
  <c r="Q766" i="3"/>
  <c r="T766" i="3" s="1"/>
  <c r="R766" i="3"/>
  <c r="U766" i="3" s="1"/>
  <c r="S766" i="3"/>
  <c r="O767" i="3"/>
  <c r="P767" i="3"/>
  <c r="T767" i="3"/>
  <c r="U767" i="3"/>
  <c r="O768" i="3"/>
  <c r="P768" i="3"/>
  <c r="T768" i="3"/>
  <c r="U768" i="3"/>
  <c r="I770" i="3"/>
  <c r="K770" i="3" s="1"/>
  <c r="I772" i="3"/>
  <c r="I774" i="3"/>
  <c r="I759" i="3" s="1"/>
  <c r="K759" i="3" s="1"/>
  <c r="I775" i="3"/>
  <c r="I776" i="3"/>
  <c r="H777" i="3"/>
  <c r="I778" i="3"/>
  <c r="J778" i="3"/>
  <c r="I779" i="3"/>
  <c r="J779" i="3"/>
  <c r="I780" i="3"/>
  <c r="J780" i="3"/>
  <c r="I781" i="3"/>
  <c r="J781" i="3"/>
  <c r="I782" i="3"/>
  <c r="K782" i="3" s="1"/>
  <c r="J782" i="3"/>
  <c r="I783" i="3"/>
  <c r="K783" i="3" s="1"/>
  <c r="J783" i="3"/>
  <c r="I784" i="3"/>
  <c r="J784" i="3"/>
  <c r="I785" i="3"/>
  <c r="J785" i="3"/>
  <c r="A788" i="3"/>
  <c r="A789" i="3"/>
  <c r="L22" i="2"/>
  <c r="M22" i="2"/>
  <c r="M19" i="2" s="1"/>
  <c r="N22" i="2"/>
  <c r="Q22" i="2"/>
  <c r="R22" i="2"/>
  <c r="S22" i="2"/>
  <c r="S19" i="2" s="1"/>
  <c r="T22" i="2"/>
  <c r="L25" i="2"/>
  <c r="M25" i="2"/>
  <c r="N25" i="2"/>
  <c r="Q25" i="2"/>
  <c r="T25" i="2" s="1"/>
  <c r="R25" i="2"/>
  <c r="S25" i="2"/>
  <c r="L45" i="2"/>
  <c r="O45" i="2" s="1"/>
  <c r="M45" i="2"/>
  <c r="N45" i="2"/>
  <c r="Q45" i="2"/>
  <c r="T45" i="2" s="1"/>
  <c r="R45" i="2"/>
  <c r="U45" i="2" s="1"/>
  <c r="S45" i="2"/>
  <c r="S44" i="2" s="1"/>
  <c r="Q46" i="2"/>
  <c r="T46" i="2" s="1"/>
  <c r="R46" i="2"/>
  <c r="S46" i="2"/>
  <c r="U46" i="2"/>
  <c r="Q47" i="2"/>
  <c r="T47" i="2" s="1"/>
  <c r="R47" i="2"/>
  <c r="U47" i="2" s="1"/>
  <c r="S47" i="2"/>
  <c r="O48" i="2"/>
  <c r="P48" i="2"/>
  <c r="T48" i="2"/>
  <c r="U48" i="2"/>
  <c r="L49" i="2"/>
  <c r="M49" i="2"/>
  <c r="M47" i="2" s="1"/>
  <c r="N49" i="2"/>
  <c r="T49" i="2"/>
  <c r="U49" i="2"/>
  <c r="Q50" i="2"/>
  <c r="T50" i="2" s="1"/>
  <c r="R50" i="2"/>
  <c r="S50" i="2"/>
  <c r="U50" i="2"/>
  <c r="O51" i="2"/>
  <c r="P51" i="2"/>
  <c r="T51" i="2"/>
  <c r="U51" i="2"/>
  <c r="L52" i="2"/>
  <c r="M52" i="2"/>
  <c r="N52" i="2"/>
  <c r="N50" i="2" s="1"/>
  <c r="T52" i="2"/>
  <c r="U52" i="2"/>
  <c r="L60" i="2"/>
  <c r="O60" i="2" s="1"/>
  <c r="M60" i="2"/>
  <c r="N60" i="2"/>
  <c r="Q60" i="2"/>
  <c r="Q59" i="2" s="1"/>
  <c r="T59" i="2" s="1"/>
  <c r="R60" i="2"/>
  <c r="R59" i="2" s="1"/>
  <c r="U59" i="2" s="1"/>
  <c r="S60" i="2"/>
  <c r="S59" i="2" s="1"/>
  <c r="T60" i="2"/>
  <c r="U60" i="2"/>
  <c r="Q61" i="2"/>
  <c r="T61" i="2" s="1"/>
  <c r="R61" i="2"/>
  <c r="S61" i="2"/>
  <c r="U61" i="2"/>
  <c r="Q62" i="2"/>
  <c r="T62" i="2" s="1"/>
  <c r="R62" i="2"/>
  <c r="U62" i="2" s="1"/>
  <c r="S62" i="2"/>
  <c r="O63" i="2"/>
  <c r="P63" i="2"/>
  <c r="T63" i="2"/>
  <c r="U63" i="2"/>
  <c r="L64" i="2"/>
  <c r="L62" i="2" s="1"/>
  <c r="M64" i="2"/>
  <c r="M62" i="2" s="1"/>
  <c r="N64" i="2"/>
  <c r="N62" i="2" s="1"/>
  <c r="T64" i="2"/>
  <c r="U64" i="2"/>
  <c r="Q65" i="2"/>
  <c r="T65" i="2" s="1"/>
  <c r="R65" i="2"/>
  <c r="U65" i="2" s="1"/>
  <c r="S65" i="2"/>
  <c r="O66" i="2"/>
  <c r="P66" i="2"/>
  <c r="T66" i="2"/>
  <c r="U66" i="2"/>
  <c r="L67" i="2"/>
  <c r="M67" i="2"/>
  <c r="N67" i="2"/>
  <c r="N65" i="2" s="1"/>
  <c r="T67" i="2"/>
  <c r="U67" i="2"/>
  <c r="L73" i="2"/>
  <c r="M73" i="2"/>
  <c r="N73" i="2"/>
  <c r="O73" i="2"/>
  <c r="Q73" i="2"/>
  <c r="T73" i="2" s="1"/>
  <c r="R73" i="2"/>
  <c r="S73" i="2"/>
  <c r="U73" i="2"/>
  <c r="O76" i="2"/>
  <c r="P76" i="2"/>
  <c r="T76" i="2"/>
  <c r="U76" i="2"/>
  <c r="L77" i="2"/>
  <c r="O77" i="2" s="1"/>
  <c r="M77" i="2"/>
  <c r="M75" i="2" s="1"/>
  <c r="P75" i="2" s="1"/>
  <c r="N77" i="2"/>
  <c r="Q77" i="2"/>
  <c r="Q75" i="2" s="1"/>
  <c r="T75" i="2" s="1"/>
  <c r="R77" i="2"/>
  <c r="U77" i="2" s="1"/>
  <c r="S77" i="2"/>
  <c r="S75" i="2" s="1"/>
  <c r="O79" i="2"/>
  <c r="P79" i="2"/>
  <c r="T79" i="2"/>
  <c r="U79" i="2"/>
  <c r="L80" i="2"/>
  <c r="M80" i="2"/>
  <c r="M78" i="2" s="1"/>
  <c r="P78" i="2" s="1"/>
  <c r="N80" i="2"/>
  <c r="N78" i="2" s="1"/>
  <c r="Q80" i="2"/>
  <c r="Q78" i="2" s="1"/>
  <c r="T78" i="2" s="1"/>
  <c r="R80" i="2"/>
  <c r="R78" i="2" s="1"/>
  <c r="U78" i="2" s="1"/>
  <c r="S80" i="2"/>
  <c r="S78" i="2" s="1"/>
  <c r="J82" i="2"/>
  <c r="J70" i="2" s="1"/>
  <c r="J83" i="2"/>
  <c r="J71" i="2" s="1"/>
  <c r="I84" i="2"/>
  <c r="K84" i="2" s="1"/>
  <c r="I85" i="2"/>
  <c r="I86" i="2"/>
  <c r="K86" i="2" s="1"/>
  <c r="I87" i="2"/>
  <c r="K87" i="2" s="1"/>
  <c r="I88" i="2"/>
  <c r="K88" i="2" s="1"/>
  <c r="I89" i="2"/>
  <c r="K89" i="2" s="1"/>
  <c r="I90" i="2"/>
  <c r="K90" i="2" s="1"/>
  <c r="J92" i="2"/>
  <c r="J93" i="2"/>
  <c r="L95" i="2"/>
  <c r="M95" i="2"/>
  <c r="P95" i="2" s="1"/>
  <c r="N95" i="2"/>
  <c r="Q95" i="2"/>
  <c r="R95" i="2"/>
  <c r="S95" i="2"/>
  <c r="O98" i="2"/>
  <c r="P98" i="2"/>
  <c r="T98" i="2"/>
  <c r="U98" i="2"/>
  <c r="L99" i="2"/>
  <c r="L97" i="2" s="1"/>
  <c r="O97" i="2" s="1"/>
  <c r="M99" i="2"/>
  <c r="N99" i="2"/>
  <c r="N97" i="2" s="1"/>
  <c r="Q99" i="2"/>
  <c r="Q97" i="2" s="1"/>
  <c r="T97" i="2" s="1"/>
  <c r="R99" i="2"/>
  <c r="S99" i="2"/>
  <c r="S97" i="2" s="1"/>
  <c r="Q100" i="2"/>
  <c r="T100" i="2" s="1"/>
  <c r="R100" i="2"/>
  <c r="U100" i="2" s="1"/>
  <c r="S100" i="2"/>
  <c r="O101" i="2"/>
  <c r="P101" i="2"/>
  <c r="T101" i="2"/>
  <c r="U101" i="2"/>
  <c r="L102" i="2"/>
  <c r="M102" i="2"/>
  <c r="N102" i="2"/>
  <c r="N100" i="2" s="1"/>
  <c r="T102" i="2"/>
  <c r="U102" i="2"/>
  <c r="I108" i="2"/>
  <c r="I109" i="2"/>
  <c r="I93" i="2" s="1"/>
  <c r="K93" i="2" s="1"/>
  <c r="I114" i="2"/>
  <c r="K114" i="2" s="1"/>
  <c r="J116" i="2"/>
  <c r="L118" i="2"/>
  <c r="M118" i="2"/>
  <c r="P118" i="2" s="1"/>
  <c r="N118" i="2"/>
  <c r="Q118" i="2"/>
  <c r="R118" i="2"/>
  <c r="S118" i="2"/>
  <c r="O121" i="2"/>
  <c r="P121" i="2"/>
  <c r="T121" i="2"/>
  <c r="U121" i="2"/>
  <c r="L122" i="2"/>
  <c r="M122" i="2"/>
  <c r="N122" i="2"/>
  <c r="Q122" i="2"/>
  <c r="Q120" i="2" s="1"/>
  <c r="R122" i="2"/>
  <c r="R120" i="2" s="1"/>
  <c r="S122" i="2"/>
  <c r="O124" i="2"/>
  <c r="P124" i="2"/>
  <c r="T124" i="2"/>
  <c r="U124" i="2"/>
  <c r="L125" i="2"/>
  <c r="O125" i="2" s="1"/>
  <c r="M125" i="2"/>
  <c r="N125" i="2"/>
  <c r="N123" i="2" s="1"/>
  <c r="Q125" i="2"/>
  <c r="Q123" i="2" s="1"/>
  <c r="T123" i="2" s="1"/>
  <c r="R125" i="2"/>
  <c r="U125" i="2" s="1"/>
  <c r="S125" i="2"/>
  <c r="S123" i="2" s="1"/>
  <c r="I127" i="2"/>
  <c r="K127" i="2" s="1"/>
  <c r="I128" i="2"/>
  <c r="K128" i="2" s="1"/>
  <c r="I129" i="2"/>
  <c r="K129" i="2" s="1"/>
  <c r="I130" i="2"/>
  <c r="K130" i="2" s="1"/>
  <c r="J136" i="2"/>
  <c r="J137" i="2"/>
  <c r="J138" i="2"/>
  <c r="L140" i="2"/>
  <c r="M140" i="2"/>
  <c r="N140" i="2"/>
  <c r="Q140" i="2"/>
  <c r="T140" i="2" s="1"/>
  <c r="R140" i="2"/>
  <c r="S140" i="2"/>
  <c r="O143" i="2"/>
  <c r="P143" i="2"/>
  <c r="T143" i="2"/>
  <c r="U143" i="2"/>
  <c r="L144" i="2"/>
  <c r="L142" i="2" s="1"/>
  <c r="O142" i="2" s="1"/>
  <c r="M144" i="2"/>
  <c r="P144" i="2" s="1"/>
  <c r="N144" i="2"/>
  <c r="Q144" i="2"/>
  <c r="T144" i="2" s="1"/>
  <c r="R144" i="2"/>
  <c r="R142" i="2" s="1"/>
  <c r="U142" i="2" s="1"/>
  <c r="S144" i="2"/>
  <c r="O146" i="2"/>
  <c r="P146" i="2"/>
  <c r="T146" i="2"/>
  <c r="U146" i="2"/>
  <c r="L147" i="2"/>
  <c r="L145" i="2" s="1"/>
  <c r="O145" i="2" s="1"/>
  <c r="M147" i="2"/>
  <c r="P147" i="2" s="1"/>
  <c r="N147" i="2"/>
  <c r="N145" i="2" s="1"/>
  <c r="Q147" i="2"/>
  <c r="R147" i="2"/>
  <c r="R145" i="2" s="1"/>
  <c r="U145" i="2" s="1"/>
  <c r="S147" i="2"/>
  <c r="S145" i="2" s="1"/>
  <c r="I150" i="2"/>
  <c r="K150" i="2" s="1"/>
  <c r="I151" i="2"/>
  <c r="K151" i="2" s="1"/>
  <c r="I152" i="2"/>
  <c r="I153" i="2"/>
  <c r="I138" i="2" s="1"/>
  <c r="K138" i="2" s="1"/>
  <c r="I154" i="2"/>
  <c r="I136" i="2" s="1"/>
  <c r="K136" i="2" s="1"/>
  <c r="J156" i="2"/>
  <c r="L158" i="2"/>
  <c r="M158" i="2"/>
  <c r="N158" i="2"/>
  <c r="P158" i="2"/>
  <c r="Q158" i="2"/>
  <c r="R158" i="2"/>
  <c r="S158" i="2"/>
  <c r="O161" i="2"/>
  <c r="P161" i="2"/>
  <c r="T161" i="2"/>
  <c r="U161" i="2"/>
  <c r="L162" i="2"/>
  <c r="M162" i="2"/>
  <c r="N162" i="2"/>
  <c r="N160" i="2" s="1"/>
  <c r="Q162" i="2"/>
  <c r="Q160" i="2" s="1"/>
  <c r="T160" i="2" s="1"/>
  <c r="R162" i="2"/>
  <c r="S162" i="2"/>
  <c r="Q163" i="2"/>
  <c r="T163" i="2" s="1"/>
  <c r="R163" i="2"/>
  <c r="U163" i="2" s="1"/>
  <c r="S163" i="2"/>
  <c r="O164" i="2"/>
  <c r="P164" i="2"/>
  <c r="T164" i="2"/>
  <c r="U164" i="2"/>
  <c r="L165" i="2"/>
  <c r="O165" i="2" s="1"/>
  <c r="M165" i="2"/>
  <c r="N165" i="2"/>
  <c r="N163" i="2" s="1"/>
  <c r="T165" i="2"/>
  <c r="U165" i="2"/>
  <c r="I167" i="2"/>
  <c r="K167" i="2" s="1"/>
  <c r="I168" i="2"/>
  <c r="K168" i="2" s="1"/>
  <c r="I169" i="2"/>
  <c r="K169" i="2" s="1"/>
  <c r="J172" i="2"/>
  <c r="L174" i="2"/>
  <c r="M174" i="2"/>
  <c r="N174" i="2"/>
  <c r="P174" i="2"/>
  <c r="Q174" i="2"/>
  <c r="R174" i="2"/>
  <c r="S174" i="2"/>
  <c r="O177" i="2"/>
  <c r="P177" i="2"/>
  <c r="T177" i="2"/>
  <c r="U177" i="2"/>
  <c r="L178" i="2"/>
  <c r="M178" i="2"/>
  <c r="N178" i="2"/>
  <c r="N176" i="2" s="1"/>
  <c r="Q178" i="2"/>
  <c r="R178" i="2"/>
  <c r="U178" i="2" s="1"/>
  <c r="S178" i="2"/>
  <c r="Q179" i="2"/>
  <c r="R179" i="2"/>
  <c r="U179" i="2" s="1"/>
  <c r="S179" i="2"/>
  <c r="T179" i="2"/>
  <c r="O180" i="2"/>
  <c r="P180" i="2"/>
  <c r="T180" i="2"/>
  <c r="U180" i="2"/>
  <c r="L181" i="2"/>
  <c r="M181" i="2"/>
  <c r="N181" i="2"/>
  <c r="N179" i="2" s="1"/>
  <c r="T181" i="2"/>
  <c r="U181" i="2"/>
  <c r="I183" i="2"/>
  <c r="K184" i="2"/>
  <c r="L187" i="2"/>
  <c r="O187" i="2" s="1"/>
  <c r="M187" i="2"/>
  <c r="P187" i="2" s="1"/>
  <c r="N187" i="2"/>
  <c r="Q187" i="2"/>
  <c r="R187" i="2"/>
  <c r="S187" i="2"/>
  <c r="T187" i="2"/>
  <c r="U187" i="2"/>
  <c r="O190" i="2"/>
  <c r="P190" i="2"/>
  <c r="T190" i="2"/>
  <c r="U190" i="2"/>
  <c r="L191" i="2"/>
  <c r="M191" i="2"/>
  <c r="N191" i="2"/>
  <c r="Q191" i="2"/>
  <c r="Q189" i="2" s="1"/>
  <c r="R191" i="2"/>
  <c r="S191" i="2"/>
  <c r="O193" i="2"/>
  <c r="P193" i="2"/>
  <c r="T193" i="2"/>
  <c r="U193" i="2"/>
  <c r="L194" i="2"/>
  <c r="L192" i="2" s="1"/>
  <c r="O192" i="2" s="1"/>
  <c r="M194" i="2"/>
  <c r="M192" i="2" s="1"/>
  <c r="P192" i="2" s="1"/>
  <c r="N194" i="2"/>
  <c r="N192" i="2" s="1"/>
  <c r="Q194" i="2"/>
  <c r="R194" i="2"/>
  <c r="R192" i="2" s="1"/>
  <c r="U192" i="2" s="1"/>
  <c r="S194" i="2"/>
  <c r="S192" i="2" s="1"/>
  <c r="J195" i="2"/>
  <c r="L196" i="2"/>
  <c r="O196" i="2" s="1"/>
  <c r="P196" i="2"/>
  <c r="I198" i="2"/>
  <c r="K198" i="2" s="1"/>
  <c r="J199" i="2"/>
  <c r="J202" i="2"/>
  <c r="N203" i="2"/>
  <c r="P203" i="2"/>
  <c r="S203" i="2"/>
  <c r="U203" i="2"/>
  <c r="L204" i="2"/>
  <c r="L205" i="2"/>
  <c r="L206" i="2"/>
  <c r="Q206" i="2"/>
  <c r="Q203" i="2" s="1"/>
  <c r="L207" i="2"/>
  <c r="I209" i="2"/>
  <c r="I202" i="2" s="1"/>
  <c r="K202" i="2" s="1"/>
  <c r="I211" i="2"/>
  <c r="K211" i="2" s="1"/>
  <c r="I212" i="2"/>
  <c r="K212" i="2" s="1"/>
  <c r="J213" i="2"/>
  <c r="N214" i="2"/>
  <c r="P214" i="2"/>
  <c r="S214" i="2"/>
  <c r="U214" i="2"/>
  <c r="L215" i="2"/>
  <c r="L216" i="2"/>
  <c r="L217" i="2"/>
  <c r="Q217" i="2"/>
  <c r="Q214" i="2" s="1"/>
  <c r="T214" i="2" s="1"/>
  <c r="I219" i="2"/>
  <c r="K219" i="2" s="1"/>
  <c r="I220" i="2"/>
  <c r="J221" i="2"/>
  <c r="N222" i="2"/>
  <c r="P222" i="2"/>
  <c r="L223" i="2"/>
  <c r="L224" i="2"/>
  <c r="L225" i="2"/>
  <c r="I228" i="2"/>
  <c r="K228" i="2" s="1"/>
  <c r="I229" i="2"/>
  <c r="I221" i="2" s="1"/>
  <c r="K221" i="2" s="1"/>
  <c r="I230" i="2"/>
  <c r="K230" i="2" s="1"/>
  <c r="N233" i="2"/>
  <c r="N234" i="2"/>
  <c r="N235" i="2"/>
  <c r="N236" i="2"/>
  <c r="J238" i="2"/>
  <c r="I240" i="2"/>
  <c r="K240" i="2" s="1"/>
  <c r="J240" i="2"/>
  <c r="I241" i="2"/>
  <c r="K241" i="2" s="1"/>
  <c r="J241" i="2"/>
  <c r="J242" i="2"/>
  <c r="J231" i="2" s="1"/>
  <c r="J185" i="2" s="1"/>
  <c r="N243" i="2"/>
  <c r="P243" i="2"/>
  <c r="L244" i="2"/>
  <c r="L245" i="2"/>
  <c r="L246" i="2"/>
  <c r="L247" i="2"/>
  <c r="I249" i="2"/>
  <c r="I242" i="2" s="1"/>
  <c r="K242" i="2" s="1"/>
  <c r="K251" i="2"/>
  <c r="K252" i="2"/>
  <c r="J253" i="2"/>
  <c r="N254" i="2"/>
  <c r="P254" i="2"/>
  <c r="L255" i="2"/>
  <c r="L256" i="2"/>
  <c r="L257" i="2"/>
  <c r="L258" i="2"/>
  <c r="I260" i="2"/>
  <c r="K262" i="2"/>
  <c r="K263" i="2"/>
  <c r="J265" i="2"/>
  <c r="L267" i="2"/>
  <c r="M267" i="2"/>
  <c r="N267" i="2"/>
  <c r="Q267" i="2"/>
  <c r="T267" i="2" s="1"/>
  <c r="R267" i="2"/>
  <c r="S267" i="2"/>
  <c r="O270" i="2"/>
  <c r="P270" i="2"/>
  <c r="T270" i="2"/>
  <c r="U270" i="2"/>
  <c r="L271" i="2"/>
  <c r="L269" i="2" s="1"/>
  <c r="M271" i="2"/>
  <c r="M269" i="2" s="1"/>
  <c r="N271" i="2"/>
  <c r="N269" i="2" s="1"/>
  <c r="Q271" i="2"/>
  <c r="Q268" i="2" s="1"/>
  <c r="R271" i="2"/>
  <c r="R268" i="2" s="1"/>
  <c r="S271" i="2"/>
  <c r="S268" i="2" s="1"/>
  <c r="Q272" i="2"/>
  <c r="T272" i="2" s="1"/>
  <c r="R272" i="2"/>
  <c r="S272" i="2"/>
  <c r="U272" i="2"/>
  <c r="O273" i="2"/>
  <c r="P273" i="2"/>
  <c r="T273" i="2"/>
  <c r="U273" i="2"/>
  <c r="L274" i="2"/>
  <c r="M274" i="2"/>
  <c r="P274" i="2" s="1"/>
  <c r="N274" i="2"/>
  <c r="N272" i="2" s="1"/>
  <c r="T274" i="2"/>
  <c r="U274" i="2"/>
  <c r="I276" i="2"/>
  <c r="J281" i="2"/>
  <c r="R282" i="2"/>
  <c r="U282" i="2" s="1"/>
  <c r="L283" i="2"/>
  <c r="O283" i="2" s="1"/>
  <c r="M283" i="2"/>
  <c r="N283" i="2"/>
  <c r="Q283" i="2"/>
  <c r="Q282" i="2" s="1"/>
  <c r="T282" i="2" s="1"/>
  <c r="R283" i="2"/>
  <c r="U283" i="2" s="1"/>
  <c r="S283" i="2"/>
  <c r="S282" i="2" s="1"/>
  <c r="T283" i="2"/>
  <c r="Q284" i="2"/>
  <c r="T284" i="2" s="1"/>
  <c r="R284" i="2"/>
  <c r="S284" i="2"/>
  <c r="U284" i="2"/>
  <c r="Q285" i="2"/>
  <c r="T285" i="2" s="1"/>
  <c r="R285" i="2"/>
  <c r="U285" i="2" s="1"/>
  <c r="S285" i="2"/>
  <c r="O286" i="2"/>
  <c r="P286" i="2"/>
  <c r="T286" i="2"/>
  <c r="U286" i="2"/>
  <c r="L287" i="2"/>
  <c r="M287" i="2"/>
  <c r="M285" i="2" s="1"/>
  <c r="P285" i="2" s="1"/>
  <c r="N287" i="2"/>
  <c r="N285" i="2" s="1"/>
  <c r="T287" i="2"/>
  <c r="U287" i="2"/>
  <c r="Q288" i="2"/>
  <c r="T288" i="2" s="1"/>
  <c r="R288" i="2"/>
  <c r="S288" i="2"/>
  <c r="U288" i="2"/>
  <c r="O289" i="2"/>
  <c r="P289" i="2"/>
  <c r="T289" i="2"/>
  <c r="U289" i="2"/>
  <c r="L290" i="2"/>
  <c r="M290" i="2"/>
  <c r="N290" i="2"/>
  <c r="N288" i="2" s="1"/>
  <c r="T290" i="2"/>
  <c r="U290" i="2"/>
  <c r="I292" i="2"/>
  <c r="I293" i="2"/>
  <c r="K293" i="2" s="1"/>
  <c r="J293" i="2"/>
  <c r="J280" i="2" s="1"/>
  <c r="I295" i="2"/>
  <c r="K295" i="2" s="1"/>
  <c r="I296" i="2"/>
  <c r="K296" i="2" s="1"/>
  <c r="J302" i="2"/>
  <c r="L304" i="2"/>
  <c r="O304" i="2" s="1"/>
  <c r="M304" i="2"/>
  <c r="N304" i="2"/>
  <c r="Q304" i="2"/>
  <c r="R304" i="2"/>
  <c r="U304" i="2" s="1"/>
  <c r="S304" i="2"/>
  <c r="O307" i="2"/>
  <c r="P307" i="2"/>
  <c r="T307" i="2"/>
  <c r="U307" i="2"/>
  <c r="L308" i="2"/>
  <c r="L306" i="2" s="1"/>
  <c r="O306" i="2" s="1"/>
  <c r="M308" i="2"/>
  <c r="M306" i="2" s="1"/>
  <c r="P306" i="2" s="1"/>
  <c r="N308" i="2"/>
  <c r="Q308" i="2"/>
  <c r="Q305" i="2" s="1"/>
  <c r="T305" i="2" s="1"/>
  <c r="R308" i="2"/>
  <c r="R305" i="2" s="1"/>
  <c r="U305" i="2" s="1"/>
  <c r="S308" i="2"/>
  <c r="S305" i="2" s="1"/>
  <c r="Q309" i="2"/>
  <c r="T309" i="2" s="1"/>
  <c r="R309" i="2"/>
  <c r="U309" i="2" s="1"/>
  <c r="S309" i="2"/>
  <c r="O310" i="2"/>
  <c r="P310" i="2"/>
  <c r="T310" i="2"/>
  <c r="U310" i="2"/>
  <c r="L311" i="2"/>
  <c r="L309" i="2" s="1"/>
  <c r="O309" i="2" s="1"/>
  <c r="M311" i="2"/>
  <c r="P311" i="2" s="1"/>
  <c r="N311" i="2"/>
  <c r="N309" i="2" s="1"/>
  <c r="T311" i="2"/>
  <c r="U311" i="2"/>
  <c r="I314" i="2"/>
  <c r="I302" i="2" s="1"/>
  <c r="K302" i="2" s="1"/>
  <c r="J319" i="2"/>
  <c r="L321" i="2"/>
  <c r="M321" i="2"/>
  <c r="N321" i="2"/>
  <c r="P321" i="2"/>
  <c r="Q321" i="2"/>
  <c r="R321" i="2"/>
  <c r="S321" i="2"/>
  <c r="S320" i="2" s="1"/>
  <c r="Q322" i="2"/>
  <c r="R322" i="2"/>
  <c r="U322" i="2" s="1"/>
  <c r="S322" i="2"/>
  <c r="T322" i="2"/>
  <c r="Q323" i="2"/>
  <c r="R323" i="2"/>
  <c r="S323" i="2"/>
  <c r="T323" i="2"/>
  <c r="U323" i="2"/>
  <c r="O324" i="2"/>
  <c r="P324" i="2"/>
  <c r="T324" i="2"/>
  <c r="U324" i="2"/>
  <c r="L325" i="2"/>
  <c r="L323" i="2" s="1"/>
  <c r="M325" i="2"/>
  <c r="N325" i="2"/>
  <c r="N323" i="2" s="1"/>
  <c r="T325" i="2"/>
  <c r="U325" i="2"/>
  <c r="Q326" i="2"/>
  <c r="T326" i="2" s="1"/>
  <c r="R326" i="2"/>
  <c r="U326" i="2" s="1"/>
  <c r="S326" i="2"/>
  <c r="O327" i="2"/>
  <c r="P327" i="2"/>
  <c r="T327" i="2"/>
  <c r="U327" i="2"/>
  <c r="L328" i="2"/>
  <c r="L326" i="2" s="1"/>
  <c r="O326" i="2" s="1"/>
  <c r="M328" i="2"/>
  <c r="N328" i="2"/>
  <c r="N326" i="2" s="1"/>
  <c r="T328" i="2"/>
  <c r="U328" i="2"/>
  <c r="I330" i="2"/>
  <c r="K330" i="2" s="1"/>
  <c r="L334" i="2"/>
  <c r="M334" i="2"/>
  <c r="N334" i="2"/>
  <c r="Q334" i="2"/>
  <c r="T334" i="2" s="1"/>
  <c r="R334" i="2"/>
  <c r="S334" i="2"/>
  <c r="S333" i="2" s="1"/>
  <c r="Q335" i="2"/>
  <c r="T335" i="2" s="1"/>
  <c r="R335" i="2"/>
  <c r="S335" i="2"/>
  <c r="U335" i="2"/>
  <c r="Q336" i="2"/>
  <c r="T336" i="2" s="1"/>
  <c r="R336" i="2"/>
  <c r="S336" i="2"/>
  <c r="U336" i="2"/>
  <c r="O337" i="2"/>
  <c r="P337" i="2"/>
  <c r="T337" i="2"/>
  <c r="U337" i="2"/>
  <c r="L338" i="2"/>
  <c r="L336" i="2" s="1"/>
  <c r="M338" i="2"/>
  <c r="M336" i="2" s="1"/>
  <c r="N338" i="2"/>
  <c r="N336" i="2" s="1"/>
  <c r="T338" i="2"/>
  <c r="U338" i="2"/>
  <c r="Q339" i="2"/>
  <c r="T339" i="2" s="1"/>
  <c r="R339" i="2"/>
  <c r="U339" i="2" s="1"/>
  <c r="S339" i="2"/>
  <c r="O340" i="2"/>
  <c r="P340" i="2"/>
  <c r="T340" i="2"/>
  <c r="U340" i="2"/>
  <c r="L341" i="2"/>
  <c r="M341" i="2"/>
  <c r="M339" i="2" s="1"/>
  <c r="P339" i="2" s="1"/>
  <c r="N341" i="2"/>
  <c r="N339" i="2" s="1"/>
  <c r="T341" i="2"/>
  <c r="U341" i="2"/>
  <c r="I344" i="2"/>
  <c r="I332" i="2" s="1"/>
  <c r="J344" i="2"/>
  <c r="I346" i="2"/>
  <c r="J346" i="2"/>
  <c r="J347" i="2"/>
  <c r="J348" i="2"/>
  <c r="J349" i="2"/>
  <c r="D350" i="2"/>
  <c r="J352" i="2"/>
  <c r="J353" i="2"/>
  <c r="D354" i="2"/>
  <c r="S356" i="2"/>
  <c r="L357" i="2"/>
  <c r="M357" i="2"/>
  <c r="N357" i="2"/>
  <c r="O357" i="2"/>
  <c r="P357" i="2"/>
  <c r="Q357" i="2"/>
  <c r="T357" i="2" s="1"/>
  <c r="R357" i="2"/>
  <c r="S357" i="2"/>
  <c r="U357" i="2"/>
  <c r="Q358" i="2"/>
  <c r="T358" i="2" s="1"/>
  <c r="R358" i="2"/>
  <c r="U358" i="2" s="1"/>
  <c r="S358" i="2"/>
  <c r="Q359" i="2"/>
  <c r="T359" i="2" s="1"/>
  <c r="R359" i="2"/>
  <c r="U359" i="2" s="1"/>
  <c r="S359" i="2"/>
  <c r="O360" i="2"/>
  <c r="P360" i="2"/>
  <c r="T360" i="2"/>
  <c r="U360" i="2"/>
  <c r="L361" i="2"/>
  <c r="M361" i="2"/>
  <c r="M359" i="2" s="1"/>
  <c r="N361" i="2"/>
  <c r="N359" i="2" s="1"/>
  <c r="T361" i="2"/>
  <c r="U361" i="2"/>
  <c r="Q362" i="2"/>
  <c r="T362" i="2" s="1"/>
  <c r="R362" i="2"/>
  <c r="S362" i="2"/>
  <c r="U362" i="2"/>
  <c r="O363" i="2"/>
  <c r="P363" i="2"/>
  <c r="T363" i="2"/>
  <c r="U363" i="2"/>
  <c r="L364" i="2"/>
  <c r="O364" i="2" s="1"/>
  <c r="M364" i="2"/>
  <c r="P364" i="2" s="1"/>
  <c r="N364" i="2"/>
  <c r="N362" i="2" s="1"/>
  <c r="T364" i="2"/>
  <c r="U364" i="2"/>
  <c r="J367" i="2"/>
  <c r="K367" i="2"/>
  <c r="I368" i="2"/>
  <c r="J368" i="2"/>
  <c r="I369" i="2"/>
  <c r="J369" i="2"/>
  <c r="J370" i="2"/>
  <c r="K370" i="2"/>
  <c r="I371" i="2"/>
  <c r="J371" i="2"/>
  <c r="J365" i="2" s="1"/>
  <c r="J372" i="2"/>
  <c r="K372" i="2"/>
  <c r="D373" i="2"/>
  <c r="L376" i="2"/>
  <c r="O376" i="2" s="1"/>
  <c r="M376" i="2"/>
  <c r="N376" i="2"/>
  <c r="P376" i="2"/>
  <c r="Q376" i="2"/>
  <c r="T376" i="2" s="1"/>
  <c r="R376" i="2"/>
  <c r="U376" i="2" s="1"/>
  <c r="S376" i="2"/>
  <c r="O379" i="2"/>
  <c r="P379" i="2"/>
  <c r="T379" i="2"/>
  <c r="U379" i="2"/>
  <c r="L380" i="2"/>
  <c r="M380" i="2"/>
  <c r="M378" i="2" s="1"/>
  <c r="N380" i="2"/>
  <c r="Q380" i="2"/>
  <c r="Q377" i="2" s="1"/>
  <c r="R380" i="2"/>
  <c r="S380" i="2"/>
  <c r="S378" i="2" s="1"/>
  <c r="Q381" i="2"/>
  <c r="R381" i="2"/>
  <c r="S381" i="2"/>
  <c r="T381" i="2"/>
  <c r="U381" i="2"/>
  <c r="O382" i="2"/>
  <c r="P382" i="2"/>
  <c r="T382" i="2"/>
  <c r="U382" i="2"/>
  <c r="L383" i="2"/>
  <c r="M383" i="2"/>
  <c r="N383" i="2"/>
  <c r="N381" i="2" s="1"/>
  <c r="T383" i="2"/>
  <c r="U383" i="2"/>
  <c r="J385" i="2"/>
  <c r="K385" i="2"/>
  <c r="I386" i="2"/>
  <c r="J386" i="2"/>
  <c r="J387" i="2"/>
  <c r="K387" i="2"/>
  <c r="I388" i="2"/>
  <c r="K388" i="2" s="1"/>
  <c r="J388" i="2"/>
  <c r="I391" i="2"/>
  <c r="J391" i="2"/>
  <c r="K391" i="2"/>
  <c r="L393" i="2"/>
  <c r="M393" i="2"/>
  <c r="P393" i="2" s="1"/>
  <c r="N393" i="2"/>
  <c r="Q393" i="2"/>
  <c r="R393" i="2"/>
  <c r="S393" i="2"/>
  <c r="T393" i="2"/>
  <c r="L394" i="2"/>
  <c r="O394" i="2" s="1"/>
  <c r="M394" i="2"/>
  <c r="N394" i="2"/>
  <c r="N392" i="2" s="1"/>
  <c r="P394" i="2"/>
  <c r="L395" i="2"/>
  <c r="O395" i="2" s="1"/>
  <c r="M395" i="2"/>
  <c r="P395" i="2" s="1"/>
  <c r="N395" i="2"/>
  <c r="O396" i="2"/>
  <c r="P396" i="2"/>
  <c r="T396" i="2"/>
  <c r="U396" i="2"/>
  <c r="O397" i="2"/>
  <c r="P397" i="2"/>
  <c r="Q397" i="2"/>
  <c r="T397" i="2" s="1"/>
  <c r="R397" i="2"/>
  <c r="R395" i="2" s="1"/>
  <c r="U395" i="2" s="1"/>
  <c r="S397" i="2"/>
  <c r="L398" i="2"/>
  <c r="O398" i="2" s="1"/>
  <c r="M398" i="2"/>
  <c r="P398" i="2" s="1"/>
  <c r="N398" i="2"/>
  <c r="Q398" i="2"/>
  <c r="R398" i="2"/>
  <c r="U398" i="2" s="1"/>
  <c r="S398" i="2"/>
  <c r="T398" i="2"/>
  <c r="O399" i="2"/>
  <c r="P399" i="2"/>
  <c r="T399" i="2"/>
  <c r="U399" i="2"/>
  <c r="O400" i="2"/>
  <c r="P400" i="2"/>
  <c r="T400" i="2"/>
  <c r="U400" i="2"/>
  <c r="L414" i="2"/>
  <c r="O414" i="2" s="1"/>
  <c r="M414" i="2"/>
  <c r="N414" i="2"/>
  <c r="Q414" i="2"/>
  <c r="R414" i="2"/>
  <c r="U414" i="2" s="1"/>
  <c r="S414" i="2"/>
  <c r="T414" i="2"/>
  <c r="O417" i="2"/>
  <c r="P417" i="2"/>
  <c r="T417" i="2"/>
  <c r="U417" i="2"/>
  <c r="L418" i="2"/>
  <c r="M418" i="2"/>
  <c r="N418" i="2"/>
  <c r="N416" i="2" s="1"/>
  <c r="Q418" i="2"/>
  <c r="Q415" i="2" s="1"/>
  <c r="Q413" i="2" s="1"/>
  <c r="R418" i="2"/>
  <c r="R415" i="2" s="1"/>
  <c r="S418" i="2"/>
  <c r="S416" i="2" s="1"/>
  <c r="Q419" i="2"/>
  <c r="T419" i="2" s="1"/>
  <c r="R419" i="2"/>
  <c r="U419" i="2" s="1"/>
  <c r="S419" i="2"/>
  <c r="O420" i="2"/>
  <c r="P420" i="2"/>
  <c r="T420" i="2"/>
  <c r="U420" i="2"/>
  <c r="L421" i="2"/>
  <c r="L419" i="2" s="1"/>
  <c r="O419" i="2" s="1"/>
  <c r="M421" i="2"/>
  <c r="N421" i="2"/>
  <c r="N419" i="2" s="1"/>
  <c r="T421" i="2"/>
  <c r="U421" i="2"/>
  <c r="I424" i="2"/>
  <c r="K424" i="2" s="1"/>
  <c r="J424" i="2"/>
  <c r="I425" i="2"/>
  <c r="K425" i="2" s="1"/>
  <c r="J425" i="2"/>
  <c r="I432" i="2"/>
  <c r="K432" i="2" s="1"/>
  <c r="J432" i="2"/>
  <c r="I433" i="2"/>
  <c r="K433" i="2" s="1"/>
  <c r="J433" i="2"/>
  <c r="I440" i="2"/>
  <c r="I441" i="2"/>
  <c r="K441" i="2" s="1"/>
  <c r="J446" i="2"/>
  <c r="J440" i="2" s="1"/>
  <c r="J423" i="2" s="1"/>
  <c r="J412" i="2" s="1"/>
  <c r="J447" i="2"/>
  <c r="J441" i="2" s="1"/>
  <c r="I457" i="2"/>
  <c r="I458" i="2"/>
  <c r="K458" i="2" s="1"/>
  <c r="J459" i="2"/>
  <c r="J457" i="2" s="1"/>
  <c r="J456" i="2" s="1"/>
  <c r="J460" i="2"/>
  <c r="J458" i="2" s="1"/>
  <c r="J467" i="2"/>
  <c r="J468" i="2"/>
  <c r="J475" i="2"/>
  <c r="K475" i="2"/>
  <c r="J476" i="2"/>
  <c r="K476" i="2"/>
  <c r="J477" i="2"/>
  <c r="K477" i="2"/>
  <c r="J482" i="2"/>
  <c r="J483" i="2"/>
  <c r="I484" i="2"/>
  <c r="K484" i="2" s="1"/>
  <c r="J484" i="2"/>
  <c r="I485" i="2"/>
  <c r="K485" i="2" s="1"/>
  <c r="J485" i="2"/>
  <c r="L494" i="2"/>
  <c r="M494" i="2"/>
  <c r="P494" i="2" s="1"/>
  <c r="N494" i="2"/>
  <c r="Q494" i="2"/>
  <c r="R494" i="2"/>
  <c r="S494" i="2"/>
  <c r="O497" i="2"/>
  <c r="P497" i="2"/>
  <c r="T497" i="2"/>
  <c r="U497" i="2"/>
  <c r="L498" i="2"/>
  <c r="M498" i="2"/>
  <c r="N498" i="2"/>
  <c r="Q498" i="2"/>
  <c r="Q496" i="2" s="1"/>
  <c r="R498" i="2"/>
  <c r="R495" i="2" s="1"/>
  <c r="S498" i="2"/>
  <c r="S495" i="2" s="1"/>
  <c r="S493" i="2" s="1"/>
  <c r="Q499" i="2"/>
  <c r="T499" i="2" s="1"/>
  <c r="R499" i="2"/>
  <c r="S499" i="2"/>
  <c r="U499" i="2"/>
  <c r="O500" i="2"/>
  <c r="P500" i="2"/>
  <c r="T500" i="2"/>
  <c r="U500" i="2"/>
  <c r="L501" i="2"/>
  <c r="M501" i="2"/>
  <c r="N501" i="2"/>
  <c r="N499" i="2" s="1"/>
  <c r="T501" i="2"/>
  <c r="U501" i="2"/>
  <c r="I503" i="2"/>
  <c r="I504" i="2"/>
  <c r="K504" i="2" s="1"/>
  <c r="I505" i="2"/>
  <c r="K505" i="2" s="1"/>
  <c r="I506" i="2"/>
  <c r="K506" i="2" s="1"/>
  <c r="I507" i="2"/>
  <c r="K507" i="2" s="1"/>
  <c r="K508" i="2"/>
  <c r="I509" i="2"/>
  <c r="K509" i="2" s="1"/>
  <c r="I512" i="2"/>
  <c r="J512" i="2"/>
  <c r="K512" i="2" s="1"/>
  <c r="L514" i="2"/>
  <c r="M514" i="2"/>
  <c r="N514" i="2"/>
  <c r="O514" i="2"/>
  <c r="Q514" i="2"/>
  <c r="T514" i="2" s="1"/>
  <c r="R514" i="2"/>
  <c r="S514" i="2"/>
  <c r="S513" i="2" s="1"/>
  <c r="U514" i="2"/>
  <c r="Q515" i="2"/>
  <c r="R515" i="2"/>
  <c r="U515" i="2" s="1"/>
  <c r="S515" i="2"/>
  <c r="Q516" i="2"/>
  <c r="T516" i="2" s="1"/>
  <c r="R516" i="2"/>
  <c r="U516" i="2" s="1"/>
  <c r="S516" i="2"/>
  <c r="O517" i="2"/>
  <c r="P517" i="2"/>
  <c r="T517" i="2"/>
  <c r="U517" i="2"/>
  <c r="L518" i="2"/>
  <c r="M518" i="2"/>
  <c r="N518" i="2"/>
  <c r="T518" i="2"/>
  <c r="U518" i="2"/>
  <c r="Q519" i="2"/>
  <c r="T519" i="2" s="1"/>
  <c r="R519" i="2"/>
  <c r="U519" i="2" s="1"/>
  <c r="S519" i="2"/>
  <c r="O520" i="2"/>
  <c r="P520" i="2"/>
  <c r="T520" i="2"/>
  <c r="U520" i="2"/>
  <c r="L521" i="2"/>
  <c r="L519" i="2" s="1"/>
  <c r="M521" i="2"/>
  <c r="M519" i="2" s="1"/>
  <c r="N521" i="2"/>
  <c r="T521" i="2"/>
  <c r="U521" i="2"/>
  <c r="K523" i="2"/>
  <c r="K524" i="2"/>
  <c r="I533" i="2"/>
  <c r="K533" i="2" s="1"/>
  <c r="J533" i="2"/>
  <c r="L535" i="2"/>
  <c r="O535" i="2" s="1"/>
  <c r="M535" i="2"/>
  <c r="N535" i="2"/>
  <c r="P535" i="2"/>
  <c r="Q535" i="2"/>
  <c r="R535" i="2"/>
  <c r="U535" i="2" s="1"/>
  <c r="S535" i="2"/>
  <c r="Q536" i="2"/>
  <c r="T536" i="2" s="1"/>
  <c r="R536" i="2"/>
  <c r="S536" i="2"/>
  <c r="Q537" i="2"/>
  <c r="R537" i="2"/>
  <c r="U537" i="2" s="1"/>
  <c r="S537" i="2"/>
  <c r="T537" i="2"/>
  <c r="O538" i="2"/>
  <c r="P538" i="2"/>
  <c r="T538" i="2"/>
  <c r="U538" i="2"/>
  <c r="L539" i="2"/>
  <c r="M539" i="2"/>
  <c r="N539" i="2"/>
  <c r="T539" i="2"/>
  <c r="U539" i="2"/>
  <c r="Q540" i="2"/>
  <c r="T540" i="2" s="1"/>
  <c r="R540" i="2"/>
  <c r="U540" i="2" s="1"/>
  <c r="S540" i="2"/>
  <c r="O541" i="2"/>
  <c r="P541" i="2"/>
  <c r="T541" i="2"/>
  <c r="U541" i="2"/>
  <c r="L542" i="2"/>
  <c r="O542" i="2" s="1"/>
  <c r="M542" i="2"/>
  <c r="N542" i="2"/>
  <c r="N540" i="2" s="1"/>
  <c r="T542" i="2"/>
  <c r="U542" i="2"/>
  <c r="I554" i="2"/>
  <c r="J554" i="2"/>
  <c r="K554" i="2"/>
  <c r="L556" i="2"/>
  <c r="M556" i="2"/>
  <c r="N556" i="2"/>
  <c r="O556" i="2"/>
  <c r="Q556" i="2"/>
  <c r="R556" i="2"/>
  <c r="R555" i="2" s="1"/>
  <c r="U555" i="2" s="1"/>
  <c r="S556" i="2"/>
  <c r="S555" i="2" s="1"/>
  <c r="U556" i="2"/>
  <c r="Q557" i="2"/>
  <c r="T557" i="2" s="1"/>
  <c r="R557" i="2"/>
  <c r="U557" i="2" s="1"/>
  <c r="S557" i="2"/>
  <c r="Q558" i="2"/>
  <c r="T558" i="2" s="1"/>
  <c r="R558" i="2"/>
  <c r="U558" i="2" s="1"/>
  <c r="S558" i="2"/>
  <c r="O559" i="2"/>
  <c r="P559" i="2"/>
  <c r="T559" i="2"/>
  <c r="U559" i="2"/>
  <c r="L560" i="2"/>
  <c r="L558" i="2" s="1"/>
  <c r="O558" i="2" s="1"/>
  <c r="M560" i="2"/>
  <c r="M558" i="2" s="1"/>
  <c r="P558" i="2" s="1"/>
  <c r="N560" i="2"/>
  <c r="N558" i="2" s="1"/>
  <c r="T560" i="2"/>
  <c r="U560" i="2"/>
  <c r="Q561" i="2"/>
  <c r="R561" i="2"/>
  <c r="S561" i="2"/>
  <c r="T561" i="2"/>
  <c r="U561" i="2"/>
  <c r="O562" i="2"/>
  <c r="P562" i="2"/>
  <c r="T562" i="2"/>
  <c r="U562" i="2"/>
  <c r="L563" i="2"/>
  <c r="M563" i="2"/>
  <c r="N563" i="2"/>
  <c r="N561" i="2" s="1"/>
  <c r="T563" i="2"/>
  <c r="U563" i="2"/>
  <c r="I575" i="2"/>
  <c r="J575" i="2"/>
  <c r="L577" i="2"/>
  <c r="O577" i="2" s="1"/>
  <c r="M577" i="2"/>
  <c r="P577" i="2" s="1"/>
  <c r="N577" i="2"/>
  <c r="Q577" i="2"/>
  <c r="R577" i="2"/>
  <c r="U577" i="2" s="1"/>
  <c r="S577" i="2"/>
  <c r="S576" i="2" s="1"/>
  <c r="Q578" i="2"/>
  <c r="R578" i="2"/>
  <c r="S578" i="2"/>
  <c r="T578" i="2"/>
  <c r="Q579" i="2"/>
  <c r="R579" i="2"/>
  <c r="S579" i="2"/>
  <c r="T579" i="2"/>
  <c r="U579" i="2"/>
  <c r="O580" i="2"/>
  <c r="P580" i="2"/>
  <c r="T580" i="2"/>
  <c r="U580" i="2"/>
  <c r="L581" i="2"/>
  <c r="M581" i="2"/>
  <c r="N581" i="2"/>
  <c r="T581" i="2"/>
  <c r="U581" i="2"/>
  <c r="Q582" i="2"/>
  <c r="T582" i="2" s="1"/>
  <c r="R582" i="2"/>
  <c r="U582" i="2" s="1"/>
  <c r="S582" i="2"/>
  <c r="O583" i="2"/>
  <c r="P583" i="2"/>
  <c r="T583" i="2"/>
  <c r="U583" i="2"/>
  <c r="L584" i="2"/>
  <c r="L582" i="2" s="1"/>
  <c r="O582" i="2" s="1"/>
  <c r="M584" i="2"/>
  <c r="M582" i="2" s="1"/>
  <c r="P582" i="2" s="1"/>
  <c r="N584" i="2"/>
  <c r="N582" i="2" s="1"/>
  <c r="T584" i="2"/>
  <c r="U584" i="2"/>
  <c r="K586" i="2"/>
  <c r="K587" i="2"/>
  <c r="L600" i="2"/>
  <c r="M600" i="2"/>
  <c r="P600" i="2" s="1"/>
  <c r="N600" i="2"/>
  <c r="O600" i="2"/>
  <c r="Q600" i="2"/>
  <c r="R600" i="2"/>
  <c r="S600" i="2"/>
  <c r="T600" i="2"/>
  <c r="U600" i="2"/>
  <c r="O603" i="2"/>
  <c r="P603" i="2"/>
  <c r="T603" i="2"/>
  <c r="U603" i="2"/>
  <c r="L604" i="2"/>
  <c r="M604" i="2"/>
  <c r="N604" i="2"/>
  <c r="N602" i="2" s="1"/>
  <c r="Q604" i="2"/>
  <c r="R604" i="2"/>
  <c r="R602" i="2" s="1"/>
  <c r="U602" i="2" s="1"/>
  <c r="S604" i="2"/>
  <c r="S602" i="2" s="1"/>
  <c r="O606" i="2"/>
  <c r="P606" i="2"/>
  <c r="T606" i="2"/>
  <c r="U606" i="2"/>
  <c r="L607" i="2"/>
  <c r="O607" i="2" s="1"/>
  <c r="M607" i="2"/>
  <c r="M605" i="2" s="1"/>
  <c r="P605" i="2" s="1"/>
  <c r="N607" i="2"/>
  <c r="N605" i="2" s="1"/>
  <c r="Q607" i="2"/>
  <c r="R607" i="2"/>
  <c r="U607" i="2" s="1"/>
  <c r="S607" i="2"/>
  <c r="S605" i="2" s="1"/>
  <c r="L617" i="2"/>
  <c r="M617" i="2"/>
  <c r="P617" i="2" s="1"/>
  <c r="N617" i="2"/>
  <c r="Q617" i="2"/>
  <c r="R617" i="2"/>
  <c r="U617" i="2" s="1"/>
  <c r="S617" i="2"/>
  <c r="L618" i="2"/>
  <c r="O618" i="2" s="1"/>
  <c r="M618" i="2"/>
  <c r="P618" i="2" s="1"/>
  <c r="N618" i="2"/>
  <c r="L619" i="2"/>
  <c r="M619" i="2"/>
  <c r="P619" i="2" s="1"/>
  <c r="N619" i="2"/>
  <c r="O619" i="2"/>
  <c r="O620" i="2"/>
  <c r="P620" i="2"/>
  <c r="T620" i="2"/>
  <c r="U620" i="2"/>
  <c r="O621" i="2"/>
  <c r="P621" i="2"/>
  <c r="Q621" i="2"/>
  <c r="R621" i="2"/>
  <c r="R619" i="2" s="1"/>
  <c r="S621" i="2"/>
  <c r="S618" i="2" s="1"/>
  <c r="S616" i="2" s="1"/>
  <c r="L622" i="2"/>
  <c r="O622" i="2" s="1"/>
  <c r="M622" i="2"/>
  <c r="P622" i="2" s="1"/>
  <c r="N622" i="2"/>
  <c r="Q622" i="2"/>
  <c r="T622" i="2" s="1"/>
  <c r="R622" i="2"/>
  <c r="U622" i="2" s="1"/>
  <c r="S622" i="2"/>
  <c r="O623" i="2"/>
  <c r="P623" i="2"/>
  <c r="T623" i="2"/>
  <c r="U623" i="2"/>
  <c r="O624" i="2"/>
  <c r="P624" i="2"/>
  <c r="T624" i="2"/>
  <c r="U624" i="2"/>
  <c r="I626" i="2"/>
  <c r="K629" i="2" s="1"/>
  <c r="I627" i="2"/>
  <c r="K627" i="2" s="1"/>
  <c r="I628" i="2"/>
  <c r="K628" i="2" s="1"/>
  <c r="J632" i="2"/>
  <c r="J626" i="2" s="1"/>
  <c r="J615" i="2" s="1"/>
  <c r="I635" i="2"/>
  <c r="K635" i="2" s="1"/>
  <c r="J636" i="2"/>
  <c r="J635" i="2" s="1"/>
  <c r="L643" i="2"/>
  <c r="M643" i="2"/>
  <c r="P643" i="2" s="1"/>
  <c r="N643" i="2"/>
  <c r="N642" i="2" s="1"/>
  <c r="Q643" i="2"/>
  <c r="R643" i="2"/>
  <c r="S643" i="2"/>
  <c r="T643" i="2"/>
  <c r="L644" i="2"/>
  <c r="O644" i="2" s="1"/>
  <c r="M644" i="2"/>
  <c r="N644" i="2"/>
  <c r="P644" i="2"/>
  <c r="L645" i="2"/>
  <c r="O645" i="2" s="1"/>
  <c r="M645" i="2"/>
  <c r="N645" i="2"/>
  <c r="P645" i="2"/>
  <c r="O646" i="2"/>
  <c r="P646" i="2"/>
  <c r="T646" i="2"/>
  <c r="U646" i="2"/>
  <c r="O647" i="2"/>
  <c r="P647" i="2"/>
  <c r="Q647" i="2"/>
  <c r="Q645" i="2" s="1"/>
  <c r="T645" i="2" s="1"/>
  <c r="R647" i="2"/>
  <c r="R644" i="2" s="1"/>
  <c r="U644" i="2" s="1"/>
  <c r="S647" i="2"/>
  <c r="S645" i="2" s="1"/>
  <c r="L648" i="2"/>
  <c r="O648" i="2" s="1"/>
  <c r="M648" i="2"/>
  <c r="P648" i="2" s="1"/>
  <c r="N648" i="2"/>
  <c r="Q648" i="2"/>
  <c r="T648" i="2" s="1"/>
  <c r="R648" i="2"/>
  <c r="U648" i="2" s="1"/>
  <c r="S648" i="2"/>
  <c r="O649" i="2"/>
  <c r="P649" i="2"/>
  <c r="T649" i="2"/>
  <c r="U649" i="2"/>
  <c r="O650" i="2"/>
  <c r="P650" i="2"/>
  <c r="T650" i="2"/>
  <c r="U650" i="2"/>
  <c r="I652" i="2"/>
  <c r="K652" i="2" s="1"/>
  <c r="J652" i="2"/>
  <c r="I653" i="2"/>
  <c r="K653" i="2" s="1"/>
  <c r="J653" i="2"/>
  <c r="I654" i="2"/>
  <c r="K654" i="2" s="1"/>
  <c r="J654" i="2"/>
  <c r="I657" i="2"/>
  <c r="I660" i="2"/>
  <c r="I661" i="2"/>
  <c r="K661" i="2" s="1"/>
  <c r="J661" i="2"/>
  <c r="J671" i="2"/>
  <c r="J672" i="2"/>
  <c r="I673" i="2"/>
  <c r="K673" i="2" s="1"/>
  <c r="J673" i="2"/>
  <c r="I674" i="2"/>
  <c r="K674" i="2" s="1"/>
  <c r="I675" i="2"/>
  <c r="K675" i="2" s="1"/>
  <c r="I676" i="2"/>
  <c r="K676" i="2" s="1"/>
  <c r="J676" i="2"/>
  <c r="J677" i="2"/>
  <c r="I678" i="2"/>
  <c r="K678" i="2" s="1"/>
  <c r="J678" i="2"/>
  <c r="I679" i="2"/>
  <c r="K679" i="2" s="1"/>
  <c r="J679" i="2"/>
  <c r="J680" i="2"/>
  <c r="I681" i="2"/>
  <c r="K681" i="2" s="1"/>
  <c r="J681" i="2"/>
  <c r="I682" i="2"/>
  <c r="K682" i="2" s="1"/>
  <c r="J682" i="2"/>
  <c r="L691" i="2"/>
  <c r="O691" i="2" s="1"/>
  <c r="M691" i="2"/>
  <c r="P691" i="2" s="1"/>
  <c r="N691" i="2"/>
  <c r="N690" i="2" s="1"/>
  <c r="Q691" i="2"/>
  <c r="T691" i="2" s="1"/>
  <c r="R691" i="2"/>
  <c r="U691" i="2" s="1"/>
  <c r="S691" i="2"/>
  <c r="L692" i="2"/>
  <c r="O692" i="2" s="1"/>
  <c r="M692" i="2"/>
  <c r="P692" i="2" s="1"/>
  <c r="N692" i="2"/>
  <c r="L693" i="2"/>
  <c r="O693" i="2" s="1"/>
  <c r="M693" i="2"/>
  <c r="P693" i="2" s="1"/>
  <c r="N693" i="2"/>
  <c r="O694" i="2"/>
  <c r="P694" i="2"/>
  <c r="T694" i="2"/>
  <c r="U694" i="2"/>
  <c r="O695" i="2"/>
  <c r="P695" i="2"/>
  <c r="Q695" i="2"/>
  <c r="R695" i="2"/>
  <c r="S695" i="2"/>
  <c r="S693" i="2" s="1"/>
  <c r="L696" i="2"/>
  <c r="M696" i="2"/>
  <c r="P696" i="2" s="1"/>
  <c r="N696" i="2"/>
  <c r="O696" i="2"/>
  <c r="Q696" i="2"/>
  <c r="T696" i="2" s="1"/>
  <c r="R696" i="2"/>
  <c r="U696" i="2" s="1"/>
  <c r="S696" i="2"/>
  <c r="O697" i="2"/>
  <c r="P697" i="2"/>
  <c r="T697" i="2"/>
  <c r="U697" i="2"/>
  <c r="O698" i="2"/>
  <c r="P698" i="2"/>
  <c r="T698" i="2"/>
  <c r="U698" i="2"/>
  <c r="I700" i="2"/>
  <c r="K700" i="2" s="1"/>
  <c r="K702" i="2"/>
  <c r="I703" i="2"/>
  <c r="J703" i="2"/>
  <c r="J704" i="2"/>
  <c r="K704" i="2"/>
  <c r="I705" i="2"/>
  <c r="J705" i="2"/>
  <c r="J706" i="2"/>
  <c r="K706" i="2"/>
  <c r="I707" i="2"/>
  <c r="J707" i="2"/>
  <c r="J689" i="2" s="1"/>
  <c r="J708" i="2"/>
  <c r="K708" i="2"/>
  <c r="I709" i="2"/>
  <c r="J709" i="2"/>
  <c r="J710" i="2"/>
  <c r="K710" i="2"/>
  <c r="J712" i="2"/>
  <c r="K712" i="2"/>
  <c r="L715" i="2"/>
  <c r="M715" i="2"/>
  <c r="P715" i="2" s="1"/>
  <c r="N715" i="2"/>
  <c r="Q715" i="2"/>
  <c r="R715" i="2"/>
  <c r="U715" i="2" s="1"/>
  <c r="S715" i="2"/>
  <c r="T715" i="2"/>
  <c r="L716" i="2"/>
  <c r="O716" i="2" s="1"/>
  <c r="M716" i="2"/>
  <c r="M714" i="2" s="1"/>
  <c r="P714" i="2" s="1"/>
  <c r="N716" i="2"/>
  <c r="Q716" i="2"/>
  <c r="T716" i="2" s="1"/>
  <c r="R716" i="2"/>
  <c r="U716" i="2" s="1"/>
  <c r="S716" i="2"/>
  <c r="S714" i="2" s="1"/>
  <c r="L717" i="2"/>
  <c r="M717" i="2"/>
  <c r="P717" i="2" s="1"/>
  <c r="N717" i="2"/>
  <c r="O717" i="2"/>
  <c r="Q717" i="2"/>
  <c r="R717" i="2"/>
  <c r="S717" i="2"/>
  <c r="T717" i="2"/>
  <c r="U717" i="2"/>
  <c r="O718" i="2"/>
  <c r="P718" i="2"/>
  <c r="T718" i="2"/>
  <c r="U718" i="2"/>
  <c r="O719" i="2"/>
  <c r="P719" i="2"/>
  <c r="T719" i="2"/>
  <c r="U719" i="2"/>
  <c r="L720" i="2"/>
  <c r="M720" i="2"/>
  <c r="N720" i="2"/>
  <c r="O720" i="2"/>
  <c r="P720" i="2"/>
  <c r="Q720" i="2"/>
  <c r="R720" i="2"/>
  <c r="S720" i="2"/>
  <c r="T720" i="2"/>
  <c r="U720" i="2"/>
  <c r="O721" i="2"/>
  <c r="P721" i="2"/>
  <c r="T721" i="2"/>
  <c r="U721" i="2"/>
  <c r="O722" i="2"/>
  <c r="P722" i="2"/>
  <c r="T722" i="2"/>
  <c r="U722" i="2"/>
  <c r="I726" i="2"/>
  <c r="K726" i="2" s="1"/>
  <c r="J726" i="2"/>
  <c r="I727" i="2"/>
  <c r="K727" i="2" s="1"/>
  <c r="J727" i="2"/>
  <c r="L729" i="2"/>
  <c r="M729" i="2"/>
  <c r="M728" i="2" s="1"/>
  <c r="P728" i="2" s="1"/>
  <c r="N729" i="2"/>
  <c r="Q729" i="2"/>
  <c r="R729" i="2"/>
  <c r="S729" i="2"/>
  <c r="T729" i="2"/>
  <c r="L730" i="2"/>
  <c r="O730" i="2" s="1"/>
  <c r="M730" i="2"/>
  <c r="N730" i="2"/>
  <c r="P730" i="2"/>
  <c r="L731" i="2"/>
  <c r="O731" i="2" s="1"/>
  <c r="M731" i="2"/>
  <c r="P731" i="2" s="1"/>
  <c r="N731" i="2"/>
  <c r="O732" i="2"/>
  <c r="P732" i="2"/>
  <c r="T732" i="2"/>
  <c r="U732" i="2"/>
  <c r="O733" i="2"/>
  <c r="P733" i="2"/>
  <c r="Q733" i="2"/>
  <c r="Q731" i="2" s="1"/>
  <c r="R733" i="2"/>
  <c r="R731" i="2" s="1"/>
  <c r="S733" i="2"/>
  <c r="S730" i="2" s="1"/>
  <c r="L734" i="2"/>
  <c r="O734" i="2" s="1"/>
  <c r="M734" i="2"/>
  <c r="P734" i="2" s="1"/>
  <c r="N734" i="2"/>
  <c r="Q734" i="2"/>
  <c r="T734" i="2" s="1"/>
  <c r="R734" i="2"/>
  <c r="U734" i="2" s="1"/>
  <c r="S734" i="2"/>
  <c r="O735" i="2"/>
  <c r="P735" i="2"/>
  <c r="T735" i="2"/>
  <c r="U735" i="2"/>
  <c r="O736" i="2"/>
  <c r="P736" i="2"/>
  <c r="T736" i="2"/>
  <c r="U736" i="2"/>
  <c r="I740" i="2"/>
  <c r="K740" i="2" s="1"/>
  <c r="I742" i="2"/>
  <c r="K742" i="2" s="1"/>
  <c r="I744" i="2"/>
  <c r="K744" i="2" s="1"/>
  <c r="I746" i="2"/>
  <c r="K746" i="2" s="1"/>
  <c r="I749" i="2"/>
  <c r="K749" i="2" s="1"/>
  <c r="I752" i="2"/>
  <c r="K752" i="2" s="1"/>
  <c r="I755" i="2"/>
  <c r="K755" i="2" s="1"/>
  <c r="J758" i="2"/>
  <c r="J759" i="2"/>
  <c r="L761" i="2"/>
  <c r="M761" i="2"/>
  <c r="P761" i="2" s="1"/>
  <c r="N761" i="2"/>
  <c r="Q761" i="2"/>
  <c r="R761" i="2"/>
  <c r="S761" i="2"/>
  <c r="L762" i="2"/>
  <c r="M762" i="2"/>
  <c r="N762" i="2"/>
  <c r="O762" i="2"/>
  <c r="L763" i="2"/>
  <c r="O763" i="2" s="1"/>
  <c r="M763" i="2"/>
  <c r="N763" i="2"/>
  <c r="P763" i="2"/>
  <c r="O764" i="2"/>
  <c r="P764" i="2"/>
  <c r="T764" i="2"/>
  <c r="U764" i="2"/>
  <c r="O765" i="2"/>
  <c r="P765" i="2"/>
  <c r="Q765" i="2"/>
  <c r="R765" i="2"/>
  <c r="R762" i="2" s="1"/>
  <c r="S765" i="2"/>
  <c r="S763" i="2" s="1"/>
  <c r="L766" i="2"/>
  <c r="O766" i="2" s="1"/>
  <c r="M766" i="2"/>
  <c r="P766" i="2" s="1"/>
  <c r="N766" i="2"/>
  <c r="Q766" i="2"/>
  <c r="T766" i="2" s="1"/>
  <c r="R766" i="2"/>
  <c r="U766" i="2" s="1"/>
  <c r="S766" i="2"/>
  <c r="O767" i="2"/>
  <c r="P767" i="2"/>
  <c r="T767" i="2"/>
  <c r="U767" i="2"/>
  <c r="O768" i="2"/>
  <c r="P768" i="2"/>
  <c r="T768" i="2"/>
  <c r="U768" i="2"/>
  <c r="I770" i="2"/>
  <c r="K770" i="2" s="1"/>
  <c r="I772" i="2"/>
  <c r="I758" i="2" s="1"/>
  <c r="K758" i="2" s="1"/>
  <c r="I774" i="2"/>
  <c r="K774" i="2" s="1"/>
  <c r="I775" i="2"/>
  <c r="I776" i="2"/>
  <c r="H777" i="2"/>
  <c r="I778" i="2"/>
  <c r="J778" i="2"/>
  <c r="I779" i="2"/>
  <c r="J779" i="2"/>
  <c r="I780" i="2"/>
  <c r="J780" i="2"/>
  <c r="I781" i="2"/>
  <c r="J781" i="2"/>
  <c r="I782" i="2"/>
  <c r="K782" i="2" s="1"/>
  <c r="J782" i="2"/>
  <c r="I783" i="2"/>
  <c r="K783" i="2" s="1"/>
  <c r="J783" i="2"/>
  <c r="I784" i="2"/>
  <c r="J784" i="2"/>
  <c r="I785" i="2"/>
  <c r="J785" i="2"/>
  <c r="A788" i="2"/>
  <c r="A789" i="2"/>
  <c r="A789" i="1"/>
  <c r="A788" i="1"/>
  <c r="J785" i="1"/>
  <c r="I785" i="1"/>
  <c r="J784" i="1"/>
  <c r="I784" i="1"/>
  <c r="J783" i="1"/>
  <c r="I783" i="1"/>
  <c r="J782" i="1"/>
  <c r="I782" i="1"/>
  <c r="J781" i="1"/>
  <c r="I781" i="1"/>
  <c r="J780" i="1"/>
  <c r="I780" i="1"/>
  <c r="J779" i="1"/>
  <c r="I779" i="1"/>
  <c r="J778" i="1"/>
  <c r="I778" i="1"/>
  <c r="H777" i="1"/>
  <c r="J776" i="1"/>
  <c r="I776" i="1"/>
  <c r="J775" i="1"/>
  <c r="I775" i="1"/>
  <c r="J774" i="1"/>
  <c r="I774" i="1"/>
  <c r="I759" i="1" s="1"/>
  <c r="J772" i="1"/>
  <c r="I772" i="1"/>
  <c r="I758" i="1" s="1"/>
  <c r="J770" i="1"/>
  <c r="I770" i="1"/>
  <c r="K770" i="1" s="1"/>
  <c r="S768" i="1"/>
  <c r="R768" i="1"/>
  <c r="U768" i="1" s="1"/>
  <c r="Q768" i="1"/>
  <c r="T768" i="1" s="1"/>
  <c r="N768" i="1"/>
  <c r="M768" i="1"/>
  <c r="P768" i="1" s="1"/>
  <c r="L768" i="1"/>
  <c r="S767" i="1"/>
  <c r="R767" i="1"/>
  <c r="Q767" i="1"/>
  <c r="T767" i="1" s="1"/>
  <c r="N767" i="1"/>
  <c r="M767" i="1"/>
  <c r="P767" i="1" s="1"/>
  <c r="L767" i="1"/>
  <c r="O767" i="1" s="1"/>
  <c r="S765" i="1"/>
  <c r="R765" i="1"/>
  <c r="Q765" i="1"/>
  <c r="N765" i="1"/>
  <c r="M765" i="1"/>
  <c r="L765" i="1"/>
  <c r="O765" i="1" s="1"/>
  <c r="S764" i="1"/>
  <c r="S763" i="1" s="1"/>
  <c r="R764" i="1"/>
  <c r="Q764" i="1"/>
  <c r="T764" i="1" s="1"/>
  <c r="N764" i="1"/>
  <c r="M764" i="1"/>
  <c r="L764" i="1"/>
  <c r="J756" i="1"/>
  <c r="J755" i="1"/>
  <c r="I755" i="1"/>
  <c r="J753" i="1"/>
  <c r="J752" i="1"/>
  <c r="I752" i="1"/>
  <c r="J749" i="1"/>
  <c r="I749" i="1"/>
  <c r="J748" i="1"/>
  <c r="J746" i="1"/>
  <c r="I746" i="1"/>
  <c r="J745" i="1"/>
  <c r="J744" i="1"/>
  <c r="I744" i="1"/>
  <c r="J742" i="1"/>
  <c r="I742" i="1"/>
  <c r="J741" i="1"/>
  <c r="J740" i="1"/>
  <c r="I740" i="1"/>
  <c r="S736" i="1"/>
  <c r="R736" i="1"/>
  <c r="U736" i="1" s="1"/>
  <c r="Q736" i="1"/>
  <c r="T736" i="1" s="1"/>
  <c r="N736" i="1"/>
  <c r="M736" i="1"/>
  <c r="P736" i="1" s="1"/>
  <c r="L736" i="1"/>
  <c r="O736" i="1" s="1"/>
  <c r="S735" i="1"/>
  <c r="R735" i="1"/>
  <c r="U735" i="1" s="1"/>
  <c r="Q735" i="1"/>
  <c r="N735" i="1"/>
  <c r="M735" i="1"/>
  <c r="L735" i="1"/>
  <c r="O735" i="1" s="1"/>
  <c r="S733" i="1"/>
  <c r="R733" i="1"/>
  <c r="Q733" i="1"/>
  <c r="N733" i="1"/>
  <c r="M733" i="1"/>
  <c r="L733" i="1"/>
  <c r="O733" i="1" s="1"/>
  <c r="S732" i="1"/>
  <c r="R732" i="1"/>
  <c r="U732" i="1" s="1"/>
  <c r="Q732" i="1"/>
  <c r="N732" i="1"/>
  <c r="M732" i="1"/>
  <c r="P732" i="1" s="1"/>
  <c r="L732" i="1"/>
  <c r="I727" i="1"/>
  <c r="I726" i="1"/>
  <c r="S722" i="1"/>
  <c r="R722" i="1"/>
  <c r="U722" i="1" s="1"/>
  <c r="Q722" i="1"/>
  <c r="T722" i="1" s="1"/>
  <c r="N722" i="1"/>
  <c r="M722" i="1"/>
  <c r="L722" i="1"/>
  <c r="O722" i="1" s="1"/>
  <c r="S721" i="1"/>
  <c r="S720" i="1" s="1"/>
  <c r="R721" i="1"/>
  <c r="U721" i="1" s="1"/>
  <c r="Q721" i="1"/>
  <c r="N721" i="1"/>
  <c r="M721" i="1"/>
  <c r="P721" i="1" s="1"/>
  <c r="L721" i="1"/>
  <c r="S719" i="1"/>
  <c r="R719" i="1"/>
  <c r="U719" i="1" s="1"/>
  <c r="Q719" i="1"/>
  <c r="T719" i="1" s="1"/>
  <c r="N719" i="1"/>
  <c r="M719" i="1"/>
  <c r="P719" i="1" s="1"/>
  <c r="L719" i="1"/>
  <c r="O719" i="1" s="1"/>
  <c r="S718" i="1"/>
  <c r="R718" i="1"/>
  <c r="U718" i="1" s="1"/>
  <c r="Q718" i="1"/>
  <c r="N718" i="1"/>
  <c r="M718" i="1"/>
  <c r="P718" i="1" s="1"/>
  <c r="L718" i="1"/>
  <c r="K712" i="1"/>
  <c r="J712" i="1"/>
  <c r="K710" i="1"/>
  <c r="J710" i="1"/>
  <c r="J709" i="1"/>
  <c r="I709" i="1"/>
  <c r="K708" i="1"/>
  <c r="J708" i="1"/>
  <c r="J707" i="1"/>
  <c r="J689" i="1" s="1"/>
  <c r="I707" i="1"/>
  <c r="I689" i="1" s="1"/>
  <c r="K706" i="1"/>
  <c r="J706" i="1"/>
  <c r="J705" i="1"/>
  <c r="I705" i="1"/>
  <c r="K704" i="1"/>
  <c r="J704" i="1"/>
  <c r="J703" i="1"/>
  <c r="I703" i="1"/>
  <c r="K702" i="1"/>
  <c r="J700" i="1"/>
  <c r="I700" i="1"/>
  <c r="K700" i="1" s="1"/>
  <c r="S698" i="1"/>
  <c r="R698" i="1"/>
  <c r="U698" i="1" s="1"/>
  <c r="Q698" i="1"/>
  <c r="T698" i="1" s="1"/>
  <c r="N698" i="1"/>
  <c r="M698" i="1"/>
  <c r="L698" i="1"/>
  <c r="O698" i="1" s="1"/>
  <c r="S697" i="1"/>
  <c r="R697" i="1"/>
  <c r="Q697" i="1"/>
  <c r="N697" i="1"/>
  <c r="M697" i="1"/>
  <c r="P697" i="1" s="1"/>
  <c r="L697" i="1"/>
  <c r="O697" i="1" s="1"/>
  <c r="S695" i="1"/>
  <c r="R695" i="1"/>
  <c r="Q695" i="1"/>
  <c r="N695" i="1"/>
  <c r="N692" i="1" s="1"/>
  <c r="M695" i="1"/>
  <c r="L695" i="1"/>
  <c r="S694" i="1"/>
  <c r="R694" i="1"/>
  <c r="Q694" i="1"/>
  <c r="N694" i="1"/>
  <c r="N691" i="1" s="1"/>
  <c r="M694" i="1"/>
  <c r="P694" i="1" s="1"/>
  <c r="L694" i="1"/>
  <c r="J688" i="1"/>
  <c r="J687" i="1"/>
  <c r="J686" i="1"/>
  <c r="J685" i="1"/>
  <c r="J684" i="1"/>
  <c r="J683" i="1"/>
  <c r="I682" i="1"/>
  <c r="K682" i="1" s="1"/>
  <c r="J681" i="1"/>
  <c r="I681" i="1"/>
  <c r="K681" i="1" s="1"/>
  <c r="J680" i="1"/>
  <c r="J679" i="1"/>
  <c r="I679" i="1"/>
  <c r="K679" i="1" s="1"/>
  <c r="J678" i="1"/>
  <c r="I678" i="1"/>
  <c r="K678" i="1" s="1"/>
  <c r="J677" i="1"/>
  <c r="J676" i="1"/>
  <c r="I676" i="1"/>
  <c r="K676" i="1" s="1"/>
  <c r="I675" i="1"/>
  <c r="K675" i="1" s="1"/>
  <c r="I674" i="1"/>
  <c r="K674" i="1" s="1"/>
  <c r="J673" i="1"/>
  <c r="I673" i="1"/>
  <c r="K673" i="1" s="1"/>
  <c r="J672" i="1"/>
  <c r="J671" i="1"/>
  <c r="J670" i="1"/>
  <c r="J669" i="1"/>
  <c r="J668" i="1"/>
  <c r="J667" i="1"/>
  <c r="J666" i="1"/>
  <c r="J665" i="1"/>
  <c r="J663" i="1"/>
  <c r="J662" i="1"/>
  <c r="I661" i="1"/>
  <c r="K661" i="1" s="1"/>
  <c r="J660" i="1"/>
  <c r="I660" i="1"/>
  <c r="J659" i="1"/>
  <c r="J658" i="1"/>
  <c r="J657" i="1"/>
  <c r="I657" i="1"/>
  <c r="J656" i="1"/>
  <c r="J655" i="1"/>
  <c r="I654" i="1"/>
  <c r="K654" i="1" s="1"/>
  <c r="J653" i="1"/>
  <c r="I653" i="1"/>
  <c r="J652" i="1"/>
  <c r="I652" i="1"/>
  <c r="K652" i="1" s="1"/>
  <c r="S650" i="1"/>
  <c r="R650" i="1"/>
  <c r="Q650" i="1"/>
  <c r="T650" i="1" s="1"/>
  <c r="N650" i="1"/>
  <c r="M650" i="1"/>
  <c r="P650" i="1" s="1"/>
  <c r="L650" i="1"/>
  <c r="O650" i="1" s="1"/>
  <c r="S649" i="1"/>
  <c r="R649" i="1"/>
  <c r="U649" i="1" s="1"/>
  <c r="Q649" i="1"/>
  <c r="N649" i="1"/>
  <c r="M649" i="1"/>
  <c r="P649" i="1" s="1"/>
  <c r="L649" i="1"/>
  <c r="S647" i="1"/>
  <c r="R647" i="1"/>
  <c r="Q647" i="1"/>
  <c r="N647" i="1"/>
  <c r="M647" i="1"/>
  <c r="L647" i="1"/>
  <c r="O647" i="1" s="1"/>
  <c r="S646" i="1"/>
  <c r="R646" i="1"/>
  <c r="U646" i="1" s="1"/>
  <c r="Q646" i="1"/>
  <c r="N646" i="1"/>
  <c r="N643" i="1" s="1"/>
  <c r="M646" i="1"/>
  <c r="L646" i="1"/>
  <c r="J640" i="1"/>
  <c r="J639" i="1"/>
  <c r="J638" i="1"/>
  <c r="J637" i="1"/>
  <c r="I635" i="1"/>
  <c r="K635" i="1" s="1"/>
  <c r="J634" i="1"/>
  <c r="J633" i="1"/>
  <c r="J631" i="1"/>
  <c r="J630" i="1"/>
  <c r="J629" i="1"/>
  <c r="J628" i="1"/>
  <c r="I628" i="1"/>
  <c r="J627" i="1"/>
  <c r="I627" i="1"/>
  <c r="I626" i="1"/>
  <c r="S624" i="1"/>
  <c r="R624" i="1"/>
  <c r="U624" i="1" s="1"/>
  <c r="Q624" i="1"/>
  <c r="T624" i="1" s="1"/>
  <c r="N624" i="1"/>
  <c r="M624" i="1"/>
  <c r="P624" i="1" s="1"/>
  <c r="L624" i="1"/>
  <c r="S623" i="1"/>
  <c r="R623" i="1"/>
  <c r="Q623" i="1"/>
  <c r="T623" i="1" s="1"/>
  <c r="N623" i="1"/>
  <c r="M623" i="1"/>
  <c r="P623" i="1" s="1"/>
  <c r="L623" i="1"/>
  <c r="O623" i="1" s="1"/>
  <c r="S621" i="1"/>
  <c r="R621" i="1"/>
  <c r="Q621" i="1"/>
  <c r="N621" i="1"/>
  <c r="M621" i="1"/>
  <c r="P621" i="1" s="1"/>
  <c r="L621" i="1"/>
  <c r="O621" i="1" s="1"/>
  <c r="S620" i="1"/>
  <c r="R620" i="1"/>
  <c r="U620" i="1" s="1"/>
  <c r="Q620" i="1"/>
  <c r="T620" i="1" s="1"/>
  <c r="N620" i="1"/>
  <c r="M620" i="1"/>
  <c r="P620" i="1" s="1"/>
  <c r="L620" i="1"/>
  <c r="O620" i="1" s="1"/>
  <c r="S607" i="1"/>
  <c r="R607" i="1"/>
  <c r="U607" i="1" s="1"/>
  <c r="Q607" i="1"/>
  <c r="N607" i="1"/>
  <c r="M607" i="1"/>
  <c r="P607" i="1" s="1"/>
  <c r="L607" i="1"/>
  <c r="O607" i="1" s="1"/>
  <c r="S606" i="1"/>
  <c r="R606" i="1"/>
  <c r="U606" i="1" s="1"/>
  <c r="Q606" i="1"/>
  <c r="T606" i="1" s="1"/>
  <c r="N606" i="1"/>
  <c r="M606" i="1"/>
  <c r="P606" i="1" s="1"/>
  <c r="L606" i="1"/>
  <c r="S604" i="1"/>
  <c r="R604" i="1"/>
  <c r="Q604" i="1"/>
  <c r="T604" i="1" s="1"/>
  <c r="N604" i="1"/>
  <c r="M604" i="1"/>
  <c r="L604" i="1"/>
  <c r="S603" i="1"/>
  <c r="R603" i="1"/>
  <c r="Q603" i="1"/>
  <c r="Q602" i="1" s="1"/>
  <c r="T602" i="1" s="1"/>
  <c r="N603" i="1"/>
  <c r="N602" i="1" s="1"/>
  <c r="M603" i="1"/>
  <c r="P603" i="1" s="1"/>
  <c r="L603" i="1"/>
  <c r="O603" i="1" s="1"/>
  <c r="J587" i="1"/>
  <c r="J575" i="1" s="1"/>
  <c r="I587" i="1"/>
  <c r="J586" i="1"/>
  <c r="I586" i="1"/>
  <c r="S584" i="1"/>
  <c r="R584" i="1"/>
  <c r="U584" i="1" s="1"/>
  <c r="Q584" i="1"/>
  <c r="T584" i="1" s="1"/>
  <c r="N584" i="1"/>
  <c r="M584" i="1"/>
  <c r="L584" i="1"/>
  <c r="O584" i="1" s="1"/>
  <c r="S583" i="1"/>
  <c r="R583" i="1"/>
  <c r="U583" i="1" s="1"/>
  <c r="Q583" i="1"/>
  <c r="T583" i="1" s="1"/>
  <c r="N583" i="1"/>
  <c r="M583" i="1"/>
  <c r="P583" i="1" s="1"/>
  <c r="L583" i="1"/>
  <c r="S581" i="1"/>
  <c r="R581" i="1"/>
  <c r="U581" i="1" s="1"/>
  <c r="Q581" i="1"/>
  <c r="T581" i="1" s="1"/>
  <c r="N581" i="1"/>
  <c r="M581" i="1"/>
  <c r="L581" i="1"/>
  <c r="S580" i="1"/>
  <c r="R580" i="1"/>
  <c r="Q580" i="1"/>
  <c r="T580" i="1" s="1"/>
  <c r="N580" i="1"/>
  <c r="M580" i="1"/>
  <c r="L580" i="1"/>
  <c r="S563" i="1"/>
  <c r="R563" i="1"/>
  <c r="U563" i="1" s="1"/>
  <c r="Q563" i="1"/>
  <c r="N563" i="1"/>
  <c r="M563" i="1"/>
  <c r="P563" i="1" s="1"/>
  <c r="L563" i="1"/>
  <c r="O563" i="1" s="1"/>
  <c r="S562" i="1"/>
  <c r="R562" i="1"/>
  <c r="Q562" i="1"/>
  <c r="T562" i="1" s="1"/>
  <c r="N562" i="1"/>
  <c r="M562" i="1"/>
  <c r="P562" i="1" s="1"/>
  <c r="L562" i="1"/>
  <c r="S560" i="1"/>
  <c r="R560" i="1"/>
  <c r="U560" i="1" s="1"/>
  <c r="Q560" i="1"/>
  <c r="N560" i="1"/>
  <c r="M560" i="1"/>
  <c r="P560" i="1" s="1"/>
  <c r="L560" i="1"/>
  <c r="O560" i="1" s="1"/>
  <c r="S559" i="1"/>
  <c r="R559" i="1"/>
  <c r="Q559" i="1"/>
  <c r="N559" i="1"/>
  <c r="M559" i="1"/>
  <c r="L559" i="1"/>
  <c r="J554" i="1"/>
  <c r="I554" i="1"/>
  <c r="K554" i="1" s="1"/>
  <c r="K544" i="1"/>
  <c r="S542" i="1"/>
  <c r="R542" i="1"/>
  <c r="Q542" i="1"/>
  <c r="T542" i="1" s="1"/>
  <c r="N542" i="1"/>
  <c r="M542" i="1"/>
  <c r="P542" i="1" s="1"/>
  <c r="L542" i="1"/>
  <c r="S541" i="1"/>
  <c r="R541" i="1"/>
  <c r="U541" i="1" s="1"/>
  <c r="Q541" i="1"/>
  <c r="T541" i="1" s="1"/>
  <c r="N541" i="1"/>
  <c r="M541" i="1"/>
  <c r="L541" i="1"/>
  <c r="O541" i="1" s="1"/>
  <c r="S539" i="1"/>
  <c r="R539" i="1"/>
  <c r="Q539" i="1"/>
  <c r="T539" i="1" s="1"/>
  <c r="N539" i="1"/>
  <c r="M539" i="1"/>
  <c r="L539" i="1"/>
  <c r="S538" i="1"/>
  <c r="R538" i="1"/>
  <c r="U538" i="1" s="1"/>
  <c r="Q538" i="1"/>
  <c r="N538" i="1"/>
  <c r="M538" i="1"/>
  <c r="P538" i="1" s="1"/>
  <c r="L538" i="1"/>
  <c r="K533" i="1"/>
  <c r="J533" i="1"/>
  <c r="I533" i="1"/>
  <c r="J524" i="1"/>
  <c r="J512" i="1" s="1"/>
  <c r="I524" i="1"/>
  <c r="I512" i="1" s="1"/>
  <c r="K523" i="1"/>
  <c r="J523" i="1"/>
  <c r="S521" i="1"/>
  <c r="R521" i="1"/>
  <c r="U521" i="1" s="1"/>
  <c r="Q521" i="1"/>
  <c r="N521" i="1"/>
  <c r="M521" i="1"/>
  <c r="L521" i="1"/>
  <c r="S520" i="1"/>
  <c r="R520" i="1"/>
  <c r="Q520" i="1"/>
  <c r="N520" i="1"/>
  <c r="M520" i="1"/>
  <c r="P520" i="1" s="1"/>
  <c r="L520" i="1"/>
  <c r="S518" i="1"/>
  <c r="R518" i="1"/>
  <c r="U518" i="1" s="1"/>
  <c r="Q518" i="1"/>
  <c r="T518" i="1" s="1"/>
  <c r="N518" i="1"/>
  <c r="M518" i="1"/>
  <c r="P518" i="1" s="1"/>
  <c r="L518" i="1"/>
  <c r="O518" i="1" s="1"/>
  <c r="S517" i="1"/>
  <c r="R517" i="1"/>
  <c r="Q517" i="1"/>
  <c r="T517" i="1" s="1"/>
  <c r="N517" i="1"/>
  <c r="M517" i="1"/>
  <c r="L517" i="1"/>
  <c r="O517" i="1" s="1"/>
  <c r="J509" i="1"/>
  <c r="I509" i="1"/>
  <c r="K509" i="1" s="1"/>
  <c r="K508" i="1"/>
  <c r="J507" i="1"/>
  <c r="I507" i="1"/>
  <c r="K507" i="1" s="1"/>
  <c r="J506" i="1"/>
  <c r="I506" i="1"/>
  <c r="K506" i="1" s="1"/>
  <c r="J505" i="1"/>
  <c r="I505" i="1"/>
  <c r="K505" i="1" s="1"/>
  <c r="J504" i="1"/>
  <c r="I504" i="1"/>
  <c r="K504" i="1" s="1"/>
  <c r="J503" i="1"/>
  <c r="J492" i="1" s="1"/>
  <c r="I503" i="1"/>
  <c r="I492" i="1" s="1"/>
  <c r="S501" i="1"/>
  <c r="R501" i="1"/>
  <c r="Q501" i="1"/>
  <c r="T501" i="1" s="1"/>
  <c r="N501" i="1"/>
  <c r="M501" i="1"/>
  <c r="P501" i="1" s="1"/>
  <c r="L501" i="1"/>
  <c r="O501" i="1" s="1"/>
  <c r="S500" i="1"/>
  <c r="R500" i="1"/>
  <c r="Q500" i="1"/>
  <c r="T500" i="1" s="1"/>
  <c r="N500" i="1"/>
  <c r="M500" i="1"/>
  <c r="P500" i="1" s="1"/>
  <c r="L500" i="1"/>
  <c r="O500" i="1" s="1"/>
  <c r="S498" i="1"/>
  <c r="R498" i="1"/>
  <c r="Q498" i="1"/>
  <c r="N498" i="1"/>
  <c r="M498" i="1"/>
  <c r="L498" i="1"/>
  <c r="S497" i="1"/>
  <c r="S496" i="1" s="1"/>
  <c r="R497" i="1"/>
  <c r="U497" i="1" s="1"/>
  <c r="Q497" i="1"/>
  <c r="N497" i="1"/>
  <c r="N496" i="1" s="1"/>
  <c r="M497" i="1"/>
  <c r="L497" i="1"/>
  <c r="O497" i="1" s="1"/>
  <c r="J491" i="1"/>
  <c r="J490" i="1"/>
  <c r="J489" i="1"/>
  <c r="J488" i="1"/>
  <c r="J487" i="1"/>
  <c r="J486" i="1"/>
  <c r="J483" i="1"/>
  <c r="J482" i="1"/>
  <c r="J481" i="1"/>
  <c r="I485" i="1" s="1"/>
  <c r="K485" i="1" s="1"/>
  <c r="J480" i="1"/>
  <c r="I484" i="1" s="1"/>
  <c r="K484" i="1" s="1"/>
  <c r="J479" i="1"/>
  <c r="J478" i="1"/>
  <c r="K477" i="1"/>
  <c r="K476" i="1"/>
  <c r="K475" i="1"/>
  <c r="J474" i="1"/>
  <c r="J473" i="1"/>
  <c r="J472" i="1"/>
  <c r="J471" i="1"/>
  <c r="J470" i="1"/>
  <c r="J469" i="1"/>
  <c r="J466" i="1"/>
  <c r="J465" i="1"/>
  <c r="J464" i="1"/>
  <c r="J463" i="1"/>
  <c r="J462" i="1"/>
  <c r="J461" i="1"/>
  <c r="I458" i="1"/>
  <c r="K458" i="1" s="1"/>
  <c r="I457" i="1"/>
  <c r="I456" i="1" s="1"/>
  <c r="J455" i="1"/>
  <c r="J454" i="1"/>
  <c r="J453" i="1"/>
  <c r="J452" i="1"/>
  <c r="J451" i="1"/>
  <c r="J450" i="1"/>
  <c r="J449" i="1"/>
  <c r="J448" i="1"/>
  <c r="J445" i="1"/>
  <c r="J444" i="1"/>
  <c r="J443" i="1"/>
  <c r="J442" i="1"/>
  <c r="I441" i="1"/>
  <c r="I440" i="1"/>
  <c r="I423" i="1" s="1"/>
  <c r="J439" i="1"/>
  <c r="J438" i="1"/>
  <c r="J437" i="1"/>
  <c r="J436" i="1"/>
  <c r="J435" i="1"/>
  <c r="J434" i="1"/>
  <c r="I433" i="1"/>
  <c r="I432" i="1"/>
  <c r="J431" i="1"/>
  <c r="J430" i="1"/>
  <c r="J429" i="1"/>
  <c r="J428" i="1"/>
  <c r="J427" i="1"/>
  <c r="J426" i="1"/>
  <c r="I425" i="1"/>
  <c r="I424" i="1"/>
  <c r="S421" i="1"/>
  <c r="R421" i="1"/>
  <c r="U421" i="1" s="1"/>
  <c r="Q421" i="1"/>
  <c r="T421" i="1" s="1"/>
  <c r="N421" i="1"/>
  <c r="M421" i="1"/>
  <c r="P421" i="1" s="1"/>
  <c r="L421" i="1"/>
  <c r="O421" i="1" s="1"/>
  <c r="S420" i="1"/>
  <c r="R420" i="1"/>
  <c r="U420" i="1" s="1"/>
  <c r="Q420" i="1"/>
  <c r="N420" i="1"/>
  <c r="M420" i="1"/>
  <c r="L420" i="1"/>
  <c r="S418" i="1"/>
  <c r="R418" i="1"/>
  <c r="Q418" i="1"/>
  <c r="N418" i="1"/>
  <c r="N415" i="1" s="1"/>
  <c r="M418" i="1"/>
  <c r="L418" i="1"/>
  <c r="S417" i="1"/>
  <c r="R417" i="1"/>
  <c r="Q417" i="1"/>
  <c r="T417" i="1" s="1"/>
  <c r="N417" i="1"/>
  <c r="N416" i="1" s="1"/>
  <c r="M417" i="1"/>
  <c r="L417" i="1"/>
  <c r="O417" i="1" s="1"/>
  <c r="S400" i="1"/>
  <c r="R400" i="1"/>
  <c r="Q400" i="1"/>
  <c r="T400" i="1" s="1"/>
  <c r="N400" i="1"/>
  <c r="M400" i="1"/>
  <c r="L400" i="1"/>
  <c r="S399" i="1"/>
  <c r="R399" i="1"/>
  <c r="U399" i="1" s="1"/>
  <c r="Q399" i="1"/>
  <c r="N399" i="1"/>
  <c r="N398" i="1" s="1"/>
  <c r="M399" i="1"/>
  <c r="P399" i="1" s="1"/>
  <c r="L399" i="1"/>
  <c r="O399" i="1" s="1"/>
  <c r="S397" i="1"/>
  <c r="R397" i="1"/>
  <c r="Q397" i="1"/>
  <c r="N397" i="1"/>
  <c r="N394" i="1" s="1"/>
  <c r="M397" i="1"/>
  <c r="M394" i="1" s="1"/>
  <c r="L397" i="1"/>
  <c r="S396" i="1"/>
  <c r="R396" i="1"/>
  <c r="U396" i="1" s="1"/>
  <c r="Q396" i="1"/>
  <c r="N396" i="1"/>
  <c r="N393" i="1" s="1"/>
  <c r="N392" i="1" s="1"/>
  <c r="M396" i="1"/>
  <c r="P396" i="1" s="1"/>
  <c r="L396" i="1"/>
  <c r="O396" i="1" s="1"/>
  <c r="J391" i="1"/>
  <c r="I391" i="1"/>
  <c r="K391" i="1" s="1"/>
  <c r="J388" i="1"/>
  <c r="I388" i="1"/>
  <c r="K388" i="1" s="1"/>
  <c r="J387" i="1"/>
  <c r="I387" i="1"/>
  <c r="K387" i="1" s="1"/>
  <c r="J386" i="1"/>
  <c r="I386" i="1"/>
  <c r="J385" i="1"/>
  <c r="I385" i="1"/>
  <c r="S383" i="1"/>
  <c r="R383" i="1"/>
  <c r="U383" i="1" s="1"/>
  <c r="Q383" i="1"/>
  <c r="T383" i="1" s="1"/>
  <c r="N383" i="1"/>
  <c r="M383" i="1"/>
  <c r="P383" i="1" s="1"/>
  <c r="L383" i="1"/>
  <c r="O383" i="1" s="1"/>
  <c r="S382" i="1"/>
  <c r="R382" i="1"/>
  <c r="U382" i="1" s="1"/>
  <c r="Q382" i="1"/>
  <c r="T382" i="1" s="1"/>
  <c r="N382" i="1"/>
  <c r="N381" i="1" s="1"/>
  <c r="M382" i="1"/>
  <c r="L382" i="1"/>
  <c r="S380" i="1"/>
  <c r="S377" i="1" s="1"/>
  <c r="R380" i="1"/>
  <c r="Q380" i="1"/>
  <c r="N380" i="1"/>
  <c r="M380" i="1"/>
  <c r="L380" i="1"/>
  <c r="L377" i="1" s="1"/>
  <c r="S379" i="1"/>
  <c r="R379" i="1"/>
  <c r="U379" i="1" s="1"/>
  <c r="Q379" i="1"/>
  <c r="N379" i="1"/>
  <c r="N378" i="1" s="1"/>
  <c r="M379" i="1"/>
  <c r="L379" i="1"/>
  <c r="D373" i="1"/>
  <c r="K372" i="1"/>
  <c r="J372" i="1"/>
  <c r="J371" i="1"/>
  <c r="J365" i="1" s="1"/>
  <c r="I371" i="1"/>
  <c r="I365" i="1" s="1"/>
  <c r="K370" i="1"/>
  <c r="J370" i="1"/>
  <c r="J369" i="1"/>
  <c r="I369" i="1"/>
  <c r="J368" i="1"/>
  <c r="I368" i="1"/>
  <c r="K367" i="1"/>
  <c r="J367" i="1"/>
  <c r="S364" i="1"/>
  <c r="R364" i="1"/>
  <c r="U364" i="1" s="1"/>
  <c r="Q364" i="1"/>
  <c r="T364" i="1" s="1"/>
  <c r="N364" i="1"/>
  <c r="M364" i="1"/>
  <c r="P364" i="1" s="1"/>
  <c r="L364" i="1"/>
  <c r="O364" i="1" s="1"/>
  <c r="S363" i="1"/>
  <c r="R363" i="1"/>
  <c r="Q363" i="1"/>
  <c r="N363" i="1"/>
  <c r="M363" i="1"/>
  <c r="L363" i="1"/>
  <c r="S361" i="1"/>
  <c r="R361" i="1"/>
  <c r="U361" i="1" s="1"/>
  <c r="Q361" i="1"/>
  <c r="N361" i="1"/>
  <c r="M361" i="1"/>
  <c r="L361" i="1"/>
  <c r="S360" i="1"/>
  <c r="S357" i="1" s="1"/>
  <c r="R360" i="1"/>
  <c r="Q360" i="1"/>
  <c r="N360" i="1"/>
  <c r="M360" i="1"/>
  <c r="M357" i="1" s="1"/>
  <c r="L360" i="1"/>
  <c r="D354" i="1"/>
  <c r="J353" i="1"/>
  <c r="J352" i="1"/>
  <c r="D350" i="1"/>
  <c r="J349" i="1"/>
  <c r="J348" i="1"/>
  <c r="J347" i="1"/>
  <c r="J346" i="1"/>
  <c r="I346" i="1"/>
  <c r="J344" i="1"/>
  <c r="I344" i="1"/>
  <c r="I332" i="1" s="1"/>
  <c r="S341" i="1"/>
  <c r="R341" i="1"/>
  <c r="U341" i="1" s="1"/>
  <c r="Q341" i="1"/>
  <c r="T341" i="1" s="1"/>
  <c r="N341" i="1"/>
  <c r="M341" i="1"/>
  <c r="L341" i="1"/>
  <c r="S340" i="1"/>
  <c r="R340" i="1"/>
  <c r="U340" i="1" s="1"/>
  <c r="Q340" i="1"/>
  <c r="T340" i="1" s="1"/>
  <c r="N340" i="1"/>
  <c r="M340" i="1"/>
  <c r="P340" i="1" s="1"/>
  <c r="L340" i="1"/>
  <c r="O340" i="1" s="1"/>
  <c r="S338" i="1"/>
  <c r="R338" i="1"/>
  <c r="Q338" i="1"/>
  <c r="N338" i="1"/>
  <c r="N335" i="1" s="1"/>
  <c r="M338" i="1"/>
  <c r="L338" i="1"/>
  <c r="S337" i="1"/>
  <c r="R337" i="1"/>
  <c r="Q337" i="1"/>
  <c r="T337" i="1" s="1"/>
  <c r="N337" i="1"/>
  <c r="M337" i="1"/>
  <c r="P337" i="1" s="1"/>
  <c r="L337" i="1"/>
  <c r="L336" i="1" s="1"/>
  <c r="J330" i="1"/>
  <c r="J319" i="1" s="1"/>
  <c r="I330" i="1"/>
  <c r="S328" i="1"/>
  <c r="R328" i="1"/>
  <c r="U328" i="1" s="1"/>
  <c r="Q328" i="1"/>
  <c r="T328" i="1" s="1"/>
  <c r="N328" i="1"/>
  <c r="M328" i="1"/>
  <c r="L328" i="1"/>
  <c r="S327" i="1"/>
  <c r="R327" i="1"/>
  <c r="U327" i="1" s="1"/>
  <c r="Q327" i="1"/>
  <c r="N327" i="1"/>
  <c r="M327" i="1"/>
  <c r="P327" i="1" s="1"/>
  <c r="L327" i="1"/>
  <c r="O327" i="1" s="1"/>
  <c r="S325" i="1"/>
  <c r="R325" i="1"/>
  <c r="Q325" i="1"/>
  <c r="N325" i="1"/>
  <c r="M325" i="1"/>
  <c r="M322" i="1" s="1"/>
  <c r="L325" i="1"/>
  <c r="S324" i="1"/>
  <c r="R324" i="1"/>
  <c r="Q324" i="1"/>
  <c r="T324" i="1" s="1"/>
  <c r="N324" i="1"/>
  <c r="M324" i="1"/>
  <c r="P324" i="1" s="1"/>
  <c r="L324" i="1"/>
  <c r="O324" i="1" s="1"/>
  <c r="J317" i="1"/>
  <c r="I317" i="1"/>
  <c r="K317" i="1" s="1"/>
  <c r="J316" i="1"/>
  <c r="I316" i="1"/>
  <c r="K316" i="1" s="1"/>
  <c r="J315" i="1"/>
  <c r="I315" i="1"/>
  <c r="K315" i="1" s="1"/>
  <c r="J314" i="1"/>
  <c r="J302" i="1" s="1"/>
  <c r="I314" i="1"/>
  <c r="I302" i="1" s="1"/>
  <c r="J313" i="1"/>
  <c r="S311" i="1"/>
  <c r="R311" i="1"/>
  <c r="Q311" i="1"/>
  <c r="T311" i="1" s="1"/>
  <c r="N311" i="1"/>
  <c r="M311" i="1"/>
  <c r="P311" i="1" s="1"/>
  <c r="L311" i="1"/>
  <c r="O311" i="1" s="1"/>
  <c r="S310" i="1"/>
  <c r="R310" i="1"/>
  <c r="Q310" i="1"/>
  <c r="N310" i="1"/>
  <c r="M310" i="1"/>
  <c r="L310" i="1"/>
  <c r="S308" i="1"/>
  <c r="R308" i="1"/>
  <c r="Q308" i="1"/>
  <c r="N308" i="1"/>
  <c r="M308" i="1"/>
  <c r="M305" i="1" s="1"/>
  <c r="L308" i="1"/>
  <c r="S307" i="1"/>
  <c r="R307" i="1"/>
  <c r="R304" i="1" s="1"/>
  <c r="Q307" i="1"/>
  <c r="T307" i="1" s="1"/>
  <c r="N307" i="1"/>
  <c r="N304" i="1" s="1"/>
  <c r="M307" i="1"/>
  <c r="L307" i="1"/>
  <c r="J296" i="1"/>
  <c r="I296" i="1"/>
  <c r="J295" i="1"/>
  <c r="I295" i="1"/>
  <c r="J293" i="1"/>
  <c r="J280" i="1" s="1"/>
  <c r="I293" i="1"/>
  <c r="I280" i="1" s="1"/>
  <c r="J292" i="1"/>
  <c r="J281" i="1" s="1"/>
  <c r="I292" i="1"/>
  <c r="I281" i="1" s="1"/>
  <c r="S290" i="1"/>
  <c r="R290" i="1"/>
  <c r="U290" i="1" s="1"/>
  <c r="Q290" i="1"/>
  <c r="N290" i="1"/>
  <c r="M290" i="1"/>
  <c r="P290" i="1" s="1"/>
  <c r="L290" i="1"/>
  <c r="O290" i="1" s="1"/>
  <c r="S289" i="1"/>
  <c r="R289" i="1"/>
  <c r="Q289" i="1"/>
  <c r="T289" i="1" s="1"/>
  <c r="N289" i="1"/>
  <c r="M289" i="1"/>
  <c r="P289" i="1" s="1"/>
  <c r="L289" i="1"/>
  <c r="S287" i="1"/>
  <c r="R287" i="1"/>
  <c r="Q287" i="1"/>
  <c r="N287" i="1"/>
  <c r="M287" i="1"/>
  <c r="M284" i="1" s="1"/>
  <c r="L287" i="1"/>
  <c r="S286" i="1"/>
  <c r="R286" i="1"/>
  <c r="U286" i="1" s="1"/>
  <c r="Q286" i="1"/>
  <c r="T286" i="1" s="1"/>
  <c r="N286" i="1"/>
  <c r="M286" i="1"/>
  <c r="P286" i="1" s="1"/>
  <c r="L286" i="1"/>
  <c r="J276" i="1"/>
  <c r="I276" i="1"/>
  <c r="S274" i="1"/>
  <c r="R274" i="1"/>
  <c r="U274" i="1" s="1"/>
  <c r="Q274" i="1"/>
  <c r="N274" i="1"/>
  <c r="M274" i="1"/>
  <c r="P274" i="1" s="1"/>
  <c r="L274" i="1"/>
  <c r="O274" i="1" s="1"/>
  <c r="S273" i="1"/>
  <c r="R273" i="1"/>
  <c r="Q273" i="1"/>
  <c r="T273" i="1" s="1"/>
  <c r="N273" i="1"/>
  <c r="M273" i="1"/>
  <c r="L273" i="1"/>
  <c r="S271" i="1"/>
  <c r="R271" i="1"/>
  <c r="Q271" i="1"/>
  <c r="N271" i="1"/>
  <c r="M271" i="1"/>
  <c r="L271" i="1"/>
  <c r="S270" i="1"/>
  <c r="R270" i="1"/>
  <c r="Q270" i="1"/>
  <c r="T270" i="1" s="1"/>
  <c r="N270" i="1"/>
  <c r="M270" i="1"/>
  <c r="M267" i="1" s="1"/>
  <c r="L270" i="1"/>
  <c r="J265" i="1"/>
  <c r="I265" i="1"/>
  <c r="K241" i="1"/>
  <c r="J241" i="1"/>
  <c r="K240" i="1"/>
  <c r="J240" i="1"/>
  <c r="J238" i="1"/>
  <c r="I238" i="1"/>
  <c r="S236" i="1"/>
  <c r="R236" i="1"/>
  <c r="Q236" i="1"/>
  <c r="N236" i="1"/>
  <c r="M236" i="1"/>
  <c r="L236" i="1"/>
  <c r="S235" i="1"/>
  <c r="R235" i="1"/>
  <c r="Q235" i="1"/>
  <c r="N235" i="1"/>
  <c r="M235" i="1"/>
  <c r="L235" i="1"/>
  <c r="S234" i="1"/>
  <c r="R234" i="1"/>
  <c r="Q234" i="1"/>
  <c r="N234" i="1"/>
  <c r="M234" i="1"/>
  <c r="L234" i="1"/>
  <c r="S233" i="1"/>
  <c r="R233" i="1"/>
  <c r="Q233" i="1"/>
  <c r="N233" i="1"/>
  <c r="M233" i="1"/>
  <c r="L233" i="1"/>
  <c r="J231" i="1"/>
  <c r="I231" i="1"/>
  <c r="K231" i="1" s="1"/>
  <c r="J230" i="1"/>
  <c r="I230" i="1"/>
  <c r="K230" i="1" s="1"/>
  <c r="J229" i="1"/>
  <c r="J221" i="1" s="1"/>
  <c r="I229" i="1"/>
  <c r="J228" i="1"/>
  <c r="I228" i="1"/>
  <c r="S224" i="1"/>
  <c r="R224" i="1"/>
  <c r="Q224" i="1"/>
  <c r="N224" i="1"/>
  <c r="M224" i="1"/>
  <c r="L224" i="1"/>
  <c r="S223" i="1"/>
  <c r="R223" i="1"/>
  <c r="Q223" i="1"/>
  <c r="Q222" i="1" s="1"/>
  <c r="N223" i="1"/>
  <c r="M223" i="1"/>
  <c r="L223" i="1"/>
  <c r="J220" i="1"/>
  <c r="J213" i="1" s="1"/>
  <c r="I220" i="1"/>
  <c r="I213" i="1" s="1"/>
  <c r="J219" i="1"/>
  <c r="I219" i="1"/>
  <c r="S217" i="1"/>
  <c r="R217" i="1"/>
  <c r="Q217" i="1"/>
  <c r="N217" i="1"/>
  <c r="M217" i="1"/>
  <c r="L217" i="1"/>
  <c r="S216" i="1"/>
  <c r="R216" i="1"/>
  <c r="Q216" i="1"/>
  <c r="N216" i="1"/>
  <c r="M216" i="1"/>
  <c r="L216" i="1"/>
  <c r="S215" i="1"/>
  <c r="R215" i="1"/>
  <c r="R214" i="1" s="1"/>
  <c r="Q215" i="1"/>
  <c r="N215" i="1"/>
  <c r="N214" i="1" s="1"/>
  <c r="M215" i="1"/>
  <c r="M214" i="1" s="1"/>
  <c r="L215" i="1"/>
  <c r="K212" i="1"/>
  <c r="J212" i="1"/>
  <c r="K211" i="1"/>
  <c r="J211" i="1"/>
  <c r="J209" i="1"/>
  <c r="J202" i="1" s="1"/>
  <c r="I209" i="1"/>
  <c r="S207" i="1"/>
  <c r="R207" i="1"/>
  <c r="Q207" i="1"/>
  <c r="N207" i="1"/>
  <c r="M207" i="1"/>
  <c r="L207" i="1"/>
  <c r="S206" i="1"/>
  <c r="R206" i="1"/>
  <c r="Q206" i="1"/>
  <c r="N206" i="1"/>
  <c r="M206" i="1"/>
  <c r="L206" i="1"/>
  <c r="S204" i="1"/>
  <c r="R204" i="1"/>
  <c r="Q204" i="1"/>
  <c r="N204" i="1"/>
  <c r="M204" i="1"/>
  <c r="L204" i="1"/>
  <c r="J201" i="1"/>
  <c r="J200" i="1"/>
  <c r="J198" i="1"/>
  <c r="I198" i="1"/>
  <c r="I195" i="1" s="1"/>
  <c r="S196" i="1"/>
  <c r="R196" i="1"/>
  <c r="Q196" i="1"/>
  <c r="N196" i="1"/>
  <c r="M196" i="1"/>
  <c r="L196" i="1"/>
  <c r="S194" i="1"/>
  <c r="R194" i="1"/>
  <c r="Q194" i="1"/>
  <c r="T194" i="1" s="1"/>
  <c r="N194" i="1"/>
  <c r="M194" i="1"/>
  <c r="P194" i="1" s="1"/>
  <c r="L194" i="1"/>
  <c r="O194" i="1" s="1"/>
  <c r="S193" i="1"/>
  <c r="R193" i="1"/>
  <c r="U193" i="1" s="1"/>
  <c r="Q193" i="1"/>
  <c r="N193" i="1"/>
  <c r="N192" i="1" s="1"/>
  <c r="M193" i="1"/>
  <c r="L193" i="1"/>
  <c r="O193" i="1" s="1"/>
  <c r="S191" i="1"/>
  <c r="R191" i="1"/>
  <c r="Q191" i="1"/>
  <c r="N191" i="1"/>
  <c r="N188" i="1" s="1"/>
  <c r="M191" i="1"/>
  <c r="L191" i="1"/>
  <c r="S190" i="1"/>
  <c r="R190" i="1"/>
  <c r="U190" i="1" s="1"/>
  <c r="Q190" i="1"/>
  <c r="N190" i="1"/>
  <c r="M190" i="1"/>
  <c r="P190" i="1" s="1"/>
  <c r="L190" i="1"/>
  <c r="O190" i="1" s="1"/>
  <c r="K184" i="1"/>
  <c r="J183" i="1"/>
  <c r="J172" i="1" s="1"/>
  <c r="I183" i="1"/>
  <c r="I172" i="1" s="1"/>
  <c r="S181" i="1"/>
  <c r="R181" i="1"/>
  <c r="Q181" i="1"/>
  <c r="N181" i="1"/>
  <c r="M181" i="1"/>
  <c r="L181" i="1"/>
  <c r="O181" i="1" s="1"/>
  <c r="S180" i="1"/>
  <c r="R180" i="1"/>
  <c r="U180" i="1" s="1"/>
  <c r="Q180" i="1"/>
  <c r="T180" i="1" s="1"/>
  <c r="N180" i="1"/>
  <c r="M180" i="1"/>
  <c r="P180" i="1" s="1"/>
  <c r="L180" i="1"/>
  <c r="O180" i="1" s="1"/>
  <c r="S178" i="1"/>
  <c r="R178" i="1"/>
  <c r="U178" i="1" s="1"/>
  <c r="Q178" i="1"/>
  <c r="N178" i="1"/>
  <c r="M178" i="1"/>
  <c r="L178" i="1"/>
  <c r="S177" i="1"/>
  <c r="R177" i="1"/>
  <c r="U177" i="1" s="1"/>
  <c r="Q177" i="1"/>
  <c r="T177" i="1" s="1"/>
  <c r="N177" i="1"/>
  <c r="M177" i="1"/>
  <c r="P177" i="1" s="1"/>
  <c r="L177" i="1"/>
  <c r="J167" i="1"/>
  <c r="I167" i="1"/>
  <c r="S165" i="1"/>
  <c r="R165" i="1"/>
  <c r="U165" i="1" s="1"/>
  <c r="Q165" i="1"/>
  <c r="T165" i="1" s="1"/>
  <c r="N165" i="1"/>
  <c r="M165" i="1"/>
  <c r="P165" i="1" s="1"/>
  <c r="L165" i="1"/>
  <c r="O165" i="1" s="1"/>
  <c r="S164" i="1"/>
  <c r="R164" i="1"/>
  <c r="Q164" i="1"/>
  <c r="T164" i="1" s="1"/>
  <c r="N164" i="1"/>
  <c r="M164" i="1"/>
  <c r="L164" i="1"/>
  <c r="S162" i="1"/>
  <c r="R162" i="1"/>
  <c r="U162" i="1" s="1"/>
  <c r="Q162" i="1"/>
  <c r="N162" i="1"/>
  <c r="M162" i="1"/>
  <c r="L162" i="1"/>
  <c r="S161" i="1"/>
  <c r="R161" i="1"/>
  <c r="Q161" i="1"/>
  <c r="T161" i="1" s="1"/>
  <c r="N161" i="1"/>
  <c r="N158" i="1" s="1"/>
  <c r="M161" i="1"/>
  <c r="L161" i="1"/>
  <c r="J156" i="1"/>
  <c r="J154" i="1"/>
  <c r="J136" i="1" s="1"/>
  <c r="I154" i="1"/>
  <c r="J153" i="1"/>
  <c r="J138" i="1" s="1"/>
  <c r="I153" i="1"/>
  <c r="I138" i="1" s="1"/>
  <c r="J152" i="1"/>
  <c r="J137" i="1" s="1"/>
  <c r="I152" i="1"/>
  <c r="J151" i="1"/>
  <c r="I151" i="1"/>
  <c r="J150" i="1"/>
  <c r="I150" i="1"/>
  <c r="J149" i="1"/>
  <c r="S147" i="1"/>
  <c r="R147" i="1"/>
  <c r="U147" i="1" s="1"/>
  <c r="Q147" i="1"/>
  <c r="T147" i="1" s="1"/>
  <c r="N147" i="1"/>
  <c r="M147" i="1"/>
  <c r="P147" i="1" s="1"/>
  <c r="L147" i="1"/>
  <c r="O147" i="1" s="1"/>
  <c r="S146" i="1"/>
  <c r="R146" i="1"/>
  <c r="U146" i="1" s="1"/>
  <c r="Q146" i="1"/>
  <c r="T146" i="1" s="1"/>
  <c r="N146" i="1"/>
  <c r="M146" i="1"/>
  <c r="L146" i="1"/>
  <c r="O146" i="1" s="1"/>
  <c r="S144" i="1"/>
  <c r="R144" i="1"/>
  <c r="Q144" i="1"/>
  <c r="N144" i="1"/>
  <c r="M144" i="1"/>
  <c r="L144" i="1"/>
  <c r="S143" i="1"/>
  <c r="S142" i="1" s="1"/>
  <c r="R143" i="1"/>
  <c r="U143" i="1" s="1"/>
  <c r="Q143" i="1"/>
  <c r="N143" i="1"/>
  <c r="M143" i="1"/>
  <c r="L143" i="1"/>
  <c r="O143" i="1" s="1"/>
  <c r="J130" i="1"/>
  <c r="I130" i="1"/>
  <c r="K130" i="1" s="1"/>
  <c r="J129" i="1"/>
  <c r="I129" i="1"/>
  <c r="J128" i="1"/>
  <c r="I128" i="1"/>
  <c r="K128" i="1" s="1"/>
  <c r="J127" i="1"/>
  <c r="J116" i="1" s="1"/>
  <c r="I127" i="1"/>
  <c r="S125" i="1"/>
  <c r="R125" i="1"/>
  <c r="Q125" i="1"/>
  <c r="N125" i="1"/>
  <c r="M125" i="1"/>
  <c r="L125" i="1"/>
  <c r="S124" i="1"/>
  <c r="R124" i="1"/>
  <c r="Q124" i="1"/>
  <c r="N124" i="1"/>
  <c r="M124" i="1"/>
  <c r="P124" i="1" s="1"/>
  <c r="L124" i="1"/>
  <c r="O124" i="1" s="1"/>
  <c r="S122" i="1"/>
  <c r="R122" i="1"/>
  <c r="Q122" i="1"/>
  <c r="N122" i="1"/>
  <c r="M122" i="1"/>
  <c r="P122" i="1" s="1"/>
  <c r="L122" i="1"/>
  <c r="S121" i="1"/>
  <c r="R121" i="1"/>
  <c r="U121" i="1" s="1"/>
  <c r="Q121" i="1"/>
  <c r="N121" i="1"/>
  <c r="M121" i="1"/>
  <c r="P121" i="1" s="1"/>
  <c r="L121" i="1"/>
  <c r="O121" i="1" s="1"/>
  <c r="J114" i="1"/>
  <c r="I114" i="1"/>
  <c r="J113" i="1"/>
  <c r="I113" i="1"/>
  <c r="J109" i="1"/>
  <c r="I109" i="1"/>
  <c r="I93" i="1" s="1"/>
  <c r="J108" i="1"/>
  <c r="J92" i="1" s="1"/>
  <c r="I108" i="1"/>
  <c r="S102" i="1"/>
  <c r="R102" i="1"/>
  <c r="U102" i="1" s="1"/>
  <c r="Q102" i="1"/>
  <c r="T102" i="1" s="1"/>
  <c r="N102" i="1"/>
  <c r="M102" i="1"/>
  <c r="P102" i="1" s="1"/>
  <c r="L102" i="1"/>
  <c r="O102" i="1" s="1"/>
  <c r="S101" i="1"/>
  <c r="R101" i="1"/>
  <c r="U101" i="1" s="1"/>
  <c r="Q101" i="1"/>
  <c r="T101" i="1" s="1"/>
  <c r="N101" i="1"/>
  <c r="M101" i="1"/>
  <c r="L101" i="1"/>
  <c r="O101" i="1" s="1"/>
  <c r="S99" i="1"/>
  <c r="R99" i="1"/>
  <c r="Q99" i="1"/>
  <c r="Q96" i="1" s="1"/>
  <c r="N99" i="1"/>
  <c r="M99" i="1"/>
  <c r="L99" i="1"/>
  <c r="O99" i="1" s="1"/>
  <c r="S98" i="1"/>
  <c r="R98" i="1"/>
  <c r="U98" i="1" s="1"/>
  <c r="Q98" i="1"/>
  <c r="Q95" i="1" s="1"/>
  <c r="N98" i="1"/>
  <c r="M98" i="1"/>
  <c r="L98" i="1"/>
  <c r="O98" i="1" s="1"/>
  <c r="J90" i="1"/>
  <c r="I90" i="1"/>
  <c r="J89" i="1"/>
  <c r="I89" i="1"/>
  <c r="J88" i="1"/>
  <c r="I88" i="1"/>
  <c r="J87" i="1"/>
  <c r="I87" i="1"/>
  <c r="J86" i="1"/>
  <c r="I86" i="1"/>
  <c r="J85" i="1"/>
  <c r="I85" i="1"/>
  <c r="J84" i="1"/>
  <c r="I84" i="1"/>
  <c r="S80" i="1"/>
  <c r="R80" i="1"/>
  <c r="U80" i="1" s="1"/>
  <c r="Q80" i="1"/>
  <c r="T80" i="1" s="1"/>
  <c r="N80" i="1"/>
  <c r="M80" i="1"/>
  <c r="P80" i="1" s="1"/>
  <c r="L80" i="1"/>
  <c r="O80" i="1" s="1"/>
  <c r="S79" i="1"/>
  <c r="R79" i="1"/>
  <c r="U79" i="1" s="1"/>
  <c r="Q79" i="1"/>
  <c r="N79" i="1"/>
  <c r="N78" i="1" s="1"/>
  <c r="M79" i="1"/>
  <c r="L79" i="1"/>
  <c r="O79" i="1" s="1"/>
  <c r="S77" i="1"/>
  <c r="R77" i="1"/>
  <c r="Q77" i="1"/>
  <c r="N77" i="1"/>
  <c r="M77" i="1"/>
  <c r="L77" i="1"/>
  <c r="S76" i="1"/>
  <c r="R76" i="1"/>
  <c r="U76" i="1" s="1"/>
  <c r="Q76" i="1"/>
  <c r="T76" i="1" s="1"/>
  <c r="N76" i="1"/>
  <c r="M76" i="1"/>
  <c r="L76" i="1"/>
  <c r="O76" i="1" s="1"/>
  <c r="S67" i="1"/>
  <c r="R67" i="1"/>
  <c r="U67" i="1" s="1"/>
  <c r="Q67" i="1"/>
  <c r="T67" i="1" s="1"/>
  <c r="N67" i="1"/>
  <c r="M67" i="1"/>
  <c r="L67" i="1"/>
  <c r="S66" i="1"/>
  <c r="R66" i="1"/>
  <c r="Q66" i="1"/>
  <c r="T66" i="1" s="1"/>
  <c r="N66" i="1"/>
  <c r="M66" i="1"/>
  <c r="P66" i="1" s="1"/>
  <c r="L66" i="1"/>
  <c r="O66" i="1" s="1"/>
  <c r="S64" i="1"/>
  <c r="R64" i="1"/>
  <c r="U64" i="1" s="1"/>
  <c r="Q64" i="1"/>
  <c r="T64" i="1" s="1"/>
  <c r="N64" i="1"/>
  <c r="M64" i="1"/>
  <c r="L64" i="1"/>
  <c r="S63" i="1"/>
  <c r="R63" i="1"/>
  <c r="Q63" i="1"/>
  <c r="N63" i="1"/>
  <c r="M63" i="1"/>
  <c r="P63" i="1" s="1"/>
  <c r="L63" i="1"/>
  <c r="S52" i="1"/>
  <c r="S50" i="1" s="1"/>
  <c r="R52" i="1"/>
  <c r="U52" i="1" s="1"/>
  <c r="Q52" i="1"/>
  <c r="T52" i="1" s="1"/>
  <c r="N52" i="1"/>
  <c r="M52" i="1"/>
  <c r="M50" i="1" s="1"/>
  <c r="P50" i="1" s="1"/>
  <c r="L52" i="1"/>
  <c r="O52" i="1" s="1"/>
  <c r="U51" i="1"/>
  <c r="T51" i="1"/>
  <c r="P51" i="1"/>
  <c r="O51" i="1"/>
  <c r="S49" i="1"/>
  <c r="S47" i="1" s="1"/>
  <c r="R49" i="1"/>
  <c r="R47" i="1" s="1"/>
  <c r="U47" i="1" s="1"/>
  <c r="Q49" i="1"/>
  <c r="T49" i="1" s="1"/>
  <c r="N49" i="1"/>
  <c r="M49" i="1"/>
  <c r="L49" i="1"/>
  <c r="U48" i="1"/>
  <c r="T48" i="1"/>
  <c r="P48" i="1"/>
  <c r="O48" i="1"/>
  <c r="S45" i="1"/>
  <c r="R45" i="1"/>
  <c r="U45" i="1" s="1"/>
  <c r="Q45" i="1"/>
  <c r="N45" i="1"/>
  <c r="M45" i="1"/>
  <c r="P45" i="1" s="1"/>
  <c r="L45" i="1"/>
  <c r="O45" i="1" s="1"/>
  <c r="S97" i="1" l="1"/>
  <c r="M376" i="1"/>
  <c r="P376" i="1" s="1"/>
  <c r="Q358" i="1"/>
  <c r="T358" i="1" s="1"/>
  <c r="R377" i="1"/>
  <c r="L285" i="1"/>
  <c r="N118" i="1"/>
  <c r="N283" i="1"/>
  <c r="R222" i="1"/>
  <c r="R766" i="1"/>
  <c r="U766" i="1" s="1"/>
  <c r="S222" i="1"/>
  <c r="L358" i="1"/>
  <c r="R334" i="1"/>
  <c r="U334" i="1" s="1"/>
  <c r="S118" i="1"/>
  <c r="L232" i="1"/>
  <c r="Q62" i="1"/>
  <c r="T62" i="1" s="1"/>
  <c r="O77" i="14"/>
  <c r="P49" i="15"/>
  <c r="L378" i="1"/>
  <c r="N203" i="1"/>
  <c r="T178" i="13"/>
  <c r="T125" i="15"/>
  <c r="N339" i="1"/>
  <c r="L288" i="1"/>
  <c r="O288" i="1" s="1"/>
  <c r="P102" i="13"/>
  <c r="L236" i="15"/>
  <c r="N322" i="15"/>
  <c r="N320" i="15" s="1"/>
  <c r="K783" i="15"/>
  <c r="M78" i="1"/>
  <c r="P78" i="1" s="1"/>
  <c r="O542" i="13"/>
  <c r="P77" i="15"/>
  <c r="J374" i="15"/>
  <c r="S309" i="1"/>
  <c r="N145" i="1"/>
  <c r="T693" i="15"/>
  <c r="L234" i="15"/>
  <c r="Q192" i="15"/>
  <c r="T192" i="15" s="1"/>
  <c r="Q141" i="15"/>
  <c r="Q139" i="15" s="1"/>
  <c r="R601" i="13"/>
  <c r="U601" i="13" s="1"/>
  <c r="M222" i="1"/>
  <c r="K785" i="15"/>
  <c r="K705" i="15"/>
  <c r="N75" i="1"/>
  <c r="K785" i="13"/>
  <c r="I492" i="15"/>
  <c r="O380" i="15"/>
  <c r="J351" i="15"/>
  <c r="M285" i="14"/>
  <c r="P285" i="14" s="1"/>
  <c r="O563" i="15"/>
  <c r="M516" i="15"/>
  <c r="P516" i="15" s="1"/>
  <c r="N268" i="15"/>
  <c r="N266" i="15" s="1"/>
  <c r="I202" i="15"/>
  <c r="K202" i="15" s="1"/>
  <c r="U191" i="15"/>
  <c r="L50" i="13"/>
  <c r="O50" i="13" s="1"/>
  <c r="K293" i="14"/>
  <c r="K629" i="15"/>
  <c r="T191" i="15"/>
  <c r="I172" i="15"/>
  <c r="K172" i="15" s="1"/>
  <c r="Q160" i="15"/>
  <c r="T160" i="15" s="1"/>
  <c r="P325" i="14"/>
  <c r="K778" i="15"/>
  <c r="K779" i="14"/>
  <c r="Q395" i="15"/>
  <c r="T395" i="15" s="1"/>
  <c r="I281" i="15"/>
  <c r="K281" i="15" s="1"/>
  <c r="M188" i="15"/>
  <c r="M186" i="15" s="1"/>
  <c r="K314" i="14"/>
  <c r="P418" i="15"/>
  <c r="O383" i="15"/>
  <c r="M362" i="15"/>
  <c r="P362" i="15" s="1"/>
  <c r="K346" i="15"/>
  <c r="N269" i="15"/>
  <c r="O269" i="15" s="1"/>
  <c r="O99" i="15"/>
  <c r="M419" i="15"/>
  <c r="P419" i="15" s="1"/>
  <c r="O290" i="15"/>
  <c r="N96" i="15"/>
  <c r="N94" i="15" s="1"/>
  <c r="L65" i="15"/>
  <c r="O65" i="15" s="1"/>
  <c r="K440" i="14"/>
  <c r="P359" i="14"/>
  <c r="T380" i="15"/>
  <c r="O162" i="15"/>
  <c r="M558" i="13"/>
  <c r="P558" i="13" s="1"/>
  <c r="K780" i="14"/>
  <c r="U731" i="14"/>
  <c r="P521" i="14"/>
  <c r="P421" i="14"/>
  <c r="Q394" i="15"/>
  <c r="T394" i="15" s="1"/>
  <c r="R203" i="1"/>
  <c r="Q619" i="13"/>
  <c r="L578" i="14"/>
  <c r="O578" i="14" s="1"/>
  <c r="N601" i="15"/>
  <c r="N599" i="15" s="1"/>
  <c r="L499" i="15"/>
  <c r="O499" i="15" s="1"/>
  <c r="P306" i="15"/>
  <c r="O191" i="15"/>
  <c r="M159" i="15"/>
  <c r="M157" i="15" s="1"/>
  <c r="M78" i="15"/>
  <c r="P78" i="15" s="1"/>
  <c r="N75" i="15"/>
  <c r="P75" i="15" s="1"/>
  <c r="J351" i="11"/>
  <c r="K784" i="13"/>
  <c r="K781" i="13"/>
  <c r="K778" i="13"/>
  <c r="M175" i="14"/>
  <c r="M173" i="14" s="1"/>
  <c r="O64" i="14"/>
  <c r="Q763" i="15"/>
  <c r="T763" i="15" s="1"/>
  <c r="I701" i="15"/>
  <c r="U693" i="15"/>
  <c r="J675" i="15"/>
  <c r="R605" i="15"/>
  <c r="U605" i="15" s="1"/>
  <c r="N602" i="15"/>
  <c r="P584" i="15"/>
  <c r="R378" i="15"/>
  <c r="L358" i="15"/>
  <c r="L356" i="15" s="1"/>
  <c r="P285" i="15"/>
  <c r="L235" i="15"/>
  <c r="L159" i="15"/>
  <c r="L157" i="15" s="1"/>
  <c r="P102" i="15"/>
  <c r="M74" i="15"/>
  <c r="P64" i="15"/>
  <c r="M140" i="1"/>
  <c r="P140" i="1" s="1"/>
  <c r="S602" i="1"/>
  <c r="N715" i="1"/>
  <c r="R619" i="14"/>
  <c r="U619" i="14" s="1"/>
  <c r="O581" i="14"/>
  <c r="Q496" i="14"/>
  <c r="T496" i="14" s="1"/>
  <c r="R119" i="14"/>
  <c r="R117" i="14" s="1"/>
  <c r="S618" i="15"/>
  <c r="S616" i="15" s="1"/>
  <c r="M540" i="15"/>
  <c r="P540" i="15" s="1"/>
  <c r="M519" i="15"/>
  <c r="P519" i="15" s="1"/>
  <c r="O364" i="15"/>
  <c r="N284" i="15"/>
  <c r="N282" i="15" s="1"/>
  <c r="Q145" i="15"/>
  <c r="T145" i="15" s="1"/>
  <c r="Q142" i="15"/>
  <c r="O102" i="15"/>
  <c r="L50" i="15"/>
  <c r="O50" i="15" s="1"/>
  <c r="T607" i="12"/>
  <c r="U607" i="14"/>
  <c r="T498" i="14"/>
  <c r="K782" i="15"/>
  <c r="K779" i="15"/>
  <c r="K709" i="15"/>
  <c r="J702" i="15"/>
  <c r="M415" i="15"/>
  <c r="M413" i="15" s="1"/>
  <c r="S416" i="15"/>
  <c r="U416" i="15" s="1"/>
  <c r="J332" i="15"/>
  <c r="K332" i="15" s="1"/>
  <c r="P328" i="15"/>
  <c r="N326" i="15"/>
  <c r="L175" i="15"/>
  <c r="L173" i="15" s="1"/>
  <c r="R232" i="1"/>
  <c r="M203" i="1"/>
  <c r="K781" i="12"/>
  <c r="L288" i="14"/>
  <c r="O288" i="14" s="1"/>
  <c r="K781" i="15"/>
  <c r="J674" i="15"/>
  <c r="L214" i="15"/>
  <c r="O214" i="15" s="1"/>
  <c r="P414" i="15"/>
  <c r="U415" i="11"/>
  <c r="P62" i="11"/>
  <c r="K784" i="14"/>
  <c r="K705" i="14"/>
  <c r="S415" i="14"/>
  <c r="S413" i="14" s="1"/>
  <c r="K369" i="14"/>
  <c r="L234" i="14"/>
  <c r="O181" i="14"/>
  <c r="U178" i="14"/>
  <c r="L175" i="14"/>
  <c r="L173" i="14" s="1"/>
  <c r="I156" i="14"/>
  <c r="K156" i="14" s="1"/>
  <c r="Q760" i="15"/>
  <c r="Q731" i="15"/>
  <c r="R645" i="15"/>
  <c r="U645" i="15" s="1"/>
  <c r="U647" i="15"/>
  <c r="Q534" i="15"/>
  <c r="T534" i="15" s="1"/>
  <c r="Q496" i="15"/>
  <c r="K441" i="15"/>
  <c r="Q377" i="15"/>
  <c r="Q375" i="15" s="1"/>
  <c r="Q378" i="15"/>
  <c r="I319" i="15"/>
  <c r="K319" i="15" s="1"/>
  <c r="P290" i="15"/>
  <c r="K154" i="15"/>
  <c r="M142" i="15"/>
  <c r="M141" i="15"/>
  <c r="M139" i="15" s="1"/>
  <c r="P144" i="15"/>
  <c r="O122" i="15"/>
  <c r="I116" i="15"/>
  <c r="K116" i="15" s="1"/>
  <c r="Q96" i="15"/>
  <c r="T99" i="15"/>
  <c r="L74" i="15"/>
  <c r="L75" i="15"/>
  <c r="O75" i="15" s="1"/>
  <c r="T60" i="15"/>
  <c r="P22" i="15"/>
  <c r="O328" i="15"/>
  <c r="L326" i="15"/>
  <c r="O326" i="15" s="1"/>
  <c r="K779" i="13"/>
  <c r="L339" i="14"/>
  <c r="O339" i="14" s="1"/>
  <c r="N536" i="15"/>
  <c r="N534" i="15" s="1"/>
  <c r="L495" i="15"/>
  <c r="L493" i="15" s="1"/>
  <c r="L496" i="15"/>
  <c r="O496" i="15" s="1"/>
  <c r="O338" i="15"/>
  <c r="N335" i="15"/>
  <c r="N333" i="15" s="1"/>
  <c r="Q333" i="15"/>
  <c r="T333" i="15" s="1"/>
  <c r="P271" i="15"/>
  <c r="M269" i="15"/>
  <c r="K260" i="15"/>
  <c r="I253" i="15"/>
  <c r="K253" i="15" s="1"/>
  <c r="P178" i="15"/>
  <c r="M176" i="15"/>
  <c r="P176" i="15" s="1"/>
  <c r="L145" i="15"/>
  <c r="O145" i="15" s="1"/>
  <c r="L141" i="15"/>
  <c r="L139" i="15" s="1"/>
  <c r="L142" i="15"/>
  <c r="I137" i="15"/>
  <c r="K137" i="15" s="1"/>
  <c r="N119" i="15"/>
  <c r="N117" i="15" s="1"/>
  <c r="N120" i="15"/>
  <c r="U80" i="15"/>
  <c r="R78" i="15"/>
  <c r="U78" i="15" s="1"/>
  <c r="R96" i="15"/>
  <c r="R94" i="15" s="1"/>
  <c r="R97" i="15"/>
  <c r="O271" i="13"/>
  <c r="O604" i="14"/>
  <c r="O539" i="14"/>
  <c r="K368" i="14"/>
  <c r="P361" i="14"/>
  <c r="K183" i="14"/>
  <c r="K153" i="14"/>
  <c r="U147" i="14"/>
  <c r="K780" i="15"/>
  <c r="Q728" i="15"/>
  <c r="S692" i="15"/>
  <c r="S690" i="15" s="1"/>
  <c r="M642" i="15"/>
  <c r="P642" i="15" s="1"/>
  <c r="P643" i="15"/>
  <c r="S601" i="15"/>
  <c r="S599" i="15" s="1"/>
  <c r="S602" i="15"/>
  <c r="M557" i="15"/>
  <c r="P557" i="15" s="1"/>
  <c r="M558" i="15"/>
  <c r="P558" i="15" s="1"/>
  <c r="P560" i="15"/>
  <c r="O421" i="15"/>
  <c r="L415" i="15"/>
  <c r="L416" i="15"/>
  <c r="O416" i="15" s="1"/>
  <c r="O418" i="15"/>
  <c r="O393" i="15"/>
  <c r="M358" i="15"/>
  <c r="M356" i="15" s="1"/>
  <c r="Q305" i="15"/>
  <c r="Q303" i="15" s="1"/>
  <c r="T203" i="15"/>
  <c r="M175" i="15"/>
  <c r="M173" i="15" s="1"/>
  <c r="U147" i="15"/>
  <c r="R145" i="15"/>
  <c r="U145" i="15" s="1"/>
  <c r="T144" i="15"/>
  <c r="N141" i="15"/>
  <c r="N139" i="15" s="1"/>
  <c r="M119" i="15"/>
  <c r="P119" i="15" s="1"/>
  <c r="M61" i="15"/>
  <c r="M59" i="15" s="1"/>
  <c r="S59" i="15"/>
  <c r="I238" i="15"/>
  <c r="K238" i="15" s="1"/>
  <c r="K249" i="15"/>
  <c r="I242" i="15"/>
  <c r="K242" i="15" s="1"/>
  <c r="U45" i="15"/>
  <c r="R44" i="15"/>
  <c r="U44" i="15" s="1"/>
  <c r="P498" i="14"/>
  <c r="T577" i="15"/>
  <c r="Q576" i="15"/>
  <c r="T576" i="15" s="1"/>
  <c r="T494" i="15"/>
  <c r="Q493" i="15"/>
  <c r="R415" i="15"/>
  <c r="R413" i="15" s="1"/>
  <c r="U418" i="15"/>
  <c r="I213" i="15"/>
  <c r="K213" i="15" s="1"/>
  <c r="U99" i="15"/>
  <c r="K84" i="15"/>
  <c r="I82" i="15"/>
  <c r="I70" i="15" s="1"/>
  <c r="K70" i="15" s="1"/>
  <c r="L61" i="15"/>
  <c r="L59" i="15" s="1"/>
  <c r="L62" i="15"/>
  <c r="O62" i="15" s="1"/>
  <c r="L46" i="15"/>
  <c r="L44" i="15" s="1"/>
  <c r="L47" i="15"/>
  <c r="J674" i="13"/>
  <c r="P144" i="13"/>
  <c r="J701" i="14"/>
  <c r="T647" i="14"/>
  <c r="N268" i="14"/>
  <c r="L236" i="14"/>
  <c r="P160" i="14"/>
  <c r="K784" i="15"/>
  <c r="R730" i="15"/>
  <c r="R728" i="15" s="1"/>
  <c r="K726" i="15"/>
  <c r="S714" i="15"/>
  <c r="U695" i="15"/>
  <c r="M416" i="15"/>
  <c r="P416" i="15" s="1"/>
  <c r="K368" i="15"/>
  <c r="M339" i="15"/>
  <c r="P339" i="15" s="1"/>
  <c r="T334" i="15"/>
  <c r="R306" i="15"/>
  <c r="R305" i="15"/>
  <c r="R303" i="15" s="1"/>
  <c r="I92" i="15"/>
  <c r="K92" i="15" s="1"/>
  <c r="K108" i="15"/>
  <c r="N74" i="15"/>
  <c r="N72" i="15" s="1"/>
  <c r="N714" i="15"/>
  <c r="R692" i="15"/>
  <c r="R690" i="15" s="1"/>
  <c r="S645" i="15"/>
  <c r="M601" i="15"/>
  <c r="M599" i="15" s="1"/>
  <c r="P599" i="15" s="1"/>
  <c r="L557" i="15"/>
  <c r="O557" i="15" s="1"/>
  <c r="R555" i="15"/>
  <c r="U555" i="15" s="1"/>
  <c r="O521" i="15"/>
  <c r="M495" i="15"/>
  <c r="M493" i="15" s="1"/>
  <c r="R496" i="15"/>
  <c r="T418" i="15"/>
  <c r="S413" i="15"/>
  <c r="K386" i="15"/>
  <c r="O311" i="15"/>
  <c r="I302" i="15"/>
  <c r="K302" i="15" s="1"/>
  <c r="L272" i="15"/>
  <c r="O272" i="15" s="1"/>
  <c r="O271" i="15"/>
  <c r="L243" i="15"/>
  <c r="O243" i="15" s="1"/>
  <c r="T189" i="15"/>
  <c r="O165" i="15"/>
  <c r="N159" i="15"/>
  <c r="N157" i="15" s="1"/>
  <c r="R141" i="15"/>
  <c r="R139" i="15" s="1"/>
  <c r="I83" i="15"/>
  <c r="K83" i="15" s="1"/>
  <c r="L78" i="15"/>
  <c r="O78" i="15" s="1"/>
  <c r="L728" i="15"/>
  <c r="O728" i="15" s="1"/>
  <c r="N616" i="15"/>
  <c r="L578" i="15"/>
  <c r="L576" i="15" s="1"/>
  <c r="O581" i="15"/>
  <c r="N537" i="15"/>
  <c r="L377" i="15"/>
  <c r="O377" i="15" s="1"/>
  <c r="K369" i="15"/>
  <c r="J343" i="15"/>
  <c r="M335" i="15"/>
  <c r="S333" i="15"/>
  <c r="L322" i="15"/>
  <c r="L320" i="15" s="1"/>
  <c r="M309" i="15"/>
  <c r="P309" i="15" s="1"/>
  <c r="M284" i="15"/>
  <c r="M282" i="15" s="1"/>
  <c r="L254" i="15"/>
  <c r="O254" i="15" s="1"/>
  <c r="L233" i="15"/>
  <c r="Q188" i="15"/>
  <c r="I168" i="15"/>
  <c r="K168" i="15" s="1"/>
  <c r="N160" i="15"/>
  <c r="O160" i="15" s="1"/>
  <c r="M96" i="15"/>
  <c r="M94" i="15" s="1"/>
  <c r="S97" i="15"/>
  <c r="T97" i="15" s="1"/>
  <c r="R74" i="15"/>
  <c r="R72" i="15" s="1"/>
  <c r="M62" i="15"/>
  <c r="P62" i="15" s="1"/>
  <c r="N46" i="15"/>
  <c r="N44" i="15" s="1"/>
  <c r="N47" i="15"/>
  <c r="R19" i="15"/>
  <c r="L19" i="15"/>
  <c r="N760" i="15"/>
  <c r="K727" i="15"/>
  <c r="Q714" i="15"/>
  <c r="T714" i="15" s="1"/>
  <c r="O560" i="15"/>
  <c r="M536" i="15"/>
  <c r="P536" i="15" s="1"/>
  <c r="N515" i="15"/>
  <c r="N513" i="15" s="1"/>
  <c r="N516" i="15"/>
  <c r="J457" i="15"/>
  <c r="K424" i="15"/>
  <c r="N415" i="15"/>
  <c r="N413" i="15" s="1"/>
  <c r="L335" i="15"/>
  <c r="L333" i="15" s="1"/>
  <c r="T308" i="15"/>
  <c r="L203" i="15"/>
  <c r="O203" i="15" s="1"/>
  <c r="P147" i="15"/>
  <c r="Q119" i="15"/>
  <c r="Q117" i="15" s="1"/>
  <c r="L96" i="15"/>
  <c r="O96" i="15" s="1"/>
  <c r="Q74" i="15"/>
  <c r="Q19" i="15"/>
  <c r="R392" i="14"/>
  <c r="U392" i="14" s="1"/>
  <c r="U394" i="14"/>
  <c r="Q326" i="1"/>
  <c r="T326" i="1" s="1"/>
  <c r="K772" i="15"/>
  <c r="I758" i="15"/>
  <c r="K758" i="15" s="1"/>
  <c r="R576" i="15"/>
  <c r="U576" i="15" s="1"/>
  <c r="U577" i="15"/>
  <c r="K780" i="12"/>
  <c r="P604" i="12"/>
  <c r="U191" i="13"/>
  <c r="K709" i="14"/>
  <c r="S495" i="14"/>
  <c r="S493" i="14" s="1"/>
  <c r="M100" i="14"/>
  <c r="P100" i="14" s="1"/>
  <c r="P102" i="14"/>
  <c r="Q96" i="14"/>
  <c r="Q94" i="14" s="1"/>
  <c r="Q97" i="14"/>
  <c r="T97" i="14" s="1"/>
  <c r="S731" i="15"/>
  <c r="U731" i="15" s="1"/>
  <c r="T733" i="15"/>
  <c r="U733" i="15"/>
  <c r="S730" i="15"/>
  <c r="T730" i="15" s="1"/>
  <c r="R618" i="15"/>
  <c r="U618" i="15" s="1"/>
  <c r="U621" i="15"/>
  <c r="R619" i="15"/>
  <c r="U619" i="15" s="1"/>
  <c r="J492" i="15"/>
  <c r="K503" i="15"/>
  <c r="K388" i="15"/>
  <c r="I374" i="15"/>
  <c r="S496" i="15"/>
  <c r="T498" i="15"/>
  <c r="U498" i="15"/>
  <c r="S495" i="15"/>
  <c r="S493" i="15" s="1"/>
  <c r="P380" i="15"/>
  <c r="M378" i="15"/>
  <c r="P378" i="15" s="1"/>
  <c r="M377" i="15"/>
  <c r="P377" i="15" s="1"/>
  <c r="J701" i="12"/>
  <c r="N601" i="12"/>
  <c r="N599" i="12" s="1"/>
  <c r="Q763" i="13"/>
  <c r="T763" i="13" s="1"/>
  <c r="K631" i="13"/>
  <c r="T604" i="13"/>
  <c r="O383" i="13"/>
  <c r="K346" i="13"/>
  <c r="L234" i="13"/>
  <c r="O181" i="13"/>
  <c r="O144" i="13"/>
  <c r="K109" i="13"/>
  <c r="J675" i="14"/>
  <c r="U604" i="14"/>
  <c r="N601" i="14"/>
  <c r="N599" i="14" s="1"/>
  <c r="K386" i="14"/>
  <c r="J351" i="14"/>
  <c r="P341" i="14"/>
  <c r="I238" i="14"/>
  <c r="K238" i="14" s="1"/>
  <c r="K108" i="14"/>
  <c r="P581" i="15"/>
  <c r="M579" i="15"/>
  <c r="M578" i="15"/>
  <c r="M576" i="15" s="1"/>
  <c r="O518" i="15"/>
  <c r="L516" i="15"/>
  <c r="O516" i="15" s="1"/>
  <c r="L515" i="15"/>
  <c r="O515" i="15" s="1"/>
  <c r="T376" i="15"/>
  <c r="N537" i="1"/>
  <c r="U604" i="15"/>
  <c r="R601" i="15"/>
  <c r="R602" i="15"/>
  <c r="U602" i="15" s="1"/>
  <c r="Q320" i="15"/>
  <c r="T320" i="15" s="1"/>
  <c r="T321" i="15"/>
  <c r="T80" i="11"/>
  <c r="L381" i="12"/>
  <c r="O381" i="12" s="1"/>
  <c r="K629" i="13"/>
  <c r="S619" i="13"/>
  <c r="S616" i="13"/>
  <c r="T607" i="13"/>
  <c r="O147" i="13"/>
  <c r="T416" i="14"/>
  <c r="S306" i="14"/>
  <c r="T306" i="14" s="1"/>
  <c r="O271" i="14"/>
  <c r="Q268" i="14"/>
  <c r="Q266" i="14" s="1"/>
  <c r="Q160" i="14"/>
  <c r="T160" i="14" s="1"/>
  <c r="Q159" i="14"/>
  <c r="T159" i="14" s="1"/>
  <c r="T162" i="14"/>
  <c r="R763" i="15"/>
  <c r="U763" i="15" s="1"/>
  <c r="R762" i="15"/>
  <c r="U765" i="15"/>
  <c r="T557" i="15"/>
  <c r="Q555" i="15"/>
  <c r="T555" i="15" s="1"/>
  <c r="R493" i="15"/>
  <c r="U494" i="15"/>
  <c r="T607" i="15"/>
  <c r="Q605" i="15"/>
  <c r="T605" i="15" s="1"/>
  <c r="Q601" i="15"/>
  <c r="T601" i="15" s="1"/>
  <c r="O501" i="13"/>
  <c r="O380" i="13"/>
  <c r="P361" i="13"/>
  <c r="P338" i="13"/>
  <c r="P194" i="13"/>
  <c r="K785" i="14"/>
  <c r="S730" i="14"/>
  <c r="S728" i="14" s="1"/>
  <c r="T619" i="14"/>
  <c r="P542" i="14"/>
  <c r="L515" i="14"/>
  <c r="O515" i="14" s="1"/>
  <c r="P416" i="14"/>
  <c r="N377" i="14"/>
  <c r="N375" i="14" s="1"/>
  <c r="O328" i="14"/>
  <c r="L322" i="14"/>
  <c r="O322" i="14" s="1"/>
  <c r="L309" i="14"/>
  <c r="O309" i="14" s="1"/>
  <c r="L306" i="14"/>
  <c r="O306" i="14" s="1"/>
  <c r="P274" i="14"/>
  <c r="Q188" i="14"/>
  <c r="Q186" i="14" s="1"/>
  <c r="M96" i="14"/>
  <c r="L540" i="15"/>
  <c r="O540" i="15" s="1"/>
  <c r="O542" i="15"/>
  <c r="O334" i="15"/>
  <c r="I280" i="15"/>
  <c r="K280" i="15" s="1"/>
  <c r="K293" i="15"/>
  <c r="Q282" i="15"/>
  <c r="T282" i="15" s="1"/>
  <c r="T283" i="15"/>
  <c r="K709" i="13"/>
  <c r="U147" i="13"/>
  <c r="Q692" i="14"/>
  <c r="Q690" i="14" s="1"/>
  <c r="Q618" i="14"/>
  <c r="Q616" i="14" s="1"/>
  <c r="P560" i="14"/>
  <c r="M515" i="14"/>
  <c r="P515" i="14" s="1"/>
  <c r="P194" i="14"/>
  <c r="M760" i="15"/>
  <c r="P760" i="15" s="1"/>
  <c r="P761" i="15"/>
  <c r="P556" i="15"/>
  <c r="R303" i="14"/>
  <c r="U303" i="14" s="1"/>
  <c r="L233" i="14"/>
  <c r="O178" i="14"/>
  <c r="P165" i="14"/>
  <c r="O99" i="14"/>
  <c r="S74" i="14"/>
  <c r="S72" i="14" s="1"/>
  <c r="P64" i="14"/>
  <c r="I759" i="15"/>
  <c r="K759" i="15" s="1"/>
  <c r="J701" i="15"/>
  <c r="M690" i="15"/>
  <c r="P690" i="15" s="1"/>
  <c r="Q618" i="15"/>
  <c r="T621" i="15"/>
  <c r="P607" i="15"/>
  <c r="T604" i="15"/>
  <c r="Q602" i="15"/>
  <c r="T602" i="15" s="1"/>
  <c r="L582" i="15"/>
  <c r="O582" i="15" s="1"/>
  <c r="N579" i="15"/>
  <c r="O579" i="15" s="1"/>
  <c r="P563" i="15"/>
  <c r="M561" i="15"/>
  <c r="P561" i="15" s="1"/>
  <c r="N557" i="15"/>
  <c r="N555" i="15" s="1"/>
  <c r="K432" i="15"/>
  <c r="S395" i="15"/>
  <c r="U380" i="15"/>
  <c r="S378" i="15"/>
  <c r="S377" i="15"/>
  <c r="S375" i="15" s="1"/>
  <c r="K371" i="15"/>
  <c r="I365" i="15"/>
  <c r="K365" i="15" s="1"/>
  <c r="O341" i="15"/>
  <c r="L339" i="15"/>
  <c r="O339" i="15" s="1"/>
  <c r="O325" i="15"/>
  <c r="N323" i="15"/>
  <c r="O323" i="15" s="1"/>
  <c r="Q266" i="15"/>
  <c r="T267" i="15"/>
  <c r="L176" i="14"/>
  <c r="N96" i="14"/>
  <c r="N94" i="14" s="1"/>
  <c r="N61" i="14"/>
  <c r="N59" i="14" s="1"/>
  <c r="S762" i="15"/>
  <c r="S760" i="15" s="1"/>
  <c r="P729" i="15"/>
  <c r="Q692" i="15"/>
  <c r="T695" i="15"/>
  <c r="L690" i="15"/>
  <c r="O690" i="15" s="1"/>
  <c r="O691" i="15"/>
  <c r="N578" i="15"/>
  <c r="N576" i="15" s="1"/>
  <c r="O539" i="15"/>
  <c r="L536" i="15"/>
  <c r="O536" i="15" s="1"/>
  <c r="R513" i="15"/>
  <c r="U513" i="15" s="1"/>
  <c r="K440" i="15"/>
  <c r="I423" i="15"/>
  <c r="N377" i="15"/>
  <c r="N375" i="15" s="1"/>
  <c r="N358" i="15"/>
  <c r="N356" i="15" s="1"/>
  <c r="R333" i="15"/>
  <c r="U333" i="15" s="1"/>
  <c r="U334" i="15"/>
  <c r="P325" i="15"/>
  <c r="M323" i="15"/>
  <c r="N305" i="15"/>
  <c r="N303" i="15" s="1"/>
  <c r="P304" i="15"/>
  <c r="M268" i="15"/>
  <c r="M123" i="14"/>
  <c r="P123" i="14" s="1"/>
  <c r="K109" i="14"/>
  <c r="P97" i="14"/>
  <c r="O47" i="14"/>
  <c r="K707" i="15"/>
  <c r="U691" i="15"/>
  <c r="Q644" i="15"/>
  <c r="T647" i="15"/>
  <c r="S642" i="15"/>
  <c r="L642" i="15"/>
  <c r="O642" i="15" s="1"/>
  <c r="O643" i="15"/>
  <c r="K631" i="15"/>
  <c r="K626" i="15"/>
  <c r="I615" i="15"/>
  <c r="K615" i="15" s="1"/>
  <c r="U557" i="15"/>
  <c r="S534" i="15"/>
  <c r="O535" i="15"/>
  <c r="Q513" i="15"/>
  <c r="T513" i="15" s="1"/>
  <c r="T514" i="15"/>
  <c r="P501" i="15"/>
  <c r="M499" i="15"/>
  <c r="P499" i="15" s="1"/>
  <c r="O498" i="15"/>
  <c r="N495" i="15"/>
  <c r="P494" i="15"/>
  <c r="Q415" i="15"/>
  <c r="M392" i="15"/>
  <c r="P392" i="15" s="1"/>
  <c r="P393" i="15"/>
  <c r="O376" i="15"/>
  <c r="P359" i="15"/>
  <c r="M322" i="15"/>
  <c r="O321" i="15"/>
  <c r="P308" i="15"/>
  <c r="M305" i="15"/>
  <c r="O304" i="15"/>
  <c r="L268" i="15"/>
  <c r="U187" i="15"/>
  <c r="O49" i="14"/>
  <c r="T765" i="15"/>
  <c r="R644" i="15"/>
  <c r="U644" i="15" s="1"/>
  <c r="U643" i="15"/>
  <c r="K630" i="15"/>
  <c r="T619" i="15"/>
  <c r="L605" i="15"/>
  <c r="O605" i="15" s="1"/>
  <c r="M602" i="15"/>
  <c r="P602" i="15" s="1"/>
  <c r="P539" i="15"/>
  <c r="M537" i="15"/>
  <c r="P537" i="15" s="1"/>
  <c r="R534" i="15"/>
  <c r="U534" i="15" s="1"/>
  <c r="U535" i="15"/>
  <c r="M515" i="15"/>
  <c r="O494" i="15"/>
  <c r="Q416" i="15"/>
  <c r="S392" i="15"/>
  <c r="O361" i="15"/>
  <c r="L359" i="15"/>
  <c r="O359" i="15" s="1"/>
  <c r="R356" i="15"/>
  <c r="U356" i="15" s="1"/>
  <c r="P338" i="15"/>
  <c r="N336" i="15"/>
  <c r="P336" i="15" s="1"/>
  <c r="S320" i="15"/>
  <c r="L306" i="15"/>
  <c r="O306" i="15" s="1"/>
  <c r="L305" i="15"/>
  <c r="L303" i="15" s="1"/>
  <c r="O308" i="15"/>
  <c r="S268" i="15"/>
  <c r="S266" i="15" s="1"/>
  <c r="S269" i="15"/>
  <c r="M616" i="15"/>
  <c r="P616" i="15" s="1"/>
  <c r="P617" i="15"/>
  <c r="L602" i="15"/>
  <c r="O602" i="15" s="1"/>
  <c r="L601" i="15"/>
  <c r="O577" i="15"/>
  <c r="P498" i="15"/>
  <c r="M496" i="15"/>
  <c r="P496" i="15" s="1"/>
  <c r="R394" i="15"/>
  <c r="U397" i="15"/>
  <c r="P383" i="15"/>
  <c r="M381" i="15"/>
  <c r="P381" i="15" s="1"/>
  <c r="R375" i="15"/>
  <c r="U376" i="15"/>
  <c r="Q356" i="15"/>
  <c r="T356" i="15" s="1"/>
  <c r="P334" i="15"/>
  <c r="R320" i="15"/>
  <c r="U320" i="15" s="1"/>
  <c r="U321" i="15"/>
  <c r="U308" i="15"/>
  <c r="S305" i="15"/>
  <c r="S303" i="15" s="1"/>
  <c r="S306" i="15"/>
  <c r="U304" i="15"/>
  <c r="O287" i="15"/>
  <c r="L285" i="15"/>
  <c r="O285" i="15" s="1"/>
  <c r="L284" i="15"/>
  <c r="T187" i="15"/>
  <c r="P19" i="15"/>
  <c r="P376" i="15"/>
  <c r="P361" i="15"/>
  <c r="T357" i="15"/>
  <c r="K344" i="15"/>
  <c r="P321" i="15"/>
  <c r="P274" i="15"/>
  <c r="U271" i="15"/>
  <c r="K230" i="15"/>
  <c r="S188" i="15"/>
  <c r="S186" i="15" s="1"/>
  <c r="O95" i="15"/>
  <c r="T271" i="15"/>
  <c r="Q269" i="15"/>
  <c r="R269" i="15"/>
  <c r="R268" i="15"/>
  <c r="I265" i="15"/>
  <c r="K265" i="15" s="1"/>
  <c r="K229" i="15"/>
  <c r="L222" i="15"/>
  <c r="O222" i="15" s="1"/>
  <c r="P191" i="15"/>
  <c r="M189" i="15"/>
  <c r="P189" i="15" s="1"/>
  <c r="N188" i="15"/>
  <c r="N186" i="15" s="1"/>
  <c r="P181" i="15"/>
  <c r="M179" i="15"/>
  <c r="P179" i="15" s="1"/>
  <c r="L176" i="15"/>
  <c r="O176" i="15" s="1"/>
  <c r="O178" i="15"/>
  <c r="S176" i="15"/>
  <c r="L123" i="15"/>
  <c r="O123" i="15" s="1"/>
  <c r="O125" i="15"/>
  <c r="L119" i="15"/>
  <c r="O119" i="15" s="1"/>
  <c r="S94" i="15"/>
  <c r="T19" i="15"/>
  <c r="P287" i="15"/>
  <c r="R282" i="15"/>
  <c r="U282" i="15" s="1"/>
  <c r="P194" i="15"/>
  <c r="M192" i="15"/>
  <c r="P192" i="15" s="1"/>
  <c r="O187" i="15"/>
  <c r="R176" i="15"/>
  <c r="U176" i="15" s="1"/>
  <c r="U178" i="15"/>
  <c r="R175" i="15"/>
  <c r="U175" i="15" s="1"/>
  <c r="R123" i="15"/>
  <c r="U123" i="15" s="1"/>
  <c r="R26" i="15"/>
  <c r="U125" i="15"/>
  <c r="S119" i="15"/>
  <c r="L26" i="15"/>
  <c r="R188" i="15"/>
  <c r="L188" i="15"/>
  <c r="Q176" i="15"/>
  <c r="T176" i="15" s="1"/>
  <c r="P165" i="15"/>
  <c r="M163" i="15"/>
  <c r="P163" i="15" s="1"/>
  <c r="O144" i="15"/>
  <c r="N142" i="15"/>
  <c r="N26" i="15"/>
  <c r="N24" i="15" s="1"/>
  <c r="N50" i="15"/>
  <c r="M23" i="15"/>
  <c r="M21" i="15" s="1"/>
  <c r="M47" i="15"/>
  <c r="Q44" i="15"/>
  <c r="T44" i="15" s="1"/>
  <c r="L23" i="15"/>
  <c r="K198" i="15"/>
  <c r="S173" i="15"/>
  <c r="K167" i="15"/>
  <c r="I169" i="15"/>
  <c r="K169" i="15" s="1"/>
  <c r="U162" i="15"/>
  <c r="P162" i="15"/>
  <c r="M160" i="15"/>
  <c r="S159" i="15"/>
  <c r="S157" i="15" s="1"/>
  <c r="I138" i="15"/>
  <c r="K138" i="15" s="1"/>
  <c r="K109" i="15"/>
  <c r="I93" i="15"/>
  <c r="K93" i="15" s="1"/>
  <c r="S26" i="15"/>
  <c r="S24" i="15" s="1"/>
  <c r="S78" i="15"/>
  <c r="S23" i="15"/>
  <c r="S21" i="15" s="1"/>
  <c r="S75" i="15"/>
  <c r="U75" i="15" s="1"/>
  <c r="S74" i="15"/>
  <c r="S72" i="15" s="1"/>
  <c r="P67" i="15"/>
  <c r="N61" i="15"/>
  <c r="N59" i="15" s="1"/>
  <c r="M26" i="15"/>
  <c r="P26" i="15" s="1"/>
  <c r="M50" i="15"/>
  <c r="P50" i="15" s="1"/>
  <c r="M46" i="15"/>
  <c r="R192" i="15"/>
  <c r="U192" i="15" s="1"/>
  <c r="L192" i="15"/>
  <c r="O192" i="15" s="1"/>
  <c r="R189" i="15"/>
  <c r="U189" i="15" s="1"/>
  <c r="L189" i="15"/>
  <c r="O189" i="15" s="1"/>
  <c r="N175" i="15"/>
  <c r="N173" i="15" s="1"/>
  <c r="Q175" i="15"/>
  <c r="R159" i="15"/>
  <c r="U159" i="15" s="1"/>
  <c r="U144" i="15"/>
  <c r="S142" i="15"/>
  <c r="S141" i="15"/>
  <c r="U122" i="15"/>
  <c r="P122" i="15"/>
  <c r="M120" i="15"/>
  <c r="P120" i="15" s="1"/>
  <c r="N19" i="15"/>
  <c r="O181" i="15"/>
  <c r="P125" i="15"/>
  <c r="M123" i="15"/>
  <c r="P123" i="15" s="1"/>
  <c r="T122" i="15"/>
  <c r="S120" i="15"/>
  <c r="T120" i="15" s="1"/>
  <c r="R119" i="15"/>
  <c r="R117" i="15" s="1"/>
  <c r="P99" i="15"/>
  <c r="N97" i="15"/>
  <c r="P97" i="15" s="1"/>
  <c r="U95" i="15"/>
  <c r="Q26" i="15"/>
  <c r="T80" i="15"/>
  <c r="Q78" i="15"/>
  <c r="T78" i="15" s="1"/>
  <c r="Q23" i="15"/>
  <c r="T77" i="15"/>
  <c r="Q75" i="15"/>
  <c r="T45" i="15"/>
  <c r="R23" i="15"/>
  <c r="U19" i="15"/>
  <c r="O19" i="15"/>
  <c r="Q159" i="15"/>
  <c r="P140" i="15"/>
  <c r="U118" i="15"/>
  <c r="O118" i="15"/>
  <c r="U77" i="15"/>
  <c r="O77" i="15"/>
  <c r="O64" i="15"/>
  <c r="O49" i="15"/>
  <c r="N23" i="15"/>
  <c r="Q142" i="1"/>
  <c r="T607" i="14"/>
  <c r="Q605" i="14"/>
  <c r="T605" i="14" s="1"/>
  <c r="M582" i="14"/>
  <c r="P582" i="14" s="1"/>
  <c r="P584" i="14"/>
  <c r="L236" i="12"/>
  <c r="S159" i="12"/>
  <c r="S157" i="12" s="1"/>
  <c r="K630" i="13"/>
  <c r="M516" i="13"/>
  <c r="P516" i="13" s="1"/>
  <c r="O274" i="13"/>
  <c r="U144" i="13"/>
  <c r="Q123" i="13"/>
  <c r="T123" i="13" s="1"/>
  <c r="L74" i="13"/>
  <c r="L72" i="13" s="1"/>
  <c r="O72" i="13" s="1"/>
  <c r="I701" i="14"/>
  <c r="Q644" i="14"/>
  <c r="I615" i="14"/>
  <c r="K631" i="14"/>
  <c r="T621" i="14"/>
  <c r="O607" i="14"/>
  <c r="R601" i="14"/>
  <c r="U601" i="14" s="1"/>
  <c r="N578" i="14"/>
  <c r="N576" i="14" s="1"/>
  <c r="T577" i="14"/>
  <c r="Q576" i="14"/>
  <c r="T576" i="14" s="1"/>
  <c r="N288" i="14"/>
  <c r="N284" i="14"/>
  <c r="N282" i="14" s="1"/>
  <c r="S282" i="14"/>
  <c r="R268" i="14"/>
  <c r="R266" i="14" s="1"/>
  <c r="R269" i="14"/>
  <c r="M47" i="14"/>
  <c r="P47" i="14" s="1"/>
  <c r="P49" i="14"/>
  <c r="K783" i="11"/>
  <c r="K780" i="11"/>
  <c r="T162" i="11"/>
  <c r="T147" i="11"/>
  <c r="K314" i="12"/>
  <c r="T191" i="12"/>
  <c r="N515" i="13"/>
  <c r="N513" i="13" s="1"/>
  <c r="J332" i="13"/>
  <c r="U271" i="13"/>
  <c r="L222" i="13"/>
  <c r="O222" i="13" s="1"/>
  <c r="K152" i="13"/>
  <c r="K781" i="14"/>
  <c r="N690" i="14"/>
  <c r="R616" i="14"/>
  <c r="M578" i="14"/>
  <c r="P578" i="14" s="1"/>
  <c r="L557" i="14"/>
  <c r="O557" i="14" s="1"/>
  <c r="L540" i="14"/>
  <c r="O540" i="14" s="1"/>
  <c r="O542" i="14"/>
  <c r="L378" i="14"/>
  <c r="O378" i="14" s="1"/>
  <c r="L359" i="14"/>
  <c r="O359" i="14" s="1"/>
  <c r="O361" i="14"/>
  <c r="O165" i="14"/>
  <c r="L163" i="14"/>
  <c r="O163" i="14" s="1"/>
  <c r="O122" i="14"/>
  <c r="L119" i="14"/>
  <c r="L117" i="14" s="1"/>
  <c r="O117" i="14" s="1"/>
  <c r="L120" i="14"/>
  <c r="O120" i="14" s="1"/>
  <c r="L65" i="14"/>
  <c r="O65" i="14" s="1"/>
  <c r="O67" i="14"/>
  <c r="Q19" i="14"/>
  <c r="T19" i="14" s="1"/>
  <c r="T22" i="14"/>
  <c r="M582" i="13"/>
  <c r="P582" i="13" s="1"/>
  <c r="Q173" i="13"/>
  <c r="T173" i="13" s="1"/>
  <c r="L272" i="14"/>
  <c r="O272" i="14" s="1"/>
  <c r="O274" i="14"/>
  <c r="N188" i="14"/>
  <c r="N186" i="14" s="1"/>
  <c r="N189" i="14"/>
  <c r="P189" i="14" s="1"/>
  <c r="L142" i="14"/>
  <c r="O142" i="14" s="1"/>
  <c r="O144" i="14"/>
  <c r="S176" i="1"/>
  <c r="P181" i="10"/>
  <c r="O602" i="12"/>
  <c r="R693" i="13"/>
  <c r="U693" i="13" s="1"/>
  <c r="M536" i="13"/>
  <c r="P536" i="13" s="1"/>
  <c r="O498" i="13"/>
  <c r="U269" i="13"/>
  <c r="I242" i="13"/>
  <c r="K242" i="13" s="1"/>
  <c r="K778" i="14"/>
  <c r="N760" i="14"/>
  <c r="L690" i="14"/>
  <c r="O690" i="14" s="1"/>
  <c r="J674" i="14"/>
  <c r="O644" i="14"/>
  <c r="L642" i="14"/>
  <c r="O642" i="14" s="1"/>
  <c r="N642" i="14"/>
  <c r="S555" i="14"/>
  <c r="L519" i="14"/>
  <c r="O519" i="14" s="1"/>
  <c r="O521" i="14"/>
  <c r="M335" i="14"/>
  <c r="M333" i="14" s="1"/>
  <c r="M336" i="14"/>
  <c r="I213" i="14"/>
  <c r="K213" i="14" s="1"/>
  <c r="K220" i="14"/>
  <c r="R44" i="14"/>
  <c r="U44" i="14" s="1"/>
  <c r="Q693" i="13"/>
  <c r="T693" i="13" s="1"/>
  <c r="S645" i="13"/>
  <c r="O560" i="13"/>
  <c r="P542" i="13"/>
  <c r="M419" i="13"/>
  <c r="P419" i="13" s="1"/>
  <c r="O338" i="13"/>
  <c r="U178" i="13"/>
  <c r="Q176" i="13"/>
  <c r="T176" i="13" s="1"/>
  <c r="L46" i="13"/>
  <c r="L44" i="13" s="1"/>
  <c r="R555" i="14"/>
  <c r="U555" i="14" s="1"/>
  <c r="O501" i="14"/>
  <c r="L499" i="14"/>
  <c r="O499" i="14" s="1"/>
  <c r="L419" i="14"/>
  <c r="O419" i="14" s="1"/>
  <c r="O421" i="14"/>
  <c r="P364" i="14"/>
  <c r="M362" i="14"/>
  <c r="P362" i="14" s="1"/>
  <c r="N322" i="14"/>
  <c r="N320" i="14" s="1"/>
  <c r="M616" i="14"/>
  <c r="P616" i="14" s="1"/>
  <c r="Q601" i="14"/>
  <c r="T601" i="14" s="1"/>
  <c r="S601" i="14"/>
  <c r="S599" i="14" s="1"/>
  <c r="M516" i="14"/>
  <c r="P516" i="14" s="1"/>
  <c r="R496" i="14"/>
  <c r="U496" i="14" s="1"/>
  <c r="P418" i="14"/>
  <c r="K346" i="14"/>
  <c r="K330" i="14"/>
  <c r="P308" i="14"/>
  <c r="N269" i="14"/>
  <c r="O269" i="14" s="1"/>
  <c r="J231" i="14"/>
  <c r="J185" i="14" s="1"/>
  <c r="L235" i="14"/>
  <c r="I242" i="14"/>
  <c r="K242" i="14" s="1"/>
  <c r="M188" i="14"/>
  <c r="M186" i="14" s="1"/>
  <c r="K172" i="14"/>
  <c r="T178" i="14"/>
  <c r="R176" i="14"/>
  <c r="U176" i="14" s="1"/>
  <c r="K154" i="14"/>
  <c r="M141" i="14"/>
  <c r="P141" i="14" s="1"/>
  <c r="U122" i="14"/>
  <c r="K93" i="14"/>
  <c r="P80" i="14"/>
  <c r="U77" i="14"/>
  <c r="N74" i="14"/>
  <c r="N72" i="14" s="1"/>
  <c r="S59" i="14"/>
  <c r="N19" i="14"/>
  <c r="L495" i="14"/>
  <c r="Q356" i="14"/>
  <c r="T356" i="14" s="1"/>
  <c r="Q282" i="14"/>
  <c r="T282" i="14" s="1"/>
  <c r="S188" i="14"/>
  <c r="S186" i="14" s="1"/>
  <c r="T120" i="14"/>
  <c r="R97" i="14"/>
  <c r="U97" i="14" s="1"/>
  <c r="M74" i="14"/>
  <c r="S75" i="14"/>
  <c r="N415" i="14"/>
  <c r="N413" i="14" s="1"/>
  <c r="L392" i="14"/>
  <c r="O392" i="14" s="1"/>
  <c r="K371" i="14"/>
  <c r="N305" i="14"/>
  <c r="N303" i="14" s="1"/>
  <c r="S175" i="14"/>
  <c r="S173" i="14" s="1"/>
  <c r="S119" i="14"/>
  <c r="S117" i="14" s="1"/>
  <c r="L616" i="14"/>
  <c r="O616" i="14" s="1"/>
  <c r="P617" i="14"/>
  <c r="Q602" i="14"/>
  <c r="T602" i="14" s="1"/>
  <c r="N579" i="14"/>
  <c r="N557" i="14"/>
  <c r="N555" i="14" s="1"/>
  <c r="J503" i="14"/>
  <c r="J492" i="14" s="1"/>
  <c r="L415" i="14"/>
  <c r="L413" i="14" s="1"/>
  <c r="O413" i="14" s="1"/>
  <c r="M415" i="14"/>
  <c r="M413" i="14" s="1"/>
  <c r="S356" i="14"/>
  <c r="L305" i="14"/>
  <c r="O305" i="14" s="1"/>
  <c r="P271" i="14"/>
  <c r="L254" i="14"/>
  <c r="O254" i="14" s="1"/>
  <c r="L123" i="14"/>
  <c r="O123" i="14" s="1"/>
  <c r="L61" i="14"/>
  <c r="M557" i="14"/>
  <c r="M555" i="14" s="1"/>
  <c r="P555" i="14" s="1"/>
  <c r="L536" i="14"/>
  <c r="O536" i="14" s="1"/>
  <c r="U498" i="14"/>
  <c r="O498" i="14"/>
  <c r="L496" i="14"/>
  <c r="O496" i="14" s="1"/>
  <c r="K423" i="14"/>
  <c r="U418" i="14"/>
  <c r="J374" i="14"/>
  <c r="N378" i="14"/>
  <c r="M358" i="14"/>
  <c r="M356" i="14" s="1"/>
  <c r="P328" i="14"/>
  <c r="O325" i="14"/>
  <c r="Q320" i="14"/>
  <c r="T320" i="14" s="1"/>
  <c r="T283" i="14"/>
  <c r="L268" i="14"/>
  <c r="M268" i="14"/>
  <c r="M266" i="14" s="1"/>
  <c r="L214" i="14"/>
  <c r="O214" i="14" s="1"/>
  <c r="L203" i="14"/>
  <c r="O203" i="14" s="1"/>
  <c r="P191" i="14"/>
  <c r="Q175" i="14"/>
  <c r="T175" i="14" s="1"/>
  <c r="T147" i="14"/>
  <c r="T122" i="14"/>
  <c r="M119" i="14"/>
  <c r="P119" i="14" s="1"/>
  <c r="P99" i="14"/>
  <c r="P77" i="14"/>
  <c r="M75" i="14"/>
  <c r="P75" i="14" s="1"/>
  <c r="S44" i="14"/>
  <c r="M322" i="13"/>
  <c r="M320" i="13" s="1"/>
  <c r="P418" i="10"/>
  <c r="J702" i="12"/>
  <c r="K726" i="13"/>
  <c r="Q616" i="13"/>
  <c r="P418" i="13"/>
  <c r="S413" i="13"/>
  <c r="J351" i="13"/>
  <c r="L236" i="13"/>
  <c r="Q762" i="14"/>
  <c r="T765" i="14"/>
  <c r="M760" i="14"/>
  <c r="P760" i="14" s="1"/>
  <c r="P761" i="14"/>
  <c r="Q731" i="14"/>
  <c r="T731" i="14" s="1"/>
  <c r="Q730" i="14"/>
  <c r="T733" i="14"/>
  <c r="L728" i="14"/>
  <c r="O728" i="14" s="1"/>
  <c r="O729" i="14"/>
  <c r="N714" i="14"/>
  <c r="R644" i="14"/>
  <c r="U647" i="14"/>
  <c r="P577" i="14"/>
  <c r="P539" i="14"/>
  <c r="M537" i="14"/>
  <c r="P537" i="14" s="1"/>
  <c r="M536" i="14"/>
  <c r="P536" i="14" s="1"/>
  <c r="R534" i="14"/>
  <c r="U534" i="14" s="1"/>
  <c r="U535" i="14"/>
  <c r="N495" i="14"/>
  <c r="N493" i="14" s="1"/>
  <c r="L26" i="14"/>
  <c r="O26" i="14" s="1"/>
  <c r="L50" i="14"/>
  <c r="O50" i="14" s="1"/>
  <c r="O52" i="14"/>
  <c r="P328" i="13"/>
  <c r="M326" i="13"/>
  <c r="P326" i="13" s="1"/>
  <c r="Q159" i="13"/>
  <c r="T159" i="13" s="1"/>
  <c r="T162" i="13"/>
  <c r="Q160" i="13"/>
  <c r="T160" i="13" s="1"/>
  <c r="M78" i="13"/>
  <c r="P78" i="13" s="1"/>
  <c r="P80" i="13"/>
  <c r="L65" i="13"/>
  <c r="O65" i="13" s="1"/>
  <c r="O67" i="13"/>
  <c r="R763" i="14"/>
  <c r="U763" i="14" s="1"/>
  <c r="R762" i="14"/>
  <c r="U762" i="14" s="1"/>
  <c r="U765" i="14"/>
  <c r="M728" i="14"/>
  <c r="P728" i="14" s="1"/>
  <c r="Q714" i="14"/>
  <c r="T714" i="14" s="1"/>
  <c r="T715" i="14"/>
  <c r="M690" i="14"/>
  <c r="P690" i="14" s="1"/>
  <c r="P691" i="14"/>
  <c r="S645" i="14"/>
  <c r="S644" i="14"/>
  <c r="S642" i="14" s="1"/>
  <c r="N536" i="14"/>
  <c r="N534" i="14" s="1"/>
  <c r="N537" i="14"/>
  <c r="I374" i="14"/>
  <c r="K374" i="14" s="1"/>
  <c r="K388" i="14"/>
  <c r="K709" i="12"/>
  <c r="L233" i="12"/>
  <c r="K707" i="13"/>
  <c r="I701" i="13"/>
  <c r="L578" i="13"/>
  <c r="O578" i="13" s="1"/>
  <c r="P521" i="13"/>
  <c r="N516" i="13"/>
  <c r="R413" i="13"/>
  <c r="Q395" i="13"/>
  <c r="T395" i="13" s="1"/>
  <c r="Q394" i="13"/>
  <c r="T394" i="13" s="1"/>
  <c r="T397" i="13"/>
  <c r="M362" i="13"/>
  <c r="P362" i="13" s="1"/>
  <c r="P364" i="13"/>
  <c r="L760" i="14"/>
  <c r="O760" i="14" s="1"/>
  <c r="O761" i="14"/>
  <c r="M714" i="14"/>
  <c r="P714" i="14" s="1"/>
  <c r="S693" i="14"/>
  <c r="T693" i="14" s="1"/>
  <c r="T695" i="14"/>
  <c r="S692" i="14"/>
  <c r="N515" i="14"/>
  <c r="N513" i="14" s="1"/>
  <c r="N516" i="14"/>
  <c r="Q493" i="14"/>
  <c r="T493" i="14" s="1"/>
  <c r="Q415" i="14"/>
  <c r="T418" i="14"/>
  <c r="T140" i="14"/>
  <c r="O102" i="14"/>
  <c r="L96" i="14"/>
  <c r="L100" i="14"/>
  <c r="O100" i="14" s="1"/>
  <c r="R94" i="14"/>
  <c r="O581" i="12"/>
  <c r="O287" i="12"/>
  <c r="O584" i="13"/>
  <c r="O421" i="13"/>
  <c r="L362" i="13"/>
  <c r="O362" i="13" s="1"/>
  <c r="O364" i="13"/>
  <c r="R692" i="14"/>
  <c r="U695" i="14"/>
  <c r="P418" i="11"/>
  <c r="K369" i="12"/>
  <c r="K346" i="12"/>
  <c r="I138" i="12"/>
  <c r="K138" i="12" s="1"/>
  <c r="J702" i="13"/>
  <c r="M601" i="13"/>
  <c r="M599" i="13" s="1"/>
  <c r="S495" i="13"/>
  <c r="S493" i="13" s="1"/>
  <c r="M145" i="13"/>
  <c r="P145" i="13" s="1"/>
  <c r="S96" i="13"/>
  <c r="S94" i="13" s="1"/>
  <c r="S97" i="13"/>
  <c r="T97" i="13" s="1"/>
  <c r="U761" i="14"/>
  <c r="T729" i="14"/>
  <c r="S714" i="14"/>
  <c r="M642" i="14"/>
  <c r="P642" i="14" s="1"/>
  <c r="P643" i="14"/>
  <c r="L558" i="14"/>
  <c r="O558" i="14" s="1"/>
  <c r="O560" i="14"/>
  <c r="T397" i="11"/>
  <c r="M309" i="13"/>
  <c r="P309" i="13" s="1"/>
  <c r="P311" i="13"/>
  <c r="K293" i="13"/>
  <c r="I280" i="13"/>
  <c r="K280" i="13" s="1"/>
  <c r="L175" i="13"/>
  <c r="L173" i="13" s="1"/>
  <c r="Q120" i="13"/>
  <c r="T122" i="13"/>
  <c r="I758" i="14"/>
  <c r="K758" i="14" s="1"/>
  <c r="K772" i="14"/>
  <c r="U729" i="14"/>
  <c r="L714" i="14"/>
  <c r="O714" i="14" s="1"/>
  <c r="O715" i="14"/>
  <c r="P607" i="14"/>
  <c r="M605" i="14"/>
  <c r="P605" i="14" s="1"/>
  <c r="L536" i="13"/>
  <c r="O536" i="13" s="1"/>
  <c r="U415" i="13"/>
  <c r="S145" i="13"/>
  <c r="S141" i="13"/>
  <c r="S139" i="13" s="1"/>
  <c r="N728" i="14"/>
  <c r="R714" i="14"/>
  <c r="U714" i="14" s="1"/>
  <c r="U715" i="14"/>
  <c r="J702" i="14"/>
  <c r="R693" i="14"/>
  <c r="K632" i="14"/>
  <c r="J626" i="14"/>
  <c r="J615" i="14" s="1"/>
  <c r="U621" i="14"/>
  <c r="S618" i="14"/>
  <c r="S616" i="14" s="1"/>
  <c r="O535" i="14"/>
  <c r="I456" i="14"/>
  <c r="L358" i="13"/>
  <c r="L356" i="13" s="1"/>
  <c r="L254" i="13"/>
  <c r="O254" i="13" s="1"/>
  <c r="R189" i="13"/>
  <c r="U189" i="13" s="1"/>
  <c r="U122" i="13"/>
  <c r="U99" i="13"/>
  <c r="S762" i="14"/>
  <c r="S760" i="14" s="1"/>
  <c r="I759" i="14"/>
  <c r="K759" i="14" s="1"/>
  <c r="U733" i="14"/>
  <c r="R730" i="14"/>
  <c r="P729" i="14"/>
  <c r="P715" i="14"/>
  <c r="K707" i="14"/>
  <c r="K630" i="14"/>
  <c r="O618" i="14"/>
  <c r="P604" i="14"/>
  <c r="M602" i="14"/>
  <c r="P602" i="14" s="1"/>
  <c r="M601" i="14"/>
  <c r="P601" i="14" s="1"/>
  <c r="O584" i="14"/>
  <c r="S576" i="14"/>
  <c r="O577" i="14"/>
  <c r="O563" i="14"/>
  <c r="Q555" i="14"/>
  <c r="T555" i="14" s="1"/>
  <c r="R513" i="14"/>
  <c r="U513" i="14" s="1"/>
  <c r="P501" i="14"/>
  <c r="M495" i="14"/>
  <c r="P495" i="14" s="1"/>
  <c r="P494" i="14"/>
  <c r="J458" i="14"/>
  <c r="O418" i="14"/>
  <c r="L416" i="14"/>
  <c r="O416" i="14" s="1"/>
  <c r="S395" i="14"/>
  <c r="S394" i="14"/>
  <c r="S392" i="14" s="1"/>
  <c r="I365" i="14"/>
  <c r="K365" i="14" s="1"/>
  <c r="N335" i="14"/>
  <c r="N333" i="14" s="1"/>
  <c r="N336" i="14"/>
  <c r="O287" i="14"/>
  <c r="L284" i="14"/>
  <c r="L285" i="14"/>
  <c r="O285" i="14" s="1"/>
  <c r="T267" i="14"/>
  <c r="K365" i="13"/>
  <c r="K368" i="13"/>
  <c r="J343" i="13"/>
  <c r="K276" i="13"/>
  <c r="K629" i="14"/>
  <c r="L601" i="14"/>
  <c r="O601" i="14" s="1"/>
  <c r="P581" i="14"/>
  <c r="M579" i="14"/>
  <c r="P579" i="14" s="1"/>
  <c r="R576" i="14"/>
  <c r="U576" i="14" s="1"/>
  <c r="U577" i="14"/>
  <c r="O518" i="14"/>
  <c r="L516" i="14"/>
  <c r="O516" i="14" s="1"/>
  <c r="Q513" i="14"/>
  <c r="T513" i="14" s="1"/>
  <c r="T514" i="14"/>
  <c r="K503" i="14"/>
  <c r="J457" i="14"/>
  <c r="J456" i="14" s="1"/>
  <c r="O414" i="14"/>
  <c r="R395" i="14"/>
  <c r="U395" i="14" s="1"/>
  <c r="U397" i="14"/>
  <c r="L377" i="14"/>
  <c r="S159" i="14"/>
  <c r="S157" i="14" s="1"/>
  <c r="S160" i="14"/>
  <c r="S19" i="14"/>
  <c r="L203" i="13"/>
  <c r="O203" i="13" s="1"/>
  <c r="K169" i="13"/>
  <c r="O600" i="14"/>
  <c r="P563" i="14"/>
  <c r="M561" i="14"/>
  <c r="P561" i="14" s="1"/>
  <c r="K506" i="14"/>
  <c r="M392" i="14"/>
  <c r="P392" i="14" s="1"/>
  <c r="P393" i="14"/>
  <c r="M377" i="14"/>
  <c r="Q141" i="14"/>
  <c r="T141" i="14" s="1"/>
  <c r="T144" i="14"/>
  <c r="Q142" i="14"/>
  <c r="T142" i="14" s="1"/>
  <c r="U600" i="14"/>
  <c r="R493" i="14"/>
  <c r="U493" i="14" s="1"/>
  <c r="R416" i="14"/>
  <c r="U416" i="14" s="1"/>
  <c r="R415" i="14"/>
  <c r="M381" i="14"/>
  <c r="P381" i="14" s="1"/>
  <c r="P383" i="14"/>
  <c r="S377" i="14"/>
  <c r="S375" i="14" s="1"/>
  <c r="S378" i="14"/>
  <c r="J343" i="14"/>
  <c r="J332" i="14"/>
  <c r="K332" i="14" s="1"/>
  <c r="Q333" i="14"/>
  <c r="T333" i="14" s="1"/>
  <c r="M305" i="14"/>
  <c r="P311" i="14"/>
  <c r="M309" i="14"/>
  <c r="P309" i="14" s="1"/>
  <c r="L358" i="14"/>
  <c r="T358" i="14"/>
  <c r="N358" i="14"/>
  <c r="N356" i="14" s="1"/>
  <c r="O357" i="14"/>
  <c r="U308" i="14"/>
  <c r="R306" i="14"/>
  <c r="O304" i="14"/>
  <c r="M269" i="14"/>
  <c r="O191" i="14"/>
  <c r="L189" i="14"/>
  <c r="L188" i="14"/>
  <c r="N145" i="14"/>
  <c r="N141" i="14"/>
  <c r="N139" i="14" s="1"/>
  <c r="R59" i="14"/>
  <c r="U59" i="14" s="1"/>
  <c r="U61" i="14"/>
  <c r="T380" i="14"/>
  <c r="Q378" i="14"/>
  <c r="R378" i="14"/>
  <c r="U378" i="14" s="1"/>
  <c r="R377" i="14"/>
  <c r="K344" i="14"/>
  <c r="O338" i="14"/>
  <c r="L336" i="14"/>
  <c r="L335" i="14"/>
  <c r="U304" i="14"/>
  <c r="R282" i="14"/>
  <c r="U282" i="14" s="1"/>
  <c r="U271" i="14"/>
  <c r="S268" i="14"/>
  <c r="S266" i="14" s="1"/>
  <c r="S269" i="14"/>
  <c r="T269" i="14" s="1"/>
  <c r="K260" i="14"/>
  <c r="I253" i="14"/>
  <c r="K253" i="14" s="1"/>
  <c r="U191" i="14"/>
  <c r="R189" i="14"/>
  <c r="U189" i="14" s="1"/>
  <c r="R188" i="14"/>
  <c r="O19" i="14"/>
  <c r="I281" i="14"/>
  <c r="K281" i="14" s="1"/>
  <c r="K292" i="14"/>
  <c r="U125" i="14"/>
  <c r="R123" i="14"/>
  <c r="U123" i="14" s="1"/>
  <c r="N23" i="14"/>
  <c r="N119" i="14"/>
  <c r="N117" i="14" s="1"/>
  <c r="N120" i="14"/>
  <c r="Q394" i="14"/>
  <c r="T394" i="14" s="1"/>
  <c r="T397" i="14"/>
  <c r="L381" i="14"/>
  <c r="O381" i="14" s="1"/>
  <c r="M378" i="14"/>
  <c r="P378" i="14" s="1"/>
  <c r="Q375" i="14"/>
  <c r="O364" i="14"/>
  <c r="L362" i="14"/>
  <c r="O362" i="14" s="1"/>
  <c r="R333" i="14"/>
  <c r="U333" i="14" s="1"/>
  <c r="U305" i="14"/>
  <c r="K229" i="14"/>
  <c r="I221" i="14"/>
  <c r="K221" i="14" s="1"/>
  <c r="R142" i="14"/>
  <c r="U142" i="14" s="1"/>
  <c r="R141" i="14"/>
  <c r="U141" i="14" s="1"/>
  <c r="U144" i="14"/>
  <c r="P52" i="14"/>
  <c r="M26" i="14"/>
  <c r="P26" i="14" s="1"/>
  <c r="M50" i="14"/>
  <c r="P50" i="14" s="1"/>
  <c r="L46" i="14"/>
  <c r="P338" i="14"/>
  <c r="T334" i="14"/>
  <c r="U321" i="14"/>
  <c r="T308" i="14"/>
  <c r="Q305" i="14"/>
  <c r="T305" i="14" s="1"/>
  <c r="T271" i="14"/>
  <c r="I265" i="14"/>
  <c r="K265" i="14" s="1"/>
  <c r="K198" i="14"/>
  <c r="T191" i="14"/>
  <c r="Q189" i="14"/>
  <c r="T189" i="14" s="1"/>
  <c r="N163" i="14"/>
  <c r="N159" i="14"/>
  <c r="N157" i="14" s="1"/>
  <c r="K152" i="14"/>
  <c r="P147" i="14"/>
  <c r="M145" i="14"/>
  <c r="P145" i="14" s="1"/>
  <c r="U22" i="14"/>
  <c r="M322" i="14"/>
  <c r="M288" i="14"/>
  <c r="P288" i="14" s="1"/>
  <c r="M284" i="14"/>
  <c r="L243" i="14"/>
  <c r="K209" i="14"/>
  <c r="O194" i="14"/>
  <c r="L192" i="14"/>
  <c r="O192" i="14" s="1"/>
  <c r="T95" i="14"/>
  <c r="P45" i="14"/>
  <c r="U194" i="14"/>
  <c r="R192" i="14"/>
  <c r="U192" i="14" s="1"/>
  <c r="N175" i="14"/>
  <c r="N176" i="14"/>
  <c r="P162" i="14"/>
  <c r="M159" i="14"/>
  <c r="N26" i="14"/>
  <c r="N24" i="14" s="1"/>
  <c r="S26" i="14"/>
  <c r="S24" i="14" s="1"/>
  <c r="O80" i="14"/>
  <c r="L74" i="14"/>
  <c r="P60" i="14"/>
  <c r="U19" i="14"/>
  <c r="K302" i="14"/>
  <c r="K230" i="14"/>
  <c r="L222" i="14"/>
  <c r="O222" i="14" s="1"/>
  <c r="T194" i="14"/>
  <c r="Q192" i="14"/>
  <c r="T192" i="14" s="1"/>
  <c r="U175" i="14"/>
  <c r="R173" i="14"/>
  <c r="U173" i="14" s="1"/>
  <c r="O162" i="14"/>
  <c r="L159" i="14"/>
  <c r="O159" i="14" s="1"/>
  <c r="L160" i="14"/>
  <c r="O160" i="14" s="1"/>
  <c r="R26" i="14"/>
  <c r="U26" i="14" s="1"/>
  <c r="U80" i="14"/>
  <c r="R74" i="14"/>
  <c r="R78" i="14"/>
  <c r="U78" i="14" s="1"/>
  <c r="M46" i="14"/>
  <c r="M44" i="14" s="1"/>
  <c r="U25" i="14"/>
  <c r="S141" i="14"/>
  <c r="S139" i="14" s="1"/>
  <c r="L141" i="14"/>
  <c r="O141" i="14" s="1"/>
  <c r="Q119" i="14"/>
  <c r="U99" i="14"/>
  <c r="S96" i="14"/>
  <c r="Q26" i="14"/>
  <c r="T80" i="14"/>
  <c r="P62" i="14"/>
  <c r="P19" i="14"/>
  <c r="M176" i="14"/>
  <c r="R160" i="14"/>
  <c r="U160" i="14" s="1"/>
  <c r="K127" i="14"/>
  <c r="M120" i="14"/>
  <c r="P120" i="14" s="1"/>
  <c r="T99" i="14"/>
  <c r="I83" i="14"/>
  <c r="K85" i="14"/>
  <c r="Q78" i="14"/>
  <c r="T78" i="14" s="1"/>
  <c r="R23" i="14"/>
  <c r="P67" i="14"/>
  <c r="M65" i="14"/>
  <c r="P65" i="14" s="1"/>
  <c r="M61" i="14"/>
  <c r="L62" i="14"/>
  <c r="O62" i="14" s="1"/>
  <c r="P25" i="14"/>
  <c r="M179" i="14"/>
  <c r="P179" i="14" s="1"/>
  <c r="I82" i="14"/>
  <c r="Q23" i="14"/>
  <c r="T77" i="14"/>
  <c r="O25" i="14"/>
  <c r="P22" i="14"/>
  <c r="P178" i="14"/>
  <c r="R159" i="14"/>
  <c r="O158" i="14"/>
  <c r="O147" i="14"/>
  <c r="M142" i="14"/>
  <c r="P142" i="14" s="1"/>
  <c r="T125" i="14"/>
  <c r="R120" i="14"/>
  <c r="U120" i="14" s="1"/>
  <c r="Q75" i="14"/>
  <c r="T75" i="14" s="1"/>
  <c r="Q74" i="14"/>
  <c r="O22" i="14"/>
  <c r="N46" i="14"/>
  <c r="N44" i="14" s="1"/>
  <c r="S23" i="14"/>
  <c r="M23" i="14"/>
  <c r="L23" i="14"/>
  <c r="R192" i="13"/>
  <c r="U192" i="13" s="1"/>
  <c r="U194" i="13"/>
  <c r="I138" i="13"/>
  <c r="K138" i="13" s="1"/>
  <c r="K153" i="13"/>
  <c r="K780" i="13"/>
  <c r="Q760" i="13"/>
  <c r="T760" i="13" s="1"/>
  <c r="T761" i="13"/>
  <c r="J626" i="13"/>
  <c r="K632" i="13"/>
  <c r="N557" i="13"/>
  <c r="N555" i="13" s="1"/>
  <c r="N558" i="13"/>
  <c r="Q305" i="13"/>
  <c r="Q303" i="13" s="1"/>
  <c r="T308" i="13"/>
  <c r="Q282" i="13"/>
  <c r="T282" i="13" s="1"/>
  <c r="T283" i="13"/>
  <c r="L214" i="13"/>
  <c r="O214" i="13" s="1"/>
  <c r="L160" i="13"/>
  <c r="O160" i="13" s="1"/>
  <c r="O162" i="13"/>
  <c r="L75" i="13"/>
  <c r="O75" i="13" s="1"/>
  <c r="M47" i="13"/>
  <c r="P47" i="13" s="1"/>
  <c r="P49" i="13"/>
  <c r="R19" i="13"/>
  <c r="U22" i="13"/>
  <c r="T498" i="13"/>
  <c r="Q496" i="13"/>
  <c r="T496" i="13" s="1"/>
  <c r="R268" i="1"/>
  <c r="R693" i="12"/>
  <c r="U693" i="12" s="1"/>
  <c r="U194" i="12"/>
  <c r="R192" i="12"/>
  <c r="U192" i="12" s="1"/>
  <c r="N760" i="13"/>
  <c r="P729" i="13"/>
  <c r="M728" i="13"/>
  <c r="P728" i="13" s="1"/>
  <c r="K344" i="13"/>
  <c r="I332" i="13"/>
  <c r="K265" i="13"/>
  <c r="K172" i="13"/>
  <c r="K137" i="13"/>
  <c r="R305" i="13"/>
  <c r="R303" i="13" s="1"/>
  <c r="R306" i="13"/>
  <c r="U306" i="13" s="1"/>
  <c r="U308" i="13"/>
  <c r="M75" i="13"/>
  <c r="P75" i="13" s="1"/>
  <c r="P77" i="13"/>
  <c r="Q269" i="10"/>
  <c r="T498" i="11"/>
  <c r="Q123" i="11"/>
  <c r="T123" i="11" s="1"/>
  <c r="R731" i="12"/>
  <c r="Q305" i="12"/>
  <c r="T305" i="12" s="1"/>
  <c r="T308" i="12"/>
  <c r="L728" i="13"/>
  <c r="O728" i="13" s="1"/>
  <c r="O729" i="13"/>
  <c r="P715" i="13"/>
  <c r="M714" i="13"/>
  <c r="P714" i="13" s="1"/>
  <c r="Q306" i="13"/>
  <c r="T306" i="13" s="1"/>
  <c r="Q188" i="13"/>
  <c r="Q186" i="13" s="1"/>
  <c r="Q189" i="13"/>
  <c r="T189" i="13" s="1"/>
  <c r="T191" i="13"/>
  <c r="P178" i="13"/>
  <c r="R160" i="13"/>
  <c r="U160" i="13" s="1"/>
  <c r="U162" i="13"/>
  <c r="R159" i="13"/>
  <c r="R157" i="13" s="1"/>
  <c r="U157" i="13" s="1"/>
  <c r="U125" i="13"/>
  <c r="R123" i="13"/>
  <c r="U123" i="13" s="1"/>
  <c r="P328" i="12"/>
  <c r="M326" i="12"/>
  <c r="P326" i="12" s="1"/>
  <c r="L285" i="13"/>
  <c r="O285" i="13" s="1"/>
  <c r="O287" i="13"/>
  <c r="M159" i="13"/>
  <c r="P159" i="13" s="1"/>
  <c r="P162" i="13"/>
  <c r="K784" i="11"/>
  <c r="T144" i="11"/>
  <c r="M96" i="11"/>
  <c r="P96" i="11" s="1"/>
  <c r="T498" i="12"/>
  <c r="Q495" i="12"/>
  <c r="T495" i="12" s="1"/>
  <c r="L254" i="12"/>
  <c r="O254" i="12" s="1"/>
  <c r="L75" i="12"/>
  <c r="O75" i="12" s="1"/>
  <c r="O77" i="12"/>
  <c r="K774" i="13"/>
  <c r="I759" i="13"/>
  <c r="K759" i="13" s="1"/>
  <c r="S728" i="13"/>
  <c r="L714" i="13"/>
  <c r="O714" i="13" s="1"/>
  <c r="O715" i="13"/>
  <c r="J701" i="13"/>
  <c r="O617" i="13"/>
  <c r="L616" i="13"/>
  <c r="O616" i="13" s="1"/>
  <c r="L305" i="13"/>
  <c r="O305" i="13" s="1"/>
  <c r="O308" i="13"/>
  <c r="L306" i="13"/>
  <c r="O306" i="13" s="1"/>
  <c r="Q192" i="13"/>
  <c r="T192" i="13" s="1"/>
  <c r="M176" i="13"/>
  <c r="M175" i="13"/>
  <c r="M173" i="13" s="1"/>
  <c r="N96" i="13"/>
  <c r="N94" i="13" s="1"/>
  <c r="P414" i="13"/>
  <c r="U621" i="11"/>
  <c r="O563" i="11"/>
  <c r="K779" i="12"/>
  <c r="S762" i="12"/>
  <c r="S760" i="12" s="1"/>
  <c r="R644" i="12"/>
  <c r="U644" i="12" s="1"/>
  <c r="U647" i="12"/>
  <c r="M339" i="12"/>
  <c r="P339" i="12" s="1"/>
  <c r="P341" i="12"/>
  <c r="I137" i="12"/>
  <c r="K137" i="12" s="1"/>
  <c r="K152" i="12"/>
  <c r="K127" i="12"/>
  <c r="S601" i="13"/>
  <c r="S599" i="13" s="1"/>
  <c r="Q495" i="13"/>
  <c r="Q493" i="13" s="1"/>
  <c r="O416" i="13"/>
  <c r="P416" i="13"/>
  <c r="L392" i="13"/>
  <c r="O392" i="13" s="1"/>
  <c r="O394" i="13"/>
  <c r="L235" i="13"/>
  <c r="L192" i="13"/>
  <c r="O192" i="13" s="1"/>
  <c r="M96" i="13"/>
  <c r="M94" i="13" s="1"/>
  <c r="M97" i="13"/>
  <c r="K84" i="13"/>
  <c r="I82" i="13"/>
  <c r="K82" i="13" s="1"/>
  <c r="L61" i="13"/>
  <c r="L59" i="13" s="1"/>
  <c r="L62" i="13"/>
  <c r="O62" i="13" s="1"/>
  <c r="Q44" i="13"/>
  <c r="T44" i="13" s="1"/>
  <c r="T45" i="13"/>
  <c r="M760" i="13"/>
  <c r="P760" i="13" s="1"/>
  <c r="S731" i="13"/>
  <c r="T731" i="13" s="1"/>
  <c r="R714" i="13"/>
  <c r="U714" i="13" s="1"/>
  <c r="O691" i="13"/>
  <c r="T647" i="13"/>
  <c r="S642" i="13"/>
  <c r="T556" i="13"/>
  <c r="O521" i="13"/>
  <c r="O418" i="13"/>
  <c r="T393" i="13"/>
  <c r="M377" i="13"/>
  <c r="P377" i="13" s="1"/>
  <c r="R378" i="13"/>
  <c r="O328" i="13"/>
  <c r="I319" i="13"/>
  <c r="K319" i="13" s="1"/>
  <c r="O311" i="13"/>
  <c r="P308" i="13"/>
  <c r="N305" i="13"/>
  <c r="N303" i="13" s="1"/>
  <c r="P287" i="13"/>
  <c r="T271" i="13"/>
  <c r="K209" i="13"/>
  <c r="N141" i="13"/>
  <c r="N139" i="13" s="1"/>
  <c r="P125" i="13"/>
  <c r="M119" i="13"/>
  <c r="P119" i="13" s="1"/>
  <c r="K108" i="13"/>
  <c r="T99" i="13"/>
  <c r="R74" i="13"/>
  <c r="U74" i="13" s="1"/>
  <c r="L415" i="12"/>
  <c r="O415" i="12" s="1"/>
  <c r="L760" i="13"/>
  <c r="O760" i="13" s="1"/>
  <c r="Q714" i="13"/>
  <c r="T714" i="13" s="1"/>
  <c r="Q601" i="13"/>
  <c r="T601" i="13" s="1"/>
  <c r="L557" i="13"/>
  <c r="S555" i="13"/>
  <c r="N536" i="13"/>
  <c r="N534" i="13" s="1"/>
  <c r="U498" i="13"/>
  <c r="R496" i="13"/>
  <c r="U496" i="13" s="1"/>
  <c r="R493" i="13"/>
  <c r="U418" i="13"/>
  <c r="N415" i="13"/>
  <c r="N413" i="13" s="1"/>
  <c r="J374" i="13"/>
  <c r="L377" i="13"/>
  <c r="O377" i="13" s="1"/>
  <c r="Q378" i="13"/>
  <c r="N335" i="13"/>
  <c r="N333" i="13" s="1"/>
  <c r="K314" i="13"/>
  <c r="N284" i="13"/>
  <c r="N282" i="13" s="1"/>
  <c r="Q269" i="13"/>
  <c r="T269" i="13" s="1"/>
  <c r="L188" i="13"/>
  <c r="L186" i="13" s="1"/>
  <c r="S175" i="13"/>
  <c r="S173" i="13" s="1"/>
  <c r="P165" i="13"/>
  <c r="K154" i="13"/>
  <c r="M141" i="13"/>
  <c r="S119" i="13"/>
  <c r="S117" i="13" s="1"/>
  <c r="Q74" i="13"/>
  <c r="T74" i="13" s="1"/>
  <c r="P64" i="13"/>
  <c r="N19" i="13"/>
  <c r="I242" i="12"/>
  <c r="K242" i="12" s="1"/>
  <c r="L495" i="13"/>
  <c r="L493" i="13" s="1"/>
  <c r="J457" i="13"/>
  <c r="M415" i="13"/>
  <c r="S416" i="13"/>
  <c r="N358" i="13"/>
  <c r="N356" i="13" s="1"/>
  <c r="N359" i="13"/>
  <c r="I238" i="13"/>
  <c r="K238" i="13" s="1"/>
  <c r="L189" i="13"/>
  <c r="R175" i="13"/>
  <c r="U175" i="13" s="1"/>
  <c r="Q145" i="13"/>
  <c r="T145" i="13" s="1"/>
  <c r="R141" i="13"/>
  <c r="R139" i="13" s="1"/>
  <c r="L141" i="13"/>
  <c r="L139" i="13" s="1"/>
  <c r="R142" i="13"/>
  <c r="U142" i="13" s="1"/>
  <c r="R59" i="13"/>
  <c r="U59" i="13" s="1"/>
  <c r="N268" i="12"/>
  <c r="N266" i="12" s="1"/>
  <c r="N642" i="13"/>
  <c r="L415" i="13"/>
  <c r="R416" i="13"/>
  <c r="T377" i="13"/>
  <c r="N322" i="13"/>
  <c r="N320" i="13" s="1"/>
  <c r="N323" i="13"/>
  <c r="M288" i="13"/>
  <c r="P288" i="13" s="1"/>
  <c r="S282" i="13"/>
  <c r="S268" i="13"/>
  <c r="S266" i="13" s="1"/>
  <c r="T266" i="13" s="1"/>
  <c r="J231" i="13"/>
  <c r="J185" i="13" s="1"/>
  <c r="R188" i="13"/>
  <c r="R186" i="13" s="1"/>
  <c r="P181" i="13"/>
  <c r="O178" i="13"/>
  <c r="S157" i="13"/>
  <c r="T144" i="13"/>
  <c r="M142" i="13"/>
  <c r="Q119" i="13"/>
  <c r="T119" i="13" s="1"/>
  <c r="S59" i="13"/>
  <c r="Q59" i="13"/>
  <c r="T59" i="13" s="1"/>
  <c r="L47" i="13"/>
  <c r="O47" i="13" s="1"/>
  <c r="S19" i="13"/>
  <c r="L19" i="13"/>
  <c r="M419" i="11"/>
  <c r="P419" i="11" s="1"/>
  <c r="P421" i="11"/>
  <c r="R268" i="12"/>
  <c r="R266" i="12" s="1"/>
  <c r="U271" i="12"/>
  <c r="M192" i="12"/>
  <c r="P192" i="12" s="1"/>
  <c r="P194" i="12"/>
  <c r="R75" i="12"/>
  <c r="U75" i="12" s="1"/>
  <c r="U77" i="12"/>
  <c r="R762" i="13"/>
  <c r="U762" i="13" s="1"/>
  <c r="T733" i="13"/>
  <c r="Q730" i="13"/>
  <c r="T730" i="13" s="1"/>
  <c r="M189" i="11"/>
  <c r="P189" i="11" s="1"/>
  <c r="P191" i="11"/>
  <c r="M519" i="12"/>
  <c r="P519" i="12" s="1"/>
  <c r="P521" i="12"/>
  <c r="S377" i="12"/>
  <c r="S375" i="12" s="1"/>
  <c r="S378" i="12"/>
  <c r="O308" i="12"/>
  <c r="L306" i="12"/>
  <c r="O306" i="12" s="1"/>
  <c r="I253" i="12"/>
  <c r="K253" i="12" s="1"/>
  <c r="K260" i="12"/>
  <c r="I238" i="12"/>
  <c r="K238" i="12" s="1"/>
  <c r="U765" i="13"/>
  <c r="Q690" i="13"/>
  <c r="K781" i="11"/>
  <c r="I689" i="12"/>
  <c r="K689" i="12" s="1"/>
  <c r="K707" i="12"/>
  <c r="R375" i="12"/>
  <c r="O328" i="12"/>
  <c r="O80" i="12"/>
  <c r="O581" i="11"/>
  <c r="M78" i="11"/>
  <c r="P78" i="11" s="1"/>
  <c r="P80" i="11"/>
  <c r="I456" i="12"/>
  <c r="K456" i="12" s="1"/>
  <c r="K457" i="12"/>
  <c r="K344" i="12"/>
  <c r="I332" i="12"/>
  <c r="K249" i="10"/>
  <c r="I242" i="10"/>
  <c r="K242" i="10" s="1"/>
  <c r="I93" i="11"/>
  <c r="K93" i="11" s="1"/>
  <c r="K109" i="11"/>
  <c r="S142" i="12"/>
  <c r="T142" i="12" s="1"/>
  <c r="T144" i="12"/>
  <c r="P761" i="13"/>
  <c r="J456" i="13"/>
  <c r="K456" i="13" s="1"/>
  <c r="K457" i="13"/>
  <c r="I137" i="10"/>
  <c r="K137" i="10" s="1"/>
  <c r="K152" i="10"/>
  <c r="O542" i="12"/>
  <c r="I492" i="12"/>
  <c r="K492" i="12" s="1"/>
  <c r="K503" i="12"/>
  <c r="M188" i="12"/>
  <c r="M186" i="12" s="1"/>
  <c r="I758" i="13"/>
  <c r="K758" i="13" s="1"/>
  <c r="K772" i="13"/>
  <c r="U729" i="13"/>
  <c r="K727" i="13"/>
  <c r="O643" i="13"/>
  <c r="U600" i="13"/>
  <c r="Q576" i="13"/>
  <c r="T576" i="13" s="1"/>
  <c r="T577" i="13"/>
  <c r="K785" i="11"/>
  <c r="J702" i="11"/>
  <c r="K778" i="12"/>
  <c r="K705" i="12"/>
  <c r="U695" i="12"/>
  <c r="I374" i="12"/>
  <c r="K705" i="13"/>
  <c r="Q644" i="13"/>
  <c r="R618" i="13"/>
  <c r="U621" i="13"/>
  <c r="O607" i="13"/>
  <c r="L605" i="13"/>
  <c r="O605" i="13" s="1"/>
  <c r="T600" i="13"/>
  <c r="P581" i="13"/>
  <c r="M579" i="13"/>
  <c r="P579" i="13" s="1"/>
  <c r="N578" i="13"/>
  <c r="N576" i="13" s="1"/>
  <c r="P501" i="13"/>
  <c r="M495" i="13"/>
  <c r="N496" i="13"/>
  <c r="O496" i="13" s="1"/>
  <c r="N495" i="13"/>
  <c r="N493" i="13" s="1"/>
  <c r="S394" i="13"/>
  <c r="S392" i="13" s="1"/>
  <c r="S395" i="13"/>
  <c r="S378" i="13"/>
  <c r="T380" i="13"/>
  <c r="U380" i="13"/>
  <c r="N269" i="13"/>
  <c r="O269" i="13" s="1"/>
  <c r="N268" i="13"/>
  <c r="N266" i="13" s="1"/>
  <c r="K87" i="13"/>
  <c r="I83" i="13"/>
  <c r="P607" i="13"/>
  <c r="M605" i="13"/>
  <c r="P605" i="13" s="1"/>
  <c r="O604" i="13"/>
  <c r="L602" i="13"/>
  <c r="O602" i="13" s="1"/>
  <c r="O539" i="13"/>
  <c r="L537" i="13"/>
  <c r="O537" i="13" s="1"/>
  <c r="U283" i="13"/>
  <c r="R282" i="13"/>
  <c r="U282" i="13" s="1"/>
  <c r="K230" i="13"/>
  <c r="K198" i="13"/>
  <c r="I195" i="13"/>
  <c r="K195" i="13" s="1"/>
  <c r="M578" i="11"/>
  <c r="P578" i="11" s="1"/>
  <c r="P364" i="11"/>
  <c r="L236" i="11"/>
  <c r="S619" i="12"/>
  <c r="T619" i="12" s="1"/>
  <c r="O563" i="12"/>
  <c r="K440" i="12"/>
  <c r="N322" i="12"/>
  <c r="N320" i="12" s="1"/>
  <c r="M288" i="12"/>
  <c r="P288" i="12" s="1"/>
  <c r="I265" i="12"/>
  <c r="K265" i="12" s="1"/>
  <c r="L243" i="12"/>
  <c r="O243" i="12" s="1"/>
  <c r="N188" i="12"/>
  <c r="N186" i="12" s="1"/>
  <c r="M96" i="12"/>
  <c r="M94" i="12" s="1"/>
  <c r="P94" i="12" s="1"/>
  <c r="S762" i="13"/>
  <c r="S760" i="13" s="1"/>
  <c r="U733" i="13"/>
  <c r="R730" i="13"/>
  <c r="U730" i="13" s="1"/>
  <c r="M642" i="13"/>
  <c r="P642" i="13" s="1"/>
  <c r="U604" i="13"/>
  <c r="R602" i="13"/>
  <c r="U602" i="13" s="1"/>
  <c r="N601" i="13"/>
  <c r="N599" i="13" s="1"/>
  <c r="O581" i="13"/>
  <c r="L579" i="13"/>
  <c r="O579" i="13" s="1"/>
  <c r="M578" i="13"/>
  <c r="P578" i="13" s="1"/>
  <c r="S534" i="13"/>
  <c r="O535" i="13"/>
  <c r="O514" i="13"/>
  <c r="K503" i="13"/>
  <c r="I492" i="13"/>
  <c r="K492" i="13" s="1"/>
  <c r="R394" i="13"/>
  <c r="U397" i="13"/>
  <c r="R395" i="13"/>
  <c r="U395" i="13" s="1"/>
  <c r="U377" i="13"/>
  <c r="Q375" i="13"/>
  <c r="M358" i="13"/>
  <c r="P341" i="13"/>
  <c r="M339" i="13"/>
  <c r="P339" i="13" s="1"/>
  <c r="M335" i="13"/>
  <c r="U607" i="13"/>
  <c r="R605" i="13"/>
  <c r="U605" i="13" s="1"/>
  <c r="R534" i="13"/>
  <c r="U534" i="13" s="1"/>
  <c r="U535" i="13"/>
  <c r="L123" i="13"/>
  <c r="O123" i="13" s="1"/>
  <c r="O125" i="13"/>
  <c r="L119" i="13"/>
  <c r="O521" i="11"/>
  <c r="P47" i="11"/>
  <c r="K785" i="12"/>
  <c r="T765" i="12"/>
  <c r="L499" i="12"/>
  <c r="O499" i="12" s="1"/>
  <c r="T418" i="12"/>
  <c r="O361" i="12"/>
  <c r="L309" i="12"/>
  <c r="O309" i="12" s="1"/>
  <c r="I93" i="12"/>
  <c r="K93" i="12" s="1"/>
  <c r="L46" i="12"/>
  <c r="L44" i="12" s="1"/>
  <c r="T765" i="13"/>
  <c r="U761" i="13"/>
  <c r="O761" i="13"/>
  <c r="T729" i="13"/>
  <c r="T715" i="13"/>
  <c r="U695" i="13"/>
  <c r="N690" i="13"/>
  <c r="J675" i="13"/>
  <c r="R619" i="13"/>
  <c r="T618" i="13"/>
  <c r="M616" i="13"/>
  <c r="P616" i="13" s="1"/>
  <c r="L601" i="13"/>
  <c r="S576" i="13"/>
  <c r="O577" i="13"/>
  <c r="O563" i="13"/>
  <c r="L561" i="13"/>
  <c r="O561" i="13" s="1"/>
  <c r="M557" i="13"/>
  <c r="P557" i="13" s="1"/>
  <c r="Q534" i="13"/>
  <c r="T534" i="13" s="1"/>
  <c r="T535" i="13"/>
  <c r="R513" i="13"/>
  <c r="U513" i="13" s="1"/>
  <c r="U514" i="13"/>
  <c r="U494" i="13"/>
  <c r="O494" i="13"/>
  <c r="O361" i="13"/>
  <c r="L359" i="13"/>
  <c r="M359" i="13"/>
  <c r="S692" i="13"/>
  <c r="T692" i="13" s="1"/>
  <c r="P563" i="13"/>
  <c r="M561" i="13"/>
  <c r="P561" i="13" s="1"/>
  <c r="L516" i="13"/>
  <c r="O516" i="13" s="1"/>
  <c r="L515" i="13"/>
  <c r="O515" i="13" s="1"/>
  <c r="O518" i="13"/>
  <c r="R375" i="13"/>
  <c r="U376" i="13"/>
  <c r="N189" i="13"/>
  <c r="P191" i="13"/>
  <c r="N188" i="13"/>
  <c r="O191" i="13"/>
  <c r="P542" i="11"/>
  <c r="I83" i="11"/>
  <c r="I71" i="11" s="1"/>
  <c r="K71" i="11" s="1"/>
  <c r="R728" i="12"/>
  <c r="U397" i="12"/>
  <c r="M335" i="12"/>
  <c r="M333" i="12" s="1"/>
  <c r="L222" i="12"/>
  <c r="O222" i="12" s="1"/>
  <c r="U147" i="12"/>
  <c r="L119" i="12"/>
  <c r="O119" i="12" s="1"/>
  <c r="U80" i="12"/>
  <c r="T695" i="13"/>
  <c r="R644" i="13"/>
  <c r="U647" i="13"/>
  <c r="T621" i="13"/>
  <c r="P604" i="13"/>
  <c r="M602" i="13"/>
  <c r="P602" i="13" s="1"/>
  <c r="O600" i="13"/>
  <c r="R576" i="13"/>
  <c r="U576" i="13" s="1"/>
  <c r="U577" i="13"/>
  <c r="P539" i="13"/>
  <c r="M537" i="13"/>
  <c r="P537" i="13" s="1"/>
  <c r="T514" i="13"/>
  <c r="Q513" i="13"/>
  <c r="T513" i="13" s="1"/>
  <c r="T418" i="13"/>
  <c r="Q415" i="13"/>
  <c r="Q416" i="13"/>
  <c r="K386" i="13"/>
  <c r="I374" i="13"/>
  <c r="N381" i="13"/>
  <c r="N377" i="13"/>
  <c r="N375" i="13" s="1"/>
  <c r="O325" i="13"/>
  <c r="L323" i="13"/>
  <c r="L322" i="13"/>
  <c r="M515" i="13"/>
  <c r="P498" i="13"/>
  <c r="M496" i="13"/>
  <c r="I423" i="13"/>
  <c r="P383" i="13"/>
  <c r="M381" i="13"/>
  <c r="P381" i="13" s="1"/>
  <c r="P376" i="13"/>
  <c r="K371" i="13"/>
  <c r="K369" i="13"/>
  <c r="O341" i="13"/>
  <c r="L339" i="13"/>
  <c r="O339" i="13" s="1"/>
  <c r="P274" i="13"/>
  <c r="M272" i="13"/>
  <c r="P272" i="13" s="1"/>
  <c r="U267" i="13"/>
  <c r="Q141" i="13"/>
  <c r="M392" i="13"/>
  <c r="P392" i="13" s="1"/>
  <c r="O376" i="13"/>
  <c r="R356" i="13"/>
  <c r="U356" i="13" s="1"/>
  <c r="O334" i="13"/>
  <c r="P380" i="13"/>
  <c r="M378" i="13"/>
  <c r="P378" i="13" s="1"/>
  <c r="S375" i="13"/>
  <c r="Q356" i="13"/>
  <c r="T356" i="13" s="1"/>
  <c r="T357" i="13"/>
  <c r="S333" i="13"/>
  <c r="Q142" i="13"/>
  <c r="T142" i="13" s="1"/>
  <c r="R333" i="13"/>
  <c r="U333" i="13" s="1"/>
  <c r="U334" i="13"/>
  <c r="S320" i="13"/>
  <c r="O321" i="13"/>
  <c r="P304" i="13"/>
  <c r="P271" i="13"/>
  <c r="M269" i="13"/>
  <c r="L243" i="13"/>
  <c r="L233" i="13"/>
  <c r="O165" i="13"/>
  <c r="L159" i="13"/>
  <c r="N159" i="13"/>
  <c r="N157" i="13" s="1"/>
  <c r="R119" i="13"/>
  <c r="R320" i="13"/>
  <c r="U320" i="13" s="1"/>
  <c r="U321" i="13"/>
  <c r="I253" i="13"/>
  <c r="K253" i="13" s="1"/>
  <c r="K260" i="13"/>
  <c r="N119" i="13"/>
  <c r="N117" i="13" s="1"/>
  <c r="P99" i="13"/>
  <c r="N97" i="13"/>
  <c r="N26" i="13"/>
  <c r="N24" i="13" s="1"/>
  <c r="U19" i="13"/>
  <c r="L336" i="13"/>
  <c r="L335" i="13"/>
  <c r="N336" i="13"/>
  <c r="P336" i="13" s="1"/>
  <c r="Q320" i="13"/>
  <c r="T320" i="13" s="1"/>
  <c r="T321" i="13"/>
  <c r="O290" i="13"/>
  <c r="L288" i="13"/>
  <c r="O288" i="13" s="1"/>
  <c r="P283" i="13"/>
  <c r="P267" i="13"/>
  <c r="P187" i="13"/>
  <c r="P334" i="13"/>
  <c r="P325" i="13"/>
  <c r="M323" i="13"/>
  <c r="K292" i="13"/>
  <c r="I281" i="13"/>
  <c r="K281" i="13" s="1"/>
  <c r="L284" i="13"/>
  <c r="O284" i="13" s="1"/>
  <c r="M268" i="13"/>
  <c r="O267" i="13"/>
  <c r="I213" i="13"/>
  <c r="K213" i="13" s="1"/>
  <c r="K220" i="13"/>
  <c r="O187" i="13"/>
  <c r="N175" i="13"/>
  <c r="N176" i="13"/>
  <c r="O122" i="13"/>
  <c r="L120" i="13"/>
  <c r="O120" i="13" s="1"/>
  <c r="Q26" i="13"/>
  <c r="S305" i="13"/>
  <c r="S303" i="13" s="1"/>
  <c r="M305" i="13"/>
  <c r="P305" i="13" s="1"/>
  <c r="M284" i="13"/>
  <c r="P284" i="13" s="1"/>
  <c r="R268" i="13"/>
  <c r="L268" i="13"/>
  <c r="K229" i="13"/>
  <c r="S188" i="13"/>
  <c r="S186" i="13" s="1"/>
  <c r="M188" i="13"/>
  <c r="K183" i="13"/>
  <c r="K93" i="13"/>
  <c r="O95" i="13"/>
  <c r="P62" i="13"/>
  <c r="P52" i="13"/>
  <c r="M26" i="13"/>
  <c r="M50" i="13"/>
  <c r="P50" i="13" s="1"/>
  <c r="I116" i="13"/>
  <c r="K116" i="13" s="1"/>
  <c r="K127" i="13"/>
  <c r="U95" i="13"/>
  <c r="L26" i="13"/>
  <c r="P22" i="13"/>
  <c r="M19" i="13"/>
  <c r="R26" i="13"/>
  <c r="P67" i="13"/>
  <c r="M65" i="13"/>
  <c r="P65" i="13" s="1"/>
  <c r="P25" i="13"/>
  <c r="O19" i="13"/>
  <c r="S160" i="13"/>
  <c r="M160" i="13"/>
  <c r="P160" i="13" s="1"/>
  <c r="N142" i="13"/>
  <c r="O142" i="13" s="1"/>
  <c r="S120" i="13"/>
  <c r="M120" i="13"/>
  <c r="P120" i="13" s="1"/>
  <c r="U80" i="13"/>
  <c r="O80" i="13"/>
  <c r="Q78" i="13"/>
  <c r="T78" i="13" s="1"/>
  <c r="U77" i="13"/>
  <c r="O77" i="13"/>
  <c r="Q75" i="13"/>
  <c r="T75" i="13" s="1"/>
  <c r="O64" i="13"/>
  <c r="N50" i="13"/>
  <c r="O49" i="13"/>
  <c r="N23" i="13"/>
  <c r="R96" i="13"/>
  <c r="L96" i="13"/>
  <c r="O96" i="13" s="1"/>
  <c r="N74" i="13"/>
  <c r="N72" i="13" s="1"/>
  <c r="N61" i="13"/>
  <c r="N59" i="13" s="1"/>
  <c r="N46" i="13"/>
  <c r="S26" i="13"/>
  <c r="S24" i="13" s="1"/>
  <c r="S23" i="13"/>
  <c r="M23" i="13"/>
  <c r="M21" i="13" s="1"/>
  <c r="Q19" i="13"/>
  <c r="Q96" i="13"/>
  <c r="S74" i="13"/>
  <c r="S72" i="13" s="1"/>
  <c r="M74" i="13"/>
  <c r="M61" i="13"/>
  <c r="M46" i="13"/>
  <c r="R23" i="13"/>
  <c r="L23" i="13"/>
  <c r="L100" i="13"/>
  <c r="O100" i="13" s="1"/>
  <c r="R97" i="13"/>
  <c r="L97" i="13"/>
  <c r="O97" i="13" s="1"/>
  <c r="Q23" i="13"/>
  <c r="S730" i="12"/>
  <c r="S728" i="12" s="1"/>
  <c r="S731" i="12"/>
  <c r="T731" i="12" s="1"/>
  <c r="M579" i="12"/>
  <c r="P579" i="12" s="1"/>
  <c r="P581" i="12"/>
  <c r="R188" i="12"/>
  <c r="R186" i="12" s="1"/>
  <c r="R189" i="12"/>
  <c r="U189" i="12" s="1"/>
  <c r="U191" i="12"/>
  <c r="S145" i="12"/>
  <c r="S141" i="12"/>
  <c r="S139" i="12" s="1"/>
  <c r="Q74" i="12"/>
  <c r="Q72" i="12" s="1"/>
  <c r="T72" i="12" s="1"/>
  <c r="Q75" i="12"/>
  <c r="T75" i="12" s="1"/>
  <c r="T77" i="12"/>
  <c r="L519" i="10"/>
  <c r="O519" i="10" s="1"/>
  <c r="I138" i="10"/>
  <c r="K138" i="10" s="1"/>
  <c r="K153" i="10"/>
  <c r="U733" i="12"/>
  <c r="M377" i="12"/>
  <c r="P377" i="12" s="1"/>
  <c r="P380" i="12"/>
  <c r="M378" i="12"/>
  <c r="P378" i="12" s="1"/>
  <c r="S282" i="12"/>
  <c r="U621" i="9"/>
  <c r="P325" i="9"/>
  <c r="K774" i="12"/>
  <c r="I759" i="12"/>
  <c r="K759" i="12" s="1"/>
  <c r="S576" i="12"/>
  <c r="Q356" i="12"/>
  <c r="T356" i="12" s="1"/>
  <c r="T358" i="12"/>
  <c r="I213" i="12"/>
  <c r="K213" i="12" s="1"/>
  <c r="R142" i="12"/>
  <c r="U144" i="12"/>
  <c r="P600" i="12"/>
  <c r="M561" i="12"/>
  <c r="P561" i="12" s="1"/>
  <c r="P563" i="12"/>
  <c r="M536" i="12"/>
  <c r="P536" i="12" s="1"/>
  <c r="M537" i="12"/>
  <c r="P537" i="12" s="1"/>
  <c r="P539" i="12"/>
  <c r="M495" i="12"/>
  <c r="P495" i="12" s="1"/>
  <c r="M496" i="12"/>
  <c r="P496" i="12" s="1"/>
  <c r="P498" i="12"/>
  <c r="S394" i="12"/>
  <c r="S392" i="12" s="1"/>
  <c r="S395" i="12"/>
  <c r="L335" i="12"/>
  <c r="L333" i="12" s="1"/>
  <c r="O341" i="12"/>
  <c r="L339" i="12"/>
  <c r="O339" i="12" s="1"/>
  <c r="K293" i="12"/>
  <c r="I280" i="12"/>
  <c r="K280" i="12" s="1"/>
  <c r="S175" i="12"/>
  <c r="S173" i="12" s="1"/>
  <c r="S176" i="12"/>
  <c r="S160" i="11"/>
  <c r="S159" i="11"/>
  <c r="S157" i="11" s="1"/>
  <c r="M381" i="12"/>
  <c r="P381" i="12" s="1"/>
  <c r="P383" i="12"/>
  <c r="O194" i="12"/>
  <c r="L192" i="12"/>
  <c r="O192" i="12" s="1"/>
  <c r="Q78" i="12"/>
  <c r="T78" i="12" s="1"/>
  <c r="T80" i="12"/>
  <c r="N222" i="1"/>
  <c r="K772" i="10"/>
  <c r="I701" i="10"/>
  <c r="K701" i="10" s="1"/>
  <c r="K726" i="12"/>
  <c r="R305" i="12"/>
  <c r="U305" i="12" s="1"/>
  <c r="U308" i="12"/>
  <c r="M284" i="12"/>
  <c r="P284" i="12" s="1"/>
  <c r="M285" i="12"/>
  <c r="P285" i="12" s="1"/>
  <c r="P287" i="12"/>
  <c r="I156" i="12"/>
  <c r="K156" i="12" s="1"/>
  <c r="K169" i="12"/>
  <c r="L145" i="12"/>
  <c r="O145" i="12" s="1"/>
  <c r="O147" i="12"/>
  <c r="Q44" i="12"/>
  <c r="T44" i="12" s="1"/>
  <c r="T46" i="12"/>
  <c r="L309" i="10"/>
  <c r="O309" i="10" s="1"/>
  <c r="K772" i="11"/>
  <c r="J675" i="11"/>
  <c r="S392" i="11"/>
  <c r="J332" i="11"/>
  <c r="K332" i="11" s="1"/>
  <c r="P269" i="11"/>
  <c r="Q760" i="12"/>
  <c r="M714" i="12"/>
  <c r="P714" i="12" s="1"/>
  <c r="P692" i="12"/>
  <c r="R645" i="12"/>
  <c r="U645" i="12" s="1"/>
  <c r="S644" i="12"/>
  <c r="S642" i="12" s="1"/>
  <c r="O560" i="12"/>
  <c r="M540" i="12"/>
  <c r="P540" i="12" s="1"/>
  <c r="R534" i="12"/>
  <c r="U534" i="12" s="1"/>
  <c r="S496" i="12"/>
  <c r="L495" i="12"/>
  <c r="L493" i="12" s="1"/>
  <c r="O493" i="12" s="1"/>
  <c r="J457" i="12"/>
  <c r="J456" i="12" s="1"/>
  <c r="K330" i="12"/>
  <c r="K292" i="12"/>
  <c r="T271" i="12"/>
  <c r="R269" i="12"/>
  <c r="U269" i="12" s="1"/>
  <c r="Q266" i="12"/>
  <c r="T203" i="12"/>
  <c r="K183" i="12"/>
  <c r="Q145" i="12"/>
  <c r="T145" i="12" s="1"/>
  <c r="Q141" i="12"/>
  <c r="Q139" i="12" s="1"/>
  <c r="T99" i="12"/>
  <c r="P80" i="12"/>
  <c r="P77" i="12"/>
  <c r="S59" i="12"/>
  <c r="R59" i="12"/>
  <c r="U59" i="12" s="1"/>
  <c r="L47" i="12"/>
  <c r="O47" i="12" s="1"/>
  <c r="N19" i="12"/>
  <c r="K198" i="10"/>
  <c r="U271" i="11"/>
  <c r="U763" i="12"/>
  <c r="P729" i="12"/>
  <c r="J674" i="12"/>
  <c r="S26" i="12"/>
  <c r="S24" i="12" s="1"/>
  <c r="S605" i="12"/>
  <c r="M558" i="12"/>
  <c r="P558" i="12" s="1"/>
  <c r="L515" i="12"/>
  <c r="O515" i="12" s="1"/>
  <c r="Q496" i="12"/>
  <c r="T496" i="12" s="1"/>
  <c r="U380" i="12"/>
  <c r="K371" i="12"/>
  <c r="R356" i="12"/>
  <c r="U356" i="12" s="1"/>
  <c r="Q282" i="12"/>
  <c r="T282" i="12" s="1"/>
  <c r="L268" i="12"/>
  <c r="Q269" i="12"/>
  <c r="T269" i="12" s="1"/>
  <c r="K229" i="12"/>
  <c r="L203" i="12"/>
  <c r="O203" i="12" s="1"/>
  <c r="O144" i="12"/>
  <c r="O49" i="12"/>
  <c r="S44" i="12"/>
  <c r="R44" i="12"/>
  <c r="U44" i="12" s="1"/>
  <c r="K705" i="11"/>
  <c r="R618" i="11"/>
  <c r="R616" i="11" s="1"/>
  <c r="M75" i="11"/>
  <c r="P75" i="11" s="1"/>
  <c r="L760" i="12"/>
  <c r="O760" i="12" s="1"/>
  <c r="N728" i="12"/>
  <c r="K727" i="12"/>
  <c r="N690" i="12"/>
  <c r="M605" i="12"/>
  <c r="P605" i="12" s="1"/>
  <c r="M601" i="12"/>
  <c r="M599" i="12" s="1"/>
  <c r="L578" i="12"/>
  <c r="O578" i="12" s="1"/>
  <c r="N557" i="12"/>
  <c r="N555" i="12" s="1"/>
  <c r="K365" i="12"/>
  <c r="N323" i="12"/>
  <c r="J231" i="12"/>
  <c r="J185" i="12" s="1"/>
  <c r="N119" i="12"/>
  <c r="N117" i="12" s="1"/>
  <c r="L19" i="12"/>
  <c r="N74" i="11"/>
  <c r="N72" i="11" s="1"/>
  <c r="S601" i="12"/>
  <c r="S599" i="12" s="1"/>
  <c r="M602" i="12"/>
  <c r="P602" i="12" s="1"/>
  <c r="M557" i="12"/>
  <c r="P557" i="12" s="1"/>
  <c r="P518" i="12"/>
  <c r="L516" i="12"/>
  <c r="O516" i="12" s="1"/>
  <c r="P501" i="12"/>
  <c r="J458" i="12"/>
  <c r="S415" i="12"/>
  <c r="S413" i="12" s="1"/>
  <c r="R394" i="12"/>
  <c r="U394" i="12" s="1"/>
  <c r="J374" i="12"/>
  <c r="L377" i="12"/>
  <c r="O377" i="12" s="1"/>
  <c r="M322" i="12"/>
  <c r="P322" i="12" s="1"/>
  <c r="M323" i="12"/>
  <c r="P323" i="12" s="1"/>
  <c r="L234" i="12"/>
  <c r="L188" i="12"/>
  <c r="L186" i="12" s="1"/>
  <c r="N159" i="12"/>
  <c r="N157" i="12" s="1"/>
  <c r="P47" i="12"/>
  <c r="M495" i="11"/>
  <c r="P495" i="11" s="1"/>
  <c r="Q378" i="11"/>
  <c r="T378" i="11" s="1"/>
  <c r="M119" i="11"/>
  <c r="P119" i="11" s="1"/>
  <c r="L96" i="11"/>
  <c r="O96" i="11" s="1"/>
  <c r="K784" i="12"/>
  <c r="Q763" i="12"/>
  <c r="T763" i="12" s="1"/>
  <c r="Q730" i="12"/>
  <c r="J675" i="12"/>
  <c r="T578" i="12"/>
  <c r="S555" i="12"/>
  <c r="L557" i="12"/>
  <c r="O557" i="12" s="1"/>
  <c r="O518" i="12"/>
  <c r="M515" i="12"/>
  <c r="N495" i="12"/>
  <c r="N493" i="12" s="1"/>
  <c r="L496" i="12"/>
  <c r="O496" i="12" s="1"/>
  <c r="N392" i="12"/>
  <c r="N377" i="12"/>
  <c r="N375" i="12" s="1"/>
  <c r="L358" i="12"/>
  <c r="L356" i="12" s="1"/>
  <c r="N335" i="12"/>
  <c r="N333" i="12" s="1"/>
  <c r="N336" i="12"/>
  <c r="S333" i="12"/>
  <c r="M305" i="12"/>
  <c r="P305" i="12" s="1"/>
  <c r="M306" i="12"/>
  <c r="P306" i="12" s="1"/>
  <c r="O274" i="12"/>
  <c r="O271" i="12"/>
  <c r="S268" i="12"/>
  <c r="L214" i="12"/>
  <c r="O214" i="12" s="1"/>
  <c r="S188" i="12"/>
  <c r="M189" i="12"/>
  <c r="N160" i="12"/>
  <c r="R74" i="12"/>
  <c r="U74" i="12" s="1"/>
  <c r="L74" i="12"/>
  <c r="L72" i="12" s="1"/>
  <c r="O72" i="12" s="1"/>
  <c r="T643" i="12"/>
  <c r="Q333" i="12"/>
  <c r="T333" i="12" s="1"/>
  <c r="T334" i="12"/>
  <c r="P181" i="12"/>
  <c r="M175" i="12"/>
  <c r="M179" i="12"/>
  <c r="P179" i="12" s="1"/>
  <c r="K368" i="9"/>
  <c r="P361" i="9"/>
  <c r="K785" i="10"/>
  <c r="K779" i="10"/>
  <c r="K344" i="10"/>
  <c r="K782" i="11"/>
  <c r="K779" i="11"/>
  <c r="K709" i="11"/>
  <c r="K703" i="11"/>
  <c r="S619" i="11"/>
  <c r="T619" i="11" s="1"/>
  <c r="Q618" i="11"/>
  <c r="Q616" i="11" s="1"/>
  <c r="O604" i="11"/>
  <c r="M377" i="11"/>
  <c r="P377" i="11" s="1"/>
  <c r="K369" i="11"/>
  <c r="P361" i="11"/>
  <c r="K346" i="11"/>
  <c r="L222" i="11"/>
  <c r="O222" i="11" s="1"/>
  <c r="Q160" i="11"/>
  <c r="T160" i="11" s="1"/>
  <c r="T733" i="12"/>
  <c r="U729" i="12"/>
  <c r="T716" i="12"/>
  <c r="L714" i="12"/>
  <c r="O714" i="12" s="1"/>
  <c r="R690" i="12"/>
  <c r="Q645" i="12"/>
  <c r="T645" i="12" s="1"/>
  <c r="Q644" i="12"/>
  <c r="T644" i="12" s="1"/>
  <c r="T647" i="12"/>
  <c r="U607" i="12"/>
  <c r="R605" i="12"/>
  <c r="U605" i="12" s="1"/>
  <c r="N605" i="12"/>
  <c r="P584" i="12"/>
  <c r="M582" i="12"/>
  <c r="P582" i="12" s="1"/>
  <c r="Q534" i="12"/>
  <c r="T534" i="12" s="1"/>
  <c r="T393" i="12"/>
  <c r="P364" i="12"/>
  <c r="M362" i="12"/>
  <c r="P362" i="12" s="1"/>
  <c r="U335" i="12"/>
  <c r="R333" i="12"/>
  <c r="U333" i="12" s="1"/>
  <c r="S306" i="12"/>
  <c r="N189" i="12"/>
  <c r="O189" i="12" s="1"/>
  <c r="O191" i="12"/>
  <c r="P191" i="12"/>
  <c r="N232" i="1"/>
  <c r="O232" i="1" s="1"/>
  <c r="S519" i="1"/>
  <c r="Q601" i="12"/>
  <c r="T604" i="12"/>
  <c r="Q602" i="12"/>
  <c r="T602" i="12" s="1"/>
  <c r="U393" i="12"/>
  <c r="L335" i="10"/>
  <c r="L333" i="10" s="1"/>
  <c r="Q605" i="11"/>
  <c r="T605" i="11" s="1"/>
  <c r="L358" i="11"/>
  <c r="L356" i="11" s="1"/>
  <c r="R762" i="12"/>
  <c r="P644" i="12"/>
  <c r="M642" i="12"/>
  <c r="P642" i="12" s="1"/>
  <c r="L536" i="12"/>
  <c r="O536" i="12" s="1"/>
  <c r="O539" i="12"/>
  <c r="R282" i="12"/>
  <c r="U282" i="12" s="1"/>
  <c r="M26" i="12"/>
  <c r="M24" i="12" s="1"/>
  <c r="O140" i="12"/>
  <c r="O118" i="12"/>
  <c r="N78" i="12"/>
  <c r="N26" i="12"/>
  <c r="N24" i="12" s="1"/>
  <c r="N74" i="12"/>
  <c r="N72" i="12" s="1"/>
  <c r="N62" i="12"/>
  <c r="P62" i="12" s="1"/>
  <c r="O64" i="12"/>
  <c r="P64" i="12"/>
  <c r="N61" i="12"/>
  <c r="N59" i="12" s="1"/>
  <c r="S413" i="10"/>
  <c r="K368" i="10"/>
  <c r="L339" i="10"/>
  <c r="O339" i="10" s="1"/>
  <c r="Q763" i="11"/>
  <c r="T763" i="11" s="1"/>
  <c r="K630" i="11"/>
  <c r="T621" i="11"/>
  <c r="O421" i="11"/>
  <c r="O364" i="11"/>
  <c r="R303" i="11"/>
  <c r="U303" i="11" s="1"/>
  <c r="L119" i="11"/>
  <c r="O119" i="11" s="1"/>
  <c r="U715" i="12"/>
  <c r="S692" i="12"/>
  <c r="S690" i="12" s="1"/>
  <c r="K630" i="12"/>
  <c r="K626" i="12"/>
  <c r="M616" i="12"/>
  <c r="P616" i="12" s="1"/>
  <c r="L605" i="12"/>
  <c r="O605" i="12" s="1"/>
  <c r="U498" i="12"/>
  <c r="R495" i="12"/>
  <c r="R496" i="12"/>
  <c r="U496" i="12" s="1"/>
  <c r="N415" i="12"/>
  <c r="N413" i="12" s="1"/>
  <c r="O414" i="12"/>
  <c r="K386" i="12"/>
  <c r="T380" i="12"/>
  <c r="Q378" i="12"/>
  <c r="Q377" i="12"/>
  <c r="J332" i="12"/>
  <c r="J343" i="12"/>
  <c r="U140" i="12"/>
  <c r="S120" i="12"/>
  <c r="T120" i="12" s="1"/>
  <c r="T122" i="12"/>
  <c r="S119" i="12"/>
  <c r="S117" i="12" s="1"/>
  <c r="U600" i="12"/>
  <c r="T556" i="12"/>
  <c r="Q555" i="12"/>
  <c r="T555" i="12" s="1"/>
  <c r="N306" i="12"/>
  <c r="N305" i="12"/>
  <c r="N303" i="12" s="1"/>
  <c r="U178" i="9"/>
  <c r="K632" i="10"/>
  <c r="L515" i="11"/>
  <c r="O515" i="11" s="1"/>
  <c r="N377" i="11"/>
  <c r="N375" i="11" s="1"/>
  <c r="K276" i="11"/>
  <c r="L78" i="11"/>
  <c r="O78" i="11" s="1"/>
  <c r="P49" i="11"/>
  <c r="I701" i="12"/>
  <c r="L642" i="12"/>
  <c r="O642" i="12" s="1"/>
  <c r="O643" i="12"/>
  <c r="R619" i="12"/>
  <c r="R618" i="12"/>
  <c r="U618" i="12" s="1"/>
  <c r="U621" i="12"/>
  <c r="O604" i="12"/>
  <c r="L601" i="12"/>
  <c r="N578" i="12"/>
  <c r="N576" i="12" s="1"/>
  <c r="O556" i="12"/>
  <c r="O514" i="12"/>
  <c r="P421" i="12"/>
  <c r="M419" i="12"/>
  <c r="P419" i="12" s="1"/>
  <c r="O290" i="12"/>
  <c r="L288" i="12"/>
  <c r="O288" i="12" s="1"/>
  <c r="O165" i="12"/>
  <c r="L163" i="12"/>
  <c r="O163" i="12" s="1"/>
  <c r="U162" i="12"/>
  <c r="R160" i="12"/>
  <c r="U160" i="12" s="1"/>
  <c r="R159" i="12"/>
  <c r="U159" i="12" s="1"/>
  <c r="U514" i="12"/>
  <c r="R513" i="12"/>
  <c r="U513" i="12" s="1"/>
  <c r="Q305" i="10"/>
  <c r="T305" i="10" s="1"/>
  <c r="T765" i="11"/>
  <c r="K689" i="11"/>
  <c r="L557" i="11"/>
  <c r="O557" i="11" s="1"/>
  <c r="P521" i="11"/>
  <c r="Q395" i="11"/>
  <c r="T395" i="11" s="1"/>
  <c r="O383" i="11"/>
  <c r="R269" i="11"/>
  <c r="U269" i="11" s="1"/>
  <c r="K154" i="11"/>
  <c r="M141" i="11"/>
  <c r="P141" i="11" s="1"/>
  <c r="I758" i="12"/>
  <c r="K758" i="12" s="1"/>
  <c r="K772" i="12"/>
  <c r="U765" i="12"/>
  <c r="M760" i="12"/>
  <c r="P760" i="12" s="1"/>
  <c r="L728" i="12"/>
  <c r="O728" i="12" s="1"/>
  <c r="Q693" i="12"/>
  <c r="T693" i="12" s="1"/>
  <c r="Q692" i="12"/>
  <c r="Q690" i="12" s="1"/>
  <c r="T695" i="12"/>
  <c r="L690" i="12"/>
  <c r="O690" i="12" s="1"/>
  <c r="U643" i="12"/>
  <c r="K631" i="12"/>
  <c r="I615" i="12"/>
  <c r="K615" i="12" s="1"/>
  <c r="K632" i="12"/>
  <c r="Q618" i="12"/>
  <c r="T618" i="12" s="1"/>
  <c r="T621" i="12"/>
  <c r="T617" i="12"/>
  <c r="R601" i="12"/>
  <c r="U601" i="12" s="1"/>
  <c r="U604" i="12"/>
  <c r="O600" i="12"/>
  <c r="R555" i="12"/>
  <c r="U555" i="12" s="1"/>
  <c r="U556" i="12"/>
  <c r="P535" i="12"/>
  <c r="N519" i="12"/>
  <c r="N515" i="12"/>
  <c r="N513" i="12" s="1"/>
  <c r="N359" i="12"/>
  <c r="P359" i="12" s="1"/>
  <c r="P361" i="12"/>
  <c r="N358" i="12"/>
  <c r="R576" i="12"/>
  <c r="U576" i="12" s="1"/>
  <c r="J503" i="12"/>
  <c r="J492" i="12" s="1"/>
  <c r="O421" i="12"/>
  <c r="L419" i="12"/>
  <c r="O419" i="12" s="1"/>
  <c r="P418" i="12"/>
  <c r="M416" i="12"/>
  <c r="P416" i="12" s="1"/>
  <c r="R413" i="12"/>
  <c r="U413" i="12" s="1"/>
  <c r="U414" i="12"/>
  <c r="I412" i="12"/>
  <c r="K412" i="12" s="1"/>
  <c r="Q395" i="12"/>
  <c r="T395" i="12" s="1"/>
  <c r="Q394" i="12"/>
  <c r="T394" i="12" s="1"/>
  <c r="T397" i="12"/>
  <c r="L378" i="12"/>
  <c r="O378" i="12" s="1"/>
  <c r="O364" i="12"/>
  <c r="L362" i="12"/>
  <c r="O362" i="12" s="1"/>
  <c r="P357" i="12"/>
  <c r="O325" i="12"/>
  <c r="L323" i="12"/>
  <c r="O323" i="12" s="1"/>
  <c r="R320" i="12"/>
  <c r="U320" i="12" s="1"/>
  <c r="S303" i="12"/>
  <c r="K195" i="12"/>
  <c r="O181" i="12"/>
  <c r="L179" i="12"/>
  <c r="O179" i="12" s="1"/>
  <c r="T158" i="12"/>
  <c r="T95" i="12"/>
  <c r="O25" i="12"/>
  <c r="M578" i="12"/>
  <c r="N536" i="12"/>
  <c r="N534" i="12" s="1"/>
  <c r="O418" i="12"/>
  <c r="L416" i="12"/>
  <c r="O416" i="12" s="1"/>
  <c r="T414" i="12"/>
  <c r="P394" i="12"/>
  <c r="M392" i="12"/>
  <c r="P392" i="12" s="1"/>
  <c r="P338" i="12"/>
  <c r="M336" i="12"/>
  <c r="U125" i="12"/>
  <c r="R123" i="12"/>
  <c r="U123" i="12" s="1"/>
  <c r="R119" i="12"/>
  <c r="O99" i="12"/>
  <c r="L97" i="12"/>
  <c r="O97" i="12" s="1"/>
  <c r="L96" i="12"/>
  <c r="O96" i="12" s="1"/>
  <c r="O19" i="12"/>
  <c r="Q513" i="12"/>
  <c r="T513" i="12" s="1"/>
  <c r="J351" i="12"/>
  <c r="O338" i="12"/>
  <c r="L336" i="12"/>
  <c r="T322" i="12"/>
  <c r="Q320" i="12"/>
  <c r="T320" i="12" s="1"/>
  <c r="P311" i="12"/>
  <c r="M309" i="12"/>
  <c r="P309" i="12" s="1"/>
  <c r="N269" i="12"/>
  <c r="P271" i="12"/>
  <c r="Q192" i="12"/>
  <c r="T192" i="12" s="1"/>
  <c r="Q176" i="12"/>
  <c r="T176" i="12" s="1"/>
  <c r="Q175" i="12"/>
  <c r="T175" i="12" s="1"/>
  <c r="T178" i="12"/>
  <c r="I136" i="12"/>
  <c r="K136" i="12" s="1"/>
  <c r="K154" i="12"/>
  <c r="L616" i="12"/>
  <c r="O616" i="12" s="1"/>
  <c r="O584" i="12"/>
  <c r="U535" i="12"/>
  <c r="L519" i="12"/>
  <c r="O519" i="12" s="1"/>
  <c r="U418" i="12"/>
  <c r="R416" i="12"/>
  <c r="U416" i="12" s="1"/>
  <c r="M415" i="12"/>
  <c r="L392" i="12"/>
  <c r="O392" i="12" s="1"/>
  <c r="O393" i="12"/>
  <c r="R378" i="12"/>
  <c r="K368" i="12"/>
  <c r="L322" i="12"/>
  <c r="O322" i="12" s="1"/>
  <c r="N285" i="12"/>
  <c r="N284" i="12"/>
  <c r="N282" i="12" s="1"/>
  <c r="Q188" i="12"/>
  <c r="N176" i="12"/>
  <c r="P176" i="12" s="1"/>
  <c r="N175" i="12"/>
  <c r="N173" i="12" s="1"/>
  <c r="P147" i="12"/>
  <c r="M145" i="12"/>
  <c r="P145" i="12" s="1"/>
  <c r="P325" i="12"/>
  <c r="L305" i="12"/>
  <c r="O305" i="12" s="1"/>
  <c r="R306" i="12"/>
  <c r="U306" i="12" s="1"/>
  <c r="L284" i="12"/>
  <c r="O284" i="12" s="1"/>
  <c r="T284" i="12"/>
  <c r="O283" i="12"/>
  <c r="P274" i="12"/>
  <c r="M268" i="12"/>
  <c r="P267" i="12"/>
  <c r="L235" i="12"/>
  <c r="K198" i="12"/>
  <c r="P178" i="12"/>
  <c r="N142" i="12"/>
  <c r="O142" i="12" s="1"/>
  <c r="I92" i="12"/>
  <c r="K92" i="12" s="1"/>
  <c r="K108" i="12"/>
  <c r="K84" i="12"/>
  <c r="I82" i="12"/>
  <c r="O45" i="12"/>
  <c r="Q415" i="12"/>
  <c r="T415" i="12" s="1"/>
  <c r="M358" i="12"/>
  <c r="Q306" i="12"/>
  <c r="T306" i="12" s="1"/>
  <c r="Q189" i="12"/>
  <c r="T189" i="12" s="1"/>
  <c r="L175" i="12"/>
  <c r="L173" i="12" s="1"/>
  <c r="T174" i="12"/>
  <c r="P125" i="12"/>
  <c r="M123" i="12"/>
  <c r="P123" i="12" s="1"/>
  <c r="Q26" i="12"/>
  <c r="T26" i="12" s="1"/>
  <c r="U22" i="12"/>
  <c r="R19" i="12"/>
  <c r="K209" i="12"/>
  <c r="I202" i="12"/>
  <c r="K202" i="12" s="1"/>
  <c r="R141" i="12"/>
  <c r="M119" i="12"/>
  <c r="R175" i="12"/>
  <c r="U175" i="12" s="1"/>
  <c r="U178" i="12"/>
  <c r="R176" i="12"/>
  <c r="U176" i="12" s="1"/>
  <c r="N141" i="12"/>
  <c r="N139" i="12" s="1"/>
  <c r="N96" i="12"/>
  <c r="N94" i="12" s="1"/>
  <c r="N100" i="12"/>
  <c r="P73" i="12"/>
  <c r="P67" i="12"/>
  <c r="M65" i="12"/>
  <c r="P65" i="12" s="1"/>
  <c r="P19" i="12"/>
  <c r="L176" i="12"/>
  <c r="M163" i="12"/>
  <c r="P163" i="12" s="1"/>
  <c r="M160" i="12"/>
  <c r="P160" i="12" s="1"/>
  <c r="M159" i="12"/>
  <c r="P144" i="12"/>
  <c r="M142" i="12"/>
  <c r="M141" i="12"/>
  <c r="T125" i="12"/>
  <c r="O125" i="12"/>
  <c r="L123" i="12"/>
  <c r="O123" i="12" s="1"/>
  <c r="U122" i="12"/>
  <c r="R120" i="12"/>
  <c r="P102" i="12"/>
  <c r="M100" i="12"/>
  <c r="P100" i="12" s="1"/>
  <c r="O95" i="12"/>
  <c r="O67" i="12"/>
  <c r="L65" i="12"/>
  <c r="O65" i="12" s="1"/>
  <c r="P60" i="12"/>
  <c r="S23" i="12"/>
  <c r="O178" i="12"/>
  <c r="T162" i="12"/>
  <c r="O162" i="12"/>
  <c r="L160" i="12"/>
  <c r="O160" i="12" s="1"/>
  <c r="L159" i="12"/>
  <c r="O159" i="12" s="1"/>
  <c r="L141" i="12"/>
  <c r="L139" i="12" s="1"/>
  <c r="O102" i="12"/>
  <c r="L100" i="12"/>
  <c r="O100" i="12" s="1"/>
  <c r="P99" i="12"/>
  <c r="M97" i="12"/>
  <c r="P97" i="12" s="1"/>
  <c r="S96" i="12"/>
  <c r="S94" i="12" s="1"/>
  <c r="R94" i="12"/>
  <c r="U94" i="12" s="1"/>
  <c r="U95" i="12"/>
  <c r="L61" i="12"/>
  <c r="P49" i="12"/>
  <c r="U25" i="12"/>
  <c r="N23" i="12"/>
  <c r="P22" i="12"/>
  <c r="P122" i="12"/>
  <c r="M120" i="12"/>
  <c r="P120" i="12" s="1"/>
  <c r="U118" i="12"/>
  <c r="K116" i="12"/>
  <c r="K87" i="12"/>
  <c r="I83" i="12"/>
  <c r="M23" i="12"/>
  <c r="O22" i="12"/>
  <c r="Q159" i="12"/>
  <c r="T159" i="12" s="1"/>
  <c r="O122" i="12"/>
  <c r="L120" i="12"/>
  <c r="O120" i="12" s="1"/>
  <c r="T118" i="12"/>
  <c r="U99" i="12"/>
  <c r="R97" i="12"/>
  <c r="U97" i="12" s="1"/>
  <c r="R26" i="12"/>
  <c r="U26" i="12" s="1"/>
  <c r="O52" i="12"/>
  <c r="L26" i="12"/>
  <c r="L50" i="12"/>
  <c r="O50" i="12" s="1"/>
  <c r="M50" i="12"/>
  <c r="P50" i="12" s="1"/>
  <c r="N46" i="12"/>
  <c r="N44" i="12" s="1"/>
  <c r="P45" i="12"/>
  <c r="P25" i="12"/>
  <c r="Q19" i="12"/>
  <c r="Q119" i="12"/>
  <c r="Q96" i="12"/>
  <c r="T96" i="12" s="1"/>
  <c r="S74" i="12"/>
  <c r="S72" i="12" s="1"/>
  <c r="M74" i="12"/>
  <c r="P74" i="12" s="1"/>
  <c r="M61" i="12"/>
  <c r="M46" i="12"/>
  <c r="R23" i="12"/>
  <c r="R21" i="12" s="1"/>
  <c r="L23" i="12"/>
  <c r="L21" i="12" s="1"/>
  <c r="Q23" i="12"/>
  <c r="U80" i="8"/>
  <c r="O325" i="9"/>
  <c r="L235" i="9"/>
  <c r="O181" i="9"/>
  <c r="R119" i="9"/>
  <c r="R117" i="9" s="1"/>
  <c r="K781" i="10"/>
  <c r="Q693" i="10"/>
  <c r="T693" i="10" s="1"/>
  <c r="T380" i="10"/>
  <c r="L234" i="10"/>
  <c r="R644" i="11"/>
  <c r="U644" i="11" s="1"/>
  <c r="R645" i="11"/>
  <c r="U645" i="11" s="1"/>
  <c r="U647" i="11"/>
  <c r="L499" i="11"/>
  <c r="O499" i="11" s="1"/>
  <c r="O501" i="11"/>
  <c r="M309" i="11"/>
  <c r="P309" i="11" s="1"/>
  <c r="P311" i="11"/>
  <c r="T203" i="11"/>
  <c r="P194" i="11"/>
  <c r="M192" i="11"/>
  <c r="P192" i="11" s="1"/>
  <c r="O187" i="11"/>
  <c r="L74" i="11"/>
  <c r="L72" i="11" s="1"/>
  <c r="O72" i="11" s="1"/>
  <c r="L75" i="11"/>
  <c r="O75" i="11" s="1"/>
  <c r="O77" i="11"/>
  <c r="P125" i="8"/>
  <c r="T607" i="9"/>
  <c r="M272" i="9"/>
  <c r="P272" i="9" s="1"/>
  <c r="T695" i="10"/>
  <c r="N557" i="10"/>
  <c r="N555" i="10" s="1"/>
  <c r="T397" i="10"/>
  <c r="L605" i="11"/>
  <c r="O605" i="11" s="1"/>
  <c r="O607" i="11"/>
  <c r="K503" i="11"/>
  <c r="I492" i="11"/>
  <c r="K492" i="11" s="1"/>
  <c r="Q392" i="11"/>
  <c r="T392" i="11" s="1"/>
  <c r="R377" i="11"/>
  <c r="R375" i="11" s="1"/>
  <c r="R378" i="11"/>
  <c r="U378" i="11" s="1"/>
  <c r="U380" i="11"/>
  <c r="P359" i="11"/>
  <c r="Q333" i="11"/>
  <c r="T333" i="11" s="1"/>
  <c r="M305" i="11"/>
  <c r="P305" i="11" s="1"/>
  <c r="P308" i="11"/>
  <c r="M306" i="11"/>
  <c r="P306" i="11" s="1"/>
  <c r="S306" i="11"/>
  <c r="L188" i="11"/>
  <c r="L186" i="11" s="1"/>
  <c r="O191" i="11"/>
  <c r="L189" i="11"/>
  <c r="O189" i="11" s="1"/>
  <c r="R74" i="11"/>
  <c r="U74" i="11" s="1"/>
  <c r="U77" i="11"/>
  <c r="R59" i="11"/>
  <c r="U59" i="11" s="1"/>
  <c r="U61" i="11"/>
  <c r="P521" i="9"/>
  <c r="P501" i="10"/>
  <c r="Q730" i="11"/>
  <c r="Q728" i="11" s="1"/>
  <c r="Q731" i="11"/>
  <c r="T731" i="11" s="1"/>
  <c r="M557" i="11"/>
  <c r="P557" i="11" s="1"/>
  <c r="M558" i="11"/>
  <c r="P558" i="11" s="1"/>
  <c r="P560" i="11"/>
  <c r="R188" i="11"/>
  <c r="U191" i="11"/>
  <c r="K220" i="8"/>
  <c r="O729" i="11"/>
  <c r="L728" i="11"/>
  <c r="O728" i="11" s="1"/>
  <c r="R601" i="11"/>
  <c r="U601" i="11" s="1"/>
  <c r="R605" i="11"/>
  <c r="U605" i="11" s="1"/>
  <c r="U607" i="11"/>
  <c r="R602" i="11"/>
  <c r="U602" i="11" s="1"/>
  <c r="U604" i="11"/>
  <c r="P393" i="11"/>
  <c r="M392" i="11"/>
  <c r="P392" i="11" s="1"/>
  <c r="L233" i="11"/>
  <c r="L243" i="11"/>
  <c r="O243" i="11" s="1"/>
  <c r="S97" i="11"/>
  <c r="S96" i="11"/>
  <c r="S94" i="11" s="1"/>
  <c r="I332" i="10"/>
  <c r="S762" i="11"/>
  <c r="S760" i="11" s="1"/>
  <c r="S763" i="11"/>
  <c r="I365" i="11"/>
  <c r="K365" i="11" s="1"/>
  <c r="K371" i="11"/>
  <c r="K368" i="11"/>
  <c r="K198" i="11"/>
  <c r="I195" i="11"/>
  <c r="K195" i="11" s="1"/>
  <c r="M515" i="9"/>
  <c r="P515" i="9" s="1"/>
  <c r="Q416" i="9"/>
  <c r="T416" i="9" s="1"/>
  <c r="R693" i="10"/>
  <c r="U693" i="10" s="1"/>
  <c r="Q378" i="10"/>
  <c r="T378" i="10" s="1"/>
  <c r="I253" i="10"/>
  <c r="K253" i="10" s="1"/>
  <c r="Q160" i="10"/>
  <c r="T160" i="10" s="1"/>
  <c r="T162" i="10"/>
  <c r="S690" i="11"/>
  <c r="S176" i="11"/>
  <c r="S175" i="11"/>
  <c r="S173" i="11" s="1"/>
  <c r="Q119" i="11"/>
  <c r="Q117" i="11" s="1"/>
  <c r="Q120" i="11"/>
  <c r="T120" i="11" s="1"/>
  <c r="T122" i="11"/>
  <c r="Q59" i="11"/>
  <c r="T59" i="11" s="1"/>
  <c r="T60" i="11"/>
  <c r="M188" i="10"/>
  <c r="M186" i="10" s="1"/>
  <c r="L760" i="11"/>
  <c r="O760" i="11" s="1"/>
  <c r="R731" i="11"/>
  <c r="U731" i="11" s="1"/>
  <c r="R714" i="11"/>
  <c r="U714" i="11" s="1"/>
  <c r="J701" i="11"/>
  <c r="J674" i="11"/>
  <c r="S642" i="11"/>
  <c r="M616" i="11"/>
  <c r="P616" i="11" s="1"/>
  <c r="Q601" i="11"/>
  <c r="T601" i="11" s="1"/>
  <c r="L578" i="11"/>
  <c r="O578" i="11" s="1"/>
  <c r="R555" i="11"/>
  <c r="U555" i="11" s="1"/>
  <c r="L495" i="11"/>
  <c r="O495" i="11" s="1"/>
  <c r="R496" i="11"/>
  <c r="U496" i="11" s="1"/>
  <c r="O418" i="11"/>
  <c r="S356" i="11"/>
  <c r="J343" i="11"/>
  <c r="O338" i="11"/>
  <c r="P328" i="11"/>
  <c r="U305" i="11"/>
  <c r="L305" i="11"/>
  <c r="R306" i="11"/>
  <c r="M284" i="11"/>
  <c r="P284" i="11" s="1"/>
  <c r="S282" i="11"/>
  <c r="T271" i="11"/>
  <c r="L268" i="11"/>
  <c r="Q269" i="11"/>
  <c r="T269" i="11" s="1"/>
  <c r="L214" i="11"/>
  <c r="O214" i="11" s="1"/>
  <c r="R192" i="11"/>
  <c r="U192" i="11" s="1"/>
  <c r="T191" i="11"/>
  <c r="I156" i="11"/>
  <c r="K156" i="11" s="1"/>
  <c r="R145" i="11"/>
  <c r="U145" i="11" s="1"/>
  <c r="L141" i="11"/>
  <c r="O141" i="11" s="1"/>
  <c r="N119" i="11"/>
  <c r="N117" i="11" s="1"/>
  <c r="U80" i="11"/>
  <c r="Q74" i="11"/>
  <c r="Q72" i="11" s="1"/>
  <c r="T72" i="11" s="1"/>
  <c r="Q75" i="11"/>
  <c r="T75" i="11" s="1"/>
  <c r="P64" i="11"/>
  <c r="O49" i="11"/>
  <c r="N19" i="11"/>
  <c r="N175" i="10"/>
  <c r="N173" i="10" s="1"/>
  <c r="S645" i="11"/>
  <c r="I615" i="11"/>
  <c r="K615" i="11" s="1"/>
  <c r="P607" i="11"/>
  <c r="Q576" i="11"/>
  <c r="T576" i="11" s="1"/>
  <c r="O542" i="11"/>
  <c r="Q496" i="11"/>
  <c r="T496" i="11" s="1"/>
  <c r="U418" i="11"/>
  <c r="N415" i="11"/>
  <c r="N413" i="11" s="1"/>
  <c r="K386" i="11"/>
  <c r="O380" i="11"/>
  <c r="P336" i="11"/>
  <c r="S333" i="11"/>
  <c r="L284" i="11"/>
  <c r="O284" i="11" s="1"/>
  <c r="R282" i="11"/>
  <c r="U282" i="11" s="1"/>
  <c r="L269" i="11"/>
  <c r="O269" i="11" s="1"/>
  <c r="K229" i="11"/>
  <c r="R141" i="11"/>
  <c r="U141" i="11" s="1"/>
  <c r="I82" i="11"/>
  <c r="K82" i="11" s="1"/>
  <c r="N61" i="11"/>
  <c r="N59" i="11" s="1"/>
  <c r="S160" i="10"/>
  <c r="I83" i="10"/>
  <c r="I71" i="10" s="1"/>
  <c r="K71" i="10" s="1"/>
  <c r="K778" i="11"/>
  <c r="N760" i="11"/>
  <c r="N714" i="11"/>
  <c r="K707" i="11"/>
  <c r="N601" i="11"/>
  <c r="N599" i="11" s="1"/>
  <c r="N578" i="11"/>
  <c r="N576" i="11" s="1"/>
  <c r="M415" i="11"/>
  <c r="S416" i="11"/>
  <c r="J374" i="11"/>
  <c r="L306" i="11"/>
  <c r="O306" i="11" s="1"/>
  <c r="K221" i="11"/>
  <c r="L192" i="11"/>
  <c r="O192" i="11" s="1"/>
  <c r="Q141" i="11"/>
  <c r="I116" i="11"/>
  <c r="K116" i="11" s="1"/>
  <c r="M50" i="11"/>
  <c r="P50" i="11" s="1"/>
  <c r="M46" i="11"/>
  <c r="M44" i="11" s="1"/>
  <c r="R763" i="11"/>
  <c r="U763" i="11" s="1"/>
  <c r="N728" i="11"/>
  <c r="M714" i="11"/>
  <c r="P714" i="11" s="1"/>
  <c r="I701" i="11"/>
  <c r="T647" i="11"/>
  <c r="N642" i="11"/>
  <c r="K632" i="11"/>
  <c r="P584" i="11"/>
  <c r="L496" i="11"/>
  <c r="O496" i="11" s="1"/>
  <c r="R413" i="11"/>
  <c r="L415" i="11"/>
  <c r="R416" i="11"/>
  <c r="O393" i="11"/>
  <c r="T380" i="11"/>
  <c r="S377" i="11"/>
  <c r="T377" i="11" s="1"/>
  <c r="O311" i="11"/>
  <c r="O308" i="11"/>
  <c r="P287" i="11"/>
  <c r="M285" i="11"/>
  <c r="P285" i="11" s="1"/>
  <c r="P274" i="11"/>
  <c r="N268" i="11"/>
  <c r="N266" i="11" s="1"/>
  <c r="L235" i="11"/>
  <c r="N159" i="11"/>
  <c r="N157" i="11" s="1"/>
  <c r="K153" i="11"/>
  <c r="O147" i="11"/>
  <c r="O144" i="11"/>
  <c r="L142" i="11"/>
  <c r="O142" i="11" s="1"/>
  <c r="L61" i="11"/>
  <c r="L59" i="11" s="1"/>
  <c r="Q602" i="11"/>
  <c r="T602" i="11" s="1"/>
  <c r="O584" i="11"/>
  <c r="N557" i="11"/>
  <c r="N555" i="11" s="1"/>
  <c r="S555" i="11"/>
  <c r="M516" i="11"/>
  <c r="P516" i="11" s="1"/>
  <c r="J503" i="11"/>
  <c r="J492" i="11" s="1"/>
  <c r="U498" i="11"/>
  <c r="S495" i="11"/>
  <c r="S493" i="11" s="1"/>
  <c r="T418" i="11"/>
  <c r="N416" i="11"/>
  <c r="O416" i="11" s="1"/>
  <c r="S413" i="11"/>
  <c r="S395" i="11"/>
  <c r="N392" i="11"/>
  <c r="L377" i="11"/>
  <c r="O377" i="11" s="1"/>
  <c r="U308" i="11"/>
  <c r="O287" i="11"/>
  <c r="L285" i="11"/>
  <c r="O285" i="11" s="1"/>
  <c r="I280" i="11"/>
  <c r="K280" i="11" s="1"/>
  <c r="O274" i="11"/>
  <c r="L234" i="11"/>
  <c r="L203" i="11"/>
  <c r="O203" i="11" s="1"/>
  <c r="S188" i="11"/>
  <c r="S186" i="11" s="1"/>
  <c r="M188" i="11"/>
  <c r="M186" i="11" s="1"/>
  <c r="S189" i="11"/>
  <c r="U189" i="11" s="1"/>
  <c r="L175" i="11"/>
  <c r="L173" i="11" s="1"/>
  <c r="M159" i="11"/>
  <c r="P159" i="11" s="1"/>
  <c r="U144" i="11"/>
  <c r="T99" i="11"/>
  <c r="Q97" i="11"/>
  <c r="T97" i="11" s="1"/>
  <c r="S74" i="11"/>
  <c r="S72" i="11" s="1"/>
  <c r="M74" i="11"/>
  <c r="P74" i="11" s="1"/>
  <c r="S75" i="11"/>
  <c r="S616" i="11"/>
  <c r="U762" i="11"/>
  <c r="R760" i="11"/>
  <c r="U760" i="11" s="1"/>
  <c r="Q642" i="11"/>
  <c r="T642" i="11" s="1"/>
  <c r="T644" i="11"/>
  <c r="R728" i="11"/>
  <c r="L690" i="11"/>
  <c r="O690" i="11" s="1"/>
  <c r="M123" i="9"/>
  <c r="P123" i="9" s="1"/>
  <c r="I456" i="10"/>
  <c r="K456" i="10" s="1"/>
  <c r="M123" i="10"/>
  <c r="P123" i="10" s="1"/>
  <c r="I92" i="10"/>
  <c r="K92" i="10" s="1"/>
  <c r="Q692" i="11"/>
  <c r="N602" i="11"/>
  <c r="P539" i="11"/>
  <c r="M537" i="11"/>
  <c r="P537" i="11" s="1"/>
  <c r="N536" i="11"/>
  <c r="N534" i="11" s="1"/>
  <c r="R513" i="11"/>
  <c r="U513" i="11" s="1"/>
  <c r="K456" i="11"/>
  <c r="K440" i="11"/>
  <c r="I423" i="11"/>
  <c r="O376" i="11"/>
  <c r="R356" i="11"/>
  <c r="U356" i="11" s="1"/>
  <c r="O336" i="11"/>
  <c r="P267" i="11"/>
  <c r="U178" i="11"/>
  <c r="R176" i="11"/>
  <c r="U176" i="11" s="1"/>
  <c r="M120" i="10"/>
  <c r="P120" i="10" s="1"/>
  <c r="O65" i="10"/>
  <c r="T321" i="11"/>
  <c r="Q320" i="11"/>
  <c r="T320" i="11" s="1"/>
  <c r="U97" i="9"/>
  <c r="K780" i="10"/>
  <c r="Q762" i="10"/>
  <c r="Q760" i="10" s="1"/>
  <c r="T760" i="10" s="1"/>
  <c r="M97" i="10"/>
  <c r="P97" i="10" s="1"/>
  <c r="Q760" i="11"/>
  <c r="T760" i="11" s="1"/>
  <c r="M601" i="11"/>
  <c r="P601" i="11" s="1"/>
  <c r="S576" i="11"/>
  <c r="O577" i="11"/>
  <c r="O539" i="11"/>
  <c r="L537" i="11"/>
  <c r="O537" i="11" s="1"/>
  <c r="M536" i="11"/>
  <c r="P536" i="11" s="1"/>
  <c r="Q513" i="11"/>
  <c r="T513" i="11" s="1"/>
  <c r="T514" i="11"/>
  <c r="P501" i="11"/>
  <c r="M499" i="11"/>
  <c r="P499" i="11" s="1"/>
  <c r="N495" i="11"/>
  <c r="N493" i="11" s="1"/>
  <c r="P494" i="11"/>
  <c r="T415" i="11"/>
  <c r="P380" i="11"/>
  <c r="M378" i="11"/>
  <c r="P378" i="11" s="1"/>
  <c r="I374" i="11"/>
  <c r="Q356" i="11"/>
  <c r="T356" i="11" s="1"/>
  <c r="T357" i="11"/>
  <c r="O341" i="11"/>
  <c r="L339" i="11"/>
  <c r="O339" i="11" s="1"/>
  <c r="M339" i="11"/>
  <c r="P339" i="11" s="1"/>
  <c r="M335" i="11"/>
  <c r="M333" i="11" s="1"/>
  <c r="P321" i="11"/>
  <c r="T284" i="11"/>
  <c r="Q282" i="11"/>
  <c r="T282" i="11" s="1"/>
  <c r="Q176" i="11"/>
  <c r="T176" i="11" s="1"/>
  <c r="T178" i="11"/>
  <c r="Q175" i="11"/>
  <c r="T175" i="11" s="1"/>
  <c r="U99" i="11"/>
  <c r="R97" i="11"/>
  <c r="U97" i="11" s="1"/>
  <c r="R96" i="11"/>
  <c r="U96" i="11" s="1"/>
  <c r="P383" i="11"/>
  <c r="M381" i="11"/>
  <c r="P381" i="11" s="1"/>
  <c r="O77" i="8"/>
  <c r="K785" i="9"/>
  <c r="T647" i="9"/>
  <c r="M557" i="9"/>
  <c r="P557" i="9" s="1"/>
  <c r="S763" i="10"/>
  <c r="T763" i="10" s="1"/>
  <c r="R731" i="10"/>
  <c r="T647" i="10"/>
  <c r="U607" i="10"/>
  <c r="J503" i="10"/>
  <c r="J492" i="10" s="1"/>
  <c r="M419" i="10"/>
  <c r="P419" i="10" s="1"/>
  <c r="P290" i="10"/>
  <c r="K220" i="10"/>
  <c r="L214" i="10"/>
  <c r="O214" i="10" s="1"/>
  <c r="L188" i="10"/>
  <c r="L141" i="10"/>
  <c r="L139" i="10" s="1"/>
  <c r="O139" i="10" s="1"/>
  <c r="P102" i="10"/>
  <c r="N96" i="10"/>
  <c r="N94" i="10" s="1"/>
  <c r="L74" i="10"/>
  <c r="L72" i="10" s="1"/>
  <c r="O72" i="10" s="1"/>
  <c r="S730" i="11"/>
  <c r="S728" i="11" s="1"/>
  <c r="U695" i="11"/>
  <c r="S693" i="11"/>
  <c r="U693" i="11" s="1"/>
  <c r="Q645" i="11"/>
  <c r="T645" i="11" s="1"/>
  <c r="M642" i="11"/>
  <c r="P642" i="11" s="1"/>
  <c r="L601" i="11"/>
  <c r="O601" i="11" s="1"/>
  <c r="P581" i="11"/>
  <c r="M579" i="11"/>
  <c r="P579" i="11" s="1"/>
  <c r="R576" i="11"/>
  <c r="U576" i="11" s="1"/>
  <c r="U577" i="11"/>
  <c r="O560" i="11"/>
  <c r="L536" i="11"/>
  <c r="O536" i="11" s="1"/>
  <c r="N515" i="11"/>
  <c r="N513" i="11" s="1"/>
  <c r="M515" i="11"/>
  <c r="O494" i="11"/>
  <c r="Q416" i="11"/>
  <c r="U376" i="11"/>
  <c r="Q375" i="11"/>
  <c r="N358" i="11"/>
  <c r="N356" i="11" s="1"/>
  <c r="M358" i="11"/>
  <c r="L335" i="11"/>
  <c r="N335" i="11"/>
  <c r="N333" i="11" s="1"/>
  <c r="P334" i="11"/>
  <c r="M323" i="11"/>
  <c r="P323" i="11" s="1"/>
  <c r="P325" i="11"/>
  <c r="M322" i="11"/>
  <c r="P322" i="11" s="1"/>
  <c r="N322" i="11"/>
  <c r="N320" i="11" s="1"/>
  <c r="I281" i="11"/>
  <c r="K281" i="11" s="1"/>
  <c r="K292" i="11"/>
  <c r="N232" i="11"/>
  <c r="I213" i="11"/>
  <c r="K213" i="11" s="1"/>
  <c r="N175" i="11"/>
  <c r="N173" i="11" s="1"/>
  <c r="O162" i="11"/>
  <c r="L160" i="11"/>
  <c r="O160" i="11" s="1"/>
  <c r="L159" i="11"/>
  <c r="O159" i="11" s="1"/>
  <c r="I137" i="11"/>
  <c r="K137" i="11" s="1"/>
  <c r="K152" i="11"/>
  <c r="P147" i="11"/>
  <c r="M145" i="11"/>
  <c r="P145" i="11" s="1"/>
  <c r="P144" i="11"/>
  <c r="M142" i="11"/>
  <c r="P142" i="11" s="1"/>
  <c r="U122" i="11"/>
  <c r="R120" i="11"/>
  <c r="U120" i="11" s="1"/>
  <c r="R119" i="11"/>
  <c r="R117" i="11" s="1"/>
  <c r="R692" i="11"/>
  <c r="Q534" i="11"/>
  <c r="T534" i="11" s="1"/>
  <c r="T535" i="11"/>
  <c r="I701" i="9"/>
  <c r="R763" i="10"/>
  <c r="Q731" i="10"/>
  <c r="J702" i="10"/>
  <c r="T607" i="10"/>
  <c r="Q496" i="10"/>
  <c r="T496" i="10" s="1"/>
  <c r="R395" i="10"/>
  <c r="U395" i="10" s="1"/>
  <c r="S141" i="10"/>
  <c r="S139" i="10" s="1"/>
  <c r="K109" i="10"/>
  <c r="I759" i="11"/>
  <c r="K759" i="11" s="1"/>
  <c r="U733" i="11"/>
  <c r="P729" i="11"/>
  <c r="P715" i="11"/>
  <c r="L714" i="11"/>
  <c r="O714" i="11" s="1"/>
  <c r="T695" i="11"/>
  <c r="L642" i="11"/>
  <c r="O642" i="11" s="1"/>
  <c r="K631" i="11"/>
  <c r="K626" i="11"/>
  <c r="P617" i="11"/>
  <c r="S601" i="11"/>
  <c r="S599" i="11" s="1"/>
  <c r="O600" i="11"/>
  <c r="N579" i="11"/>
  <c r="P563" i="11"/>
  <c r="M561" i="11"/>
  <c r="P561" i="11" s="1"/>
  <c r="S534" i="11"/>
  <c r="O535" i="11"/>
  <c r="P498" i="11"/>
  <c r="M496" i="11"/>
  <c r="P496" i="11" s="1"/>
  <c r="Q413" i="11"/>
  <c r="R394" i="11"/>
  <c r="U397" i="11"/>
  <c r="L326" i="11"/>
  <c r="O326" i="11" s="1"/>
  <c r="T308" i="11"/>
  <c r="Q305" i="11"/>
  <c r="Q306" i="11"/>
  <c r="I238" i="11"/>
  <c r="K238" i="11" s="1"/>
  <c r="I253" i="11"/>
  <c r="S142" i="11"/>
  <c r="S141" i="11"/>
  <c r="S139" i="11" s="1"/>
  <c r="O140" i="11"/>
  <c r="N96" i="11"/>
  <c r="N94" i="11" s="1"/>
  <c r="P60" i="11"/>
  <c r="P376" i="11"/>
  <c r="M495" i="8"/>
  <c r="P495" i="8" s="1"/>
  <c r="P421" i="8"/>
  <c r="Q760" i="9"/>
  <c r="U607" i="9"/>
  <c r="P178" i="9"/>
  <c r="S96" i="9"/>
  <c r="S94" i="9" s="1"/>
  <c r="J701" i="10"/>
  <c r="S305" i="10"/>
  <c r="S303" i="10" s="1"/>
  <c r="K276" i="10"/>
  <c r="L203" i="10"/>
  <c r="O203" i="10" s="1"/>
  <c r="S176" i="10"/>
  <c r="U765" i="11"/>
  <c r="T733" i="11"/>
  <c r="U715" i="11"/>
  <c r="U643" i="11"/>
  <c r="P604" i="11"/>
  <c r="U600" i="11"/>
  <c r="P577" i="11"/>
  <c r="L558" i="11"/>
  <c r="O558" i="11" s="1"/>
  <c r="R534" i="11"/>
  <c r="U534" i="11" s="1"/>
  <c r="U535" i="11"/>
  <c r="O518" i="11"/>
  <c r="L516" i="11"/>
  <c r="O516" i="11" s="1"/>
  <c r="R493" i="11"/>
  <c r="U493" i="11" s="1"/>
  <c r="U494" i="11"/>
  <c r="Q493" i="11"/>
  <c r="T493" i="11" s="1"/>
  <c r="K457" i="11"/>
  <c r="O361" i="11"/>
  <c r="L359" i="11"/>
  <c r="O359" i="11" s="1"/>
  <c r="P338" i="11"/>
  <c r="R333" i="11"/>
  <c r="U333" i="11" s="1"/>
  <c r="Q266" i="11"/>
  <c r="K86" i="11"/>
  <c r="S23" i="11"/>
  <c r="S21" i="11" s="1"/>
  <c r="K344" i="11"/>
  <c r="L323" i="11"/>
  <c r="O323" i="11" s="1"/>
  <c r="L322" i="11"/>
  <c r="O322" i="11" s="1"/>
  <c r="O321" i="11"/>
  <c r="P271" i="11"/>
  <c r="Q188" i="11"/>
  <c r="P181" i="11"/>
  <c r="M179" i="11"/>
  <c r="P179" i="11" s="1"/>
  <c r="M175" i="11"/>
  <c r="R157" i="11"/>
  <c r="U157" i="11" s="1"/>
  <c r="U158" i="11"/>
  <c r="U140" i="11"/>
  <c r="N120" i="11"/>
  <c r="P102" i="11"/>
  <c r="M100" i="11"/>
  <c r="P100" i="11" s="1"/>
  <c r="O60" i="11"/>
  <c r="O45" i="11"/>
  <c r="M26" i="11"/>
  <c r="P26" i="11" s="1"/>
  <c r="O25" i="11"/>
  <c r="S19" i="11"/>
  <c r="P19" i="11"/>
  <c r="K330" i="11"/>
  <c r="S320" i="11"/>
  <c r="P290" i="11"/>
  <c r="M288" i="11"/>
  <c r="P288" i="11" s="1"/>
  <c r="O271" i="11"/>
  <c r="R266" i="11"/>
  <c r="K183" i="11"/>
  <c r="O181" i="11"/>
  <c r="L179" i="11"/>
  <c r="O179" i="11" s="1"/>
  <c r="O178" i="11"/>
  <c r="L176" i="11"/>
  <c r="U162" i="11"/>
  <c r="R160" i="11"/>
  <c r="U160" i="11" s="1"/>
  <c r="Q157" i="11"/>
  <c r="T157" i="11" s="1"/>
  <c r="T158" i="11"/>
  <c r="S123" i="11"/>
  <c r="S119" i="11"/>
  <c r="S26" i="11"/>
  <c r="S24" i="11" s="1"/>
  <c r="R44" i="11"/>
  <c r="U44" i="11" s="1"/>
  <c r="U22" i="11"/>
  <c r="R19" i="11"/>
  <c r="O19" i="11"/>
  <c r="R320" i="11"/>
  <c r="U320" i="11" s="1"/>
  <c r="U321" i="11"/>
  <c r="O290" i="11"/>
  <c r="L288" i="11"/>
  <c r="O288" i="11" s="1"/>
  <c r="L254" i="11"/>
  <c r="O254" i="11" s="1"/>
  <c r="K209" i="11"/>
  <c r="I202" i="11"/>
  <c r="K202" i="11" s="1"/>
  <c r="Q192" i="11"/>
  <c r="T192" i="11" s="1"/>
  <c r="Q189" i="11"/>
  <c r="N142" i="11"/>
  <c r="N141" i="11"/>
  <c r="N139" i="11" s="1"/>
  <c r="U125" i="11"/>
  <c r="R123" i="11"/>
  <c r="U123" i="11" s="1"/>
  <c r="Q26" i="11"/>
  <c r="U25" i="11"/>
  <c r="T22" i="11"/>
  <c r="Q19" i="11"/>
  <c r="K314" i="11"/>
  <c r="N305" i="11"/>
  <c r="N303" i="11" s="1"/>
  <c r="N284" i="11"/>
  <c r="N282" i="11" s="1"/>
  <c r="S268" i="11"/>
  <c r="T268" i="11" s="1"/>
  <c r="M268" i="11"/>
  <c r="K249" i="11"/>
  <c r="N188" i="11"/>
  <c r="N186" i="11" s="1"/>
  <c r="P178" i="11"/>
  <c r="R173" i="11"/>
  <c r="U173" i="11" s="1"/>
  <c r="P122" i="11"/>
  <c r="M120" i="11"/>
  <c r="P120" i="11" s="1"/>
  <c r="O118" i="11"/>
  <c r="K108" i="11"/>
  <c r="O102" i="11"/>
  <c r="L100" i="11"/>
  <c r="O100" i="11" s="1"/>
  <c r="P99" i="11"/>
  <c r="M97" i="11"/>
  <c r="P97" i="11" s="1"/>
  <c r="O95" i="11"/>
  <c r="O64" i="11"/>
  <c r="O47" i="11"/>
  <c r="N23" i="11"/>
  <c r="N21" i="11" s="1"/>
  <c r="P22" i="11"/>
  <c r="N176" i="11"/>
  <c r="T174" i="11"/>
  <c r="P165" i="11"/>
  <c r="M163" i="11"/>
  <c r="P163" i="11" s="1"/>
  <c r="P125" i="11"/>
  <c r="M123" i="11"/>
  <c r="P123" i="11" s="1"/>
  <c r="O122" i="11"/>
  <c r="L120" i="11"/>
  <c r="O120" i="11" s="1"/>
  <c r="U118" i="11"/>
  <c r="O99" i="11"/>
  <c r="L97" i="11"/>
  <c r="O97" i="11" s="1"/>
  <c r="U95" i="11"/>
  <c r="P73" i="11"/>
  <c r="O62" i="11"/>
  <c r="O52" i="11"/>
  <c r="L26" i="11"/>
  <c r="O26" i="11" s="1"/>
  <c r="L50" i="11"/>
  <c r="O50" i="11" s="1"/>
  <c r="M23" i="11"/>
  <c r="O22" i="11"/>
  <c r="M176" i="11"/>
  <c r="O165" i="11"/>
  <c r="L163" i="11"/>
  <c r="O163" i="11" s="1"/>
  <c r="P162" i="11"/>
  <c r="M160" i="11"/>
  <c r="P160" i="11" s="1"/>
  <c r="O158" i="11"/>
  <c r="P140" i="11"/>
  <c r="O125" i="11"/>
  <c r="L123" i="11"/>
  <c r="O123" i="11" s="1"/>
  <c r="T118" i="11"/>
  <c r="Q94" i="11"/>
  <c r="T94" i="11" s="1"/>
  <c r="T95" i="11"/>
  <c r="R26" i="11"/>
  <c r="U26" i="11" s="1"/>
  <c r="O67" i="11"/>
  <c r="L65" i="11"/>
  <c r="O65" i="11" s="1"/>
  <c r="M65" i="11"/>
  <c r="P65" i="11" s="1"/>
  <c r="M61" i="11"/>
  <c r="L46" i="11"/>
  <c r="L44" i="11" s="1"/>
  <c r="N46" i="11"/>
  <c r="P45" i="11"/>
  <c r="N26" i="11"/>
  <c r="N24" i="11" s="1"/>
  <c r="P25" i="11"/>
  <c r="K85" i="11"/>
  <c r="R23" i="11"/>
  <c r="L23" i="11"/>
  <c r="Q23" i="11"/>
  <c r="Q21" i="11" s="1"/>
  <c r="M377" i="10"/>
  <c r="M375" i="10" s="1"/>
  <c r="M378" i="10"/>
  <c r="N358" i="10"/>
  <c r="N356" i="10" s="1"/>
  <c r="N359" i="10"/>
  <c r="O359" i="10" s="1"/>
  <c r="P361" i="10"/>
  <c r="R692" i="8"/>
  <c r="U692" i="8" s="1"/>
  <c r="K779" i="9"/>
  <c r="K774" i="9"/>
  <c r="J701" i="9"/>
  <c r="S394" i="9"/>
  <c r="S392" i="9" s="1"/>
  <c r="M141" i="9"/>
  <c r="M139" i="9" s="1"/>
  <c r="L100" i="9"/>
  <c r="O100" i="9" s="1"/>
  <c r="R714" i="10"/>
  <c r="U714" i="10" s="1"/>
  <c r="S692" i="10"/>
  <c r="S690" i="10" s="1"/>
  <c r="S693" i="10"/>
  <c r="M602" i="10"/>
  <c r="P602" i="10" s="1"/>
  <c r="P604" i="10"/>
  <c r="M561" i="10"/>
  <c r="P561" i="10" s="1"/>
  <c r="P563" i="10"/>
  <c r="M515" i="10"/>
  <c r="P515" i="10" s="1"/>
  <c r="L499" i="10"/>
  <c r="O499" i="10" s="1"/>
  <c r="O501" i="10"/>
  <c r="M495" i="10"/>
  <c r="P495" i="10" s="1"/>
  <c r="M496" i="10"/>
  <c r="P496" i="10" s="1"/>
  <c r="P498" i="10"/>
  <c r="S496" i="10"/>
  <c r="T393" i="10"/>
  <c r="L378" i="10"/>
  <c r="O380" i="10"/>
  <c r="S119" i="10"/>
  <c r="S117" i="10" s="1"/>
  <c r="S120" i="10"/>
  <c r="T120" i="10" s="1"/>
  <c r="T122" i="10"/>
  <c r="L61" i="10"/>
  <c r="L59" i="10" s="1"/>
  <c r="L62" i="10"/>
  <c r="O62" i="10" s="1"/>
  <c r="R19" i="10"/>
  <c r="U22" i="10"/>
  <c r="M163" i="9"/>
  <c r="P163" i="9" s="1"/>
  <c r="P761" i="10"/>
  <c r="M760" i="10"/>
  <c r="P760" i="10" s="1"/>
  <c r="M519" i="10"/>
  <c r="P519" i="10" s="1"/>
  <c r="P521" i="10"/>
  <c r="M339" i="10"/>
  <c r="P339" i="10" s="1"/>
  <c r="P341" i="10"/>
  <c r="L285" i="10"/>
  <c r="O285" i="10" s="1"/>
  <c r="O287" i="10"/>
  <c r="M62" i="10"/>
  <c r="P62" i="10" s="1"/>
  <c r="P64" i="10"/>
  <c r="Q619" i="9"/>
  <c r="L540" i="9"/>
  <c r="O540" i="9" s="1"/>
  <c r="K369" i="9"/>
  <c r="K346" i="9"/>
  <c r="O341" i="9"/>
  <c r="Q268" i="9"/>
  <c r="Q266" i="9" s="1"/>
  <c r="K169" i="9"/>
  <c r="L601" i="10"/>
  <c r="L599" i="10" s="1"/>
  <c r="O604" i="10"/>
  <c r="L602" i="10"/>
  <c r="O602" i="10" s="1"/>
  <c r="L561" i="10"/>
  <c r="O561" i="10" s="1"/>
  <c r="O563" i="10"/>
  <c r="L496" i="10"/>
  <c r="O496" i="10" s="1"/>
  <c r="O498" i="10"/>
  <c r="M392" i="10"/>
  <c r="P392" i="10" s="1"/>
  <c r="S377" i="10"/>
  <c r="S375" i="10" s="1"/>
  <c r="U380" i="10"/>
  <c r="M326" i="10"/>
  <c r="P326" i="10" s="1"/>
  <c r="P328" i="10"/>
  <c r="M284" i="10"/>
  <c r="P284" i="10" s="1"/>
  <c r="L254" i="10"/>
  <c r="O254" i="10" s="1"/>
  <c r="R192" i="10"/>
  <c r="U192" i="10" s="1"/>
  <c r="U194" i="10"/>
  <c r="R188" i="10"/>
  <c r="U188" i="10" s="1"/>
  <c r="R189" i="10"/>
  <c r="U189" i="10" s="1"/>
  <c r="U191" i="10"/>
  <c r="M163" i="10"/>
  <c r="P163" i="10" s="1"/>
  <c r="P165" i="10"/>
  <c r="U122" i="10"/>
  <c r="Q26" i="10"/>
  <c r="T26" i="10" s="1"/>
  <c r="T80" i="10"/>
  <c r="O67" i="10"/>
  <c r="M690" i="10"/>
  <c r="P690" i="10" s="1"/>
  <c r="P691" i="10"/>
  <c r="L326" i="10"/>
  <c r="O326" i="10" s="1"/>
  <c r="O328" i="10"/>
  <c r="K293" i="10"/>
  <c r="I280" i="10"/>
  <c r="K280" i="10" s="1"/>
  <c r="M75" i="10"/>
  <c r="P75" i="10" s="1"/>
  <c r="P77" i="10"/>
  <c r="O80" i="8"/>
  <c r="T621" i="9"/>
  <c r="I412" i="9"/>
  <c r="K412" i="9" s="1"/>
  <c r="P290" i="9"/>
  <c r="L288" i="9"/>
  <c r="O288" i="9" s="1"/>
  <c r="M284" i="9"/>
  <c r="P284" i="9" s="1"/>
  <c r="K152" i="9"/>
  <c r="K778" i="10"/>
  <c r="R601" i="10"/>
  <c r="U601" i="10" s="1"/>
  <c r="U604" i="10"/>
  <c r="M579" i="10"/>
  <c r="P579" i="10" s="1"/>
  <c r="P581" i="10"/>
  <c r="R496" i="10"/>
  <c r="U496" i="10" s="1"/>
  <c r="U498" i="10"/>
  <c r="M381" i="10"/>
  <c r="P381" i="10" s="1"/>
  <c r="P383" i="10"/>
  <c r="T357" i="10"/>
  <c r="Q356" i="10"/>
  <c r="T356" i="10" s="1"/>
  <c r="K330" i="10"/>
  <c r="I319" i="10"/>
  <c r="K319" i="10" s="1"/>
  <c r="R320" i="10"/>
  <c r="U320" i="10" s="1"/>
  <c r="U321" i="10"/>
  <c r="K127" i="10"/>
  <c r="L75" i="10"/>
  <c r="O75" i="10" s="1"/>
  <c r="Q59" i="10"/>
  <c r="T59" i="10" s="1"/>
  <c r="T60" i="10"/>
  <c r="R44" i="10"/>
  <c r="U44" i="10" s="1"/>
  <c r="U647" i="10"/>
  <c r="R645" i="10"/>
  <c r="U645" i="10" s="1"/>
  <c r="M540" i="10"/>
  <c r="P540" i="10" s="1"/>
  <c r="P542" i="10"/>
  <c r="Q188" i="10"/>
  <c r="T188" i="10" s="1"/>
  <c r="Q189" i="10"/>
  <c r="T189" i="10" s="1"/>
  <c r="T191" i="10"/>
  <c r="M175" i="10"/>
  <c r="M173" i="10" s="1"/>
  <c r="M176" i="10"/>
  <c r="K154" i="8"/>
  <c r="M159" i="9"/>
  <c r="P159" i="9" s="1"/>
  <c r="S160" i="9"/>
  <c r="L579" i="10"/>
  <c r="O579" i="10" s="1"/>
  <c r="O581" i="10"/>
  <c r="L381" i="10"/>
  <c r="O381" i="10" s="1"/>
  <c r="O383" i="10"/>
  <c r="O361" i="10"/>
  <c r="Q333" i="10"/>
  <c r="T333" i="10" s="1"/>
  <c r="T334" i="10"/>
  <c r="J231" i="10"/>
  <c r="J185" i="10" s="1"/>
  <c r="Q192" i="10"/>
  <c r="T192" i="10" s="1"/>
  <c r="M159" i="10"/>
  <c r="M157" i="10" s="1"/>
  <c r="P157" i="10" s="1"/>
  <c r="P162" i="10"/>
  <c r="M160" i="10"/>
  <c r="P160" i="10" s="1"/>
  <c r="Q97" i="10"/>
  <c r="T97" i="10" s="1"/>
  <c r="T99" i="10"/>
  <c r="P49" i="10"/>
  <c r="T765" i="10"/>
  <c r="O762" i="10"/>
  <c r="K703" i="10"/>
  <c r="J674" i="10"/>
  <c r="S601" i="10"/>
  <c r="S599" i="10" s="1"/>
  <c r="Q601" i="10"/>
  <c r="T601" i="10" s="1"/>
  <c r="P560" i="10"/>
  <c r="L558" i="10"/>
  <c r="O558" i="10" s="1"/>
  <c r="M557" i="10"/>
  <c r="P557" i="10" s="1"/>
  <c r="O539" i="10"/>
  <c r="J457" i="10"/>
  <c r="J456" i="10" s="1"/>
  <c r="L419" i="10"/>
  <c r="O419" i="10" s="1"/>
  <c r="M415" i="10"/>
  <c r="S416" i="10"/>
  <c r="R394" i="10"/>
  <c r="U378" i="10"/>
  <c r="O325" i="10"/>
  <c r="U308" i="10"/>
  <c r="K292" i="10"/>
  <c r="I202" i="10"/>
  <c r="K202" i="10" s="1"/>
  <c r="O194" i="10"/>
  <c r="T125" i="10"/>
  <c r="P80" i="10"/>
  <c r="R74" i="10"/>
  <c r="U74" i="10" s="1"/>
  <c r="O52" i="10"/>
  <c r="S44" i="10"/>
  <c r="Q44" i="10"/>
  <c r="T44" i="10" s="1"/>
  <c r="O22" i="10"/>
  <c r="N714" i="10"/>
  <c r="Q644" i="10"/>
  <c r="T644" i="10" s="1"/>
  <c r="K631" i="10"/>
  <c r="L557" i="10"/>
  <c r="O557" i="10" s="1"/>
  <c r="S534" i="10"/>
  <c r="Q534" i="10"/>
  <c r="T534" i="10" s="1"/>
  <c r="N515" i="10"/>
  <c r="N513" i="10" s="1"/>
  <c r="N516" i="10"/>
  <c r="K503" i="10"/>
  <c r="J458" i="10"/>
  <c r="L415" i="10"/>
  <c r="O415" i="10" s="1"/>
  <c r="R416" i="10"/>
  <c r="U416" i="10" s="1"/>
  <c r="Q394" i="10"/>
  <c r="T394" i="10" s="1"/>
  <c r="Q375" i="10"/>
  <c r="N335" i="10"/>
  <c r="N333" i="10" s="1"/>
  <c r="N336" i="10"/>
  <c r="L322" i="10"/>
  <c r="O322" i="10" s="1"/>
  <c r="L305" i="10"/>
  <c r="O305" i="10" s="1"/>
  <c r="R306" i="10"/>
  <c r="U306" i="10" s="1"/>
  <c r="L233" i="10"/>
  <c r="K229" i="10"/>
  <c r="L222" i="10"/>
  <c r="O222" i="10" s="1"/>
  <c r="K183" i="10"/>
  <c r="S173" i="10"/>
  <c r="N141" i="10"/>
  <c r="N139" i="10" s="1"/>
  <c r="M96" i="10"/>
  <c r="M94" i="10" s="1"/>
  <c r="P94" i="10" s="1"/>
  <c r="S97" i="10"/>
  <c r="Q74" i="10"/>
  <c r="T74" i="10" s="1"/>
  <c r="L46" i="10"/>
  <c r="L44" i="10" s="1"/>
  <c r="N19" i="10"/>
  <c r="M728" i="10"/>
  <c r="P728" i="10" s="1"/>
  <c r="M714" i="10"/>
  <c r="P714" i="10" s="1"/>
  <c r="J675" i="10"/>
  <c r="R619" i="10"/>
  <c r="L605" i="10"/>
  <c r="O605" i="10" s="1"/>
  <c r="L236" i="10"/>
  <c r="U695" i="10"/>
  <c r="N578" i="10"/>
  <c r="N576" i="10" s="1"/>
  <c r="T498" i="10"/>
  <c r="S493" i="10"/>
  <c r="L416" i="10"/>
  <c r="O416" i="10" s="1"/>
  <c r="J351" i="10"/>
  <c r="K346" i="10"/>
  <c r="L306" i="10"/>
  <c r="O306" i="10" s="1"/>
  <c r="N284" i="10"/>
  <c r="N282" i="10" s="1"/>
  <c r="L235" i="10"/>
  <c r="I238" i="10"/>
  <c r="K238" i="10" s="1"/>
  <c r="N159" i="10"/>
  <c r="N157" i="10" s="1"/>
  <c r="M119" i="10"/>
  <c r="P119" i="10" s="1"/>
  <c r="R59" i="10"/>
  <c r="U59" i="10" s="1"/>
  <c r="S499" i="1"/>
  <c r="I116" i="9"/>
  <c r="K116" i="9" s="1"/>
  <c r="K127" i="9"/>
  <c r="I689" i="10"/>
  <c r="K689" i="10" s="1"/>
  <c r="K707" i="10"/>
  <c r="T577" i="10"/>
  <c r="Q576" i="10"/>
  <c r="T576" i="10" s="1"/>
  <c r="K371" i="10"/>
  <c r="I365" i="10"/>
  <c r="K365" i="10" s="1"/>
  <c r="P271" i="10"/>
  <c r="M269" i="10"/>
  <c r="P269" i="10" s="1"/>
  <c r="M268" i="10"/>
  <c r="M266" i="10" s="1"/>
  <c r="K774" i="8"/>
  <c r="I759" i="8"/>
  <c r="K759" i="8" s="1"/>
  <c r="R75" i="8"/>
  <c r="U75" i="8" s="1"/>
  <c r="U77" i="8"/>
  <c r="U397" i="9"/>
  <c r="R395" i="9"/>
  <c r="U395" i="9" s="1"/>
  <c r="R394" i="9"/>
  <c r="U394" i="9" s="1"/>
  <c r="Q176" i="9"/>
  <c r="T176" i="9" s="1"/>
  <c r="T178" i="9"/>
  <c r="K784" i="10"/>
  <c r="K758" i="10"/>
  <c r="S645" i="10"/>
  <c r="S644" i="10"/>
  <c r="S642" i="10" s="1"/>
  <c r="N306" i="10"/>
  <c r="N305" i="10"/>
  <c r="N303" i="10" s="1"/>
  <c r="Q377" i="9"/>
  <c r="T377" i="9" s="1"/>
  <c r="Q378" i="9"/>
  <c r="T378" i="9" s="1"/>
  <c r="K774" i="10"/>
  <c r="I759" i="10"/>
  <c r="K759" i="10" s="1"/>
  <c r="O556" i="10"/>
  <c r="U376" i="10"/>
  <c r="K631" i="8"/>
  <c r="K629" i="8"/>
  <c r="O560" i="9"/>
  <c r="L558" i="9"/>
  <c r="O558" i="9" s="1"/>
  <c r="M381" i="9"/>
  <c r="P381" i="9" s="1"/>
  <c r="P383" i="9"/>
  <c r="U762" i="10"/>
  <c r="R760" i="10"/>
  <c r="U760" i="10" s="1"/>
  <c r="S731" i="10"/>
  <c r="S730" i="10"/>
  <c r="U730" i="10" s="1"/>
  <c r="T617" i="10"/>
  <c r="P584" i="10"/>
  <c r="M582" i="10"/>
  <c r="P582" i="10" s="1"/>
  <c r="M578" i="10"/>
  <c r="P578" i="10" s="1"/>
  <c r="R555" i="10"/>
  <c r="U555" i="10" s="1"/>
  <c r="U556" i="10"/>
  <c r="T495" i="10"/>
  <c r="Q493" i="10"/>
  <c r="T493" i="10" s="1"/>
  <c r="O539" i="9"/>
  <c r="L537" i="9"/>
  <c r="O537" i="9" s="1"/>
  <c r="Q602" i="9"/>
  <c r="T602" i="9" s="1"/>
  <c r="T604" i="9"/>
  <c r="Q496" i="9"/>
  <c r="T496" i="9" s="1"/>
  <c r="Q495" i="9"/>
  <c r="T495" i="9" s="1"/>
  <c r="T498" i="9"/>
  <c r="O692" i="10"/>
  <c r="L690" i="10"/>
  <c r="O690" i="10" s="1"/>
  <c r="S619" i="10"/>
  <c r="T619" i="10" s="1"/>
  <c r="U621" i="10"/>
  <c r="S618" i="10"/>
  <c r="S616" i="10" s="1"/>
  <c r="P618" i="10"/>
  <c r="M616" i="10"/>
  <c r="P616" i="10" s="1"/>
  <c r="U600" i="10"/>
  <c r="P325" i="10"/>
  <c r="M322" i="10"/>
  <c r="M323" i="10"/>
  <c r="P323" i="10" s="1"/>
  <c r="R519" i="1"/>
  <c r="U519" i="1" s="1"/>
  <c r="S645" i="1"/>
  <c r="K440" i="7"/>
  <c r="I423" i="7"/>
  <c r="K423" i="7" s="1"/>
  <c r="Q175" i="9"/>
  <c r="T175" i="9" s="1"/>
  <c r="Q728" i="10"/>
  <c r="U692" i="10"/>
  <c r="R690" i="10"/>
  <c r="U690" i="10" s="1"/>
  <c r="N605" i="10"/>
  <c r="N601" i="10"/>
  <c r="O518" i="10"/>
  <c r="L516" i="10"/>
  <c r="O516" i="10" s="1"/>
  <c r="L515" i="10"/>
  <c r="O515" i="10" s="1"/>
  <c r="O494" i="10"/>
  <c r="U415" i="10"/>
  <c r="R413" i="10"/>
  <c r="U413" i="10" s="1"/>
  <c r="K386" i="10"/>
  <c r="I374" i="10"/>
  <c r="K632" i="8"/>
  <c r="J351" i="8"/>
  <c r="M335" i="8"/>
  <c r="M333" i="8" s="1"/>
  <c r="K784" i="9"/>
  <c r="M605" i="10"/>
  <c r="P605" i="10" s="1"/>
  <c r="R534" i="10"/>
  <c r="U534" i="10" s="1"/>
  <c r="U535" i="10"/>
  <c r="T418" i="10"/>
  <c r="Q416" i="10"/>
  <c r="T416" i="10" s="1"/>
  <c r="P380" i="10"/>
  <c r="N378" i="10"/>
  <c r="M362" i="10"/>
  <c r="P362" i="10" s="1"/>
  <c r="M358" i="10"/>
  <c r="P364" i="10"/>
  <c r="P334" i="10"/>
  <c r="O304" i="10"/>
  <c r="Q266" i="10"/>
  <c r="T267" i="10"/>
  <c r="U187" i="10"/>
  <c r="M415" i="7"/>
  <c r="P415" i="7" s="1"/>
  <c r="K778" i="8"/>
  <c r="K781" i="9"/>
  <c r="K709" i="9"/>
  <c r="K371" i="9"/>
  <c r="M160" i="9"/>
  <c r="P160" i="9" s="1"/>
  <c r="S74" i="9"/>
  <c r="S72" i="9" s="1"/>
  <c r="R644" i="10"/>
  <c r="M642" i="10"/>
  <c r="P642" i="10" s="1"/>
  <c r="L616" i="10"/>
  <c r="O616" i="10" s="1"/>
  <c r="S605" i="10"/>
  <c r="Q602" i="10"/>
  <c r="T602" i="10" s="1"/>
  <c r="M601" i="10"/>
  <c r="M537" i="10"/>
  <c r="P537" i="10" s="1"/>
  <c r="S513" i="10"/>
  <c r="O514" i="10"/>
  <c r="U494" i="10"/>
  <c r="Q415" i="10"/>
  <c r="T415" i="10" s="1"/>
  <c r="O364" i="10"/>
  <c r="L362" i="10"/>
  <c r="O362" i="10" s="1"/>
  <c r="U358" i="10"/>
  <c r="R356" i="10"/>
  <c r="U356" i="10" s="1"/>
  <c r="M336" i="10"/>
  <c r="M335" i="10"/>
  <c r="P338" i="10"/>
  <c r="K314" i="10"/>
  <c r="I302" i="10"/>
  <c r="K302" i="10" s="1"/>
  <c r="T621" i="7"/>
  <c r="K368" i="8"/>
  <c r="P579" i="9"/>
  <c r="L381" i="9"/>
  <c r="O381" i="9" s="1"/>
  <c r="L192" i="9"/>
  <c r="O192" i="9" s="1"/>
  <c r="T144" i="9"/>
  <c r="Q119" i="9"/>
  <c r="Q117" i="9" s="1"/>
  <c r="Q690" i="10"/>
  <c r="T690" i="10" s="1"/>
  <c r="L642" i="10"/>
  <c r="O642" i="10" s="1"/>
  <c r="Q618" i="10"/>
  <c r="Q616" i="10" s="1"/>
  <c r="R616" i="10"/>
  <c r="L582" i="10"/>
  <c r="O582" i="10" s="1"/>
  <c r="L540" i="10"/>
  <c r="O540" i="10" s="1"/>
  <c r="L536" i="10"/>
  <c r="O536" i="10" s="1"/>
  <c r="R513" i="10"/>
  <c r="U513" i="10" s="1"/>
  <c r="U514" i="10"/>
  <c r="N377" i="10"/>
  <c r="P376" i="10"/>
  <c r="O338" i="10"/>
  <c r="L336" i="10"/>
  <c r="T321" i="10"/>
  <c r="Q320" i="10"/>
  <c r="T320" i="10" s="1"/>
  <c r="R303" i="10"/>
  <c r="U303" i="10" s="1"/>
  <c r="U304" i="10"/>
  <c r="M100" i="7"/>
  <c r="P100" i="7" s="1"/>
  <c r="L285" i="8"/>
  <c r="O285" i="8" s="1"/>
  <c r="K127" i="8"/>
  <c r="K780" i="9"/>
  <c r="J675" i="9"/>
  <c r="R618" i="9"/>
  <c r="R616" i="9" s="1"/>
  <c r="I302" i="9"/>
  <c r="K302" i="9" s="1"/>
  <c r="K265" i="9"/>
  <c r="N141" i="9"/>
  <c r="N139" i="9" s="1"/>
  <c r="N119" i="9"/>
  <c r="N117" i="9" s="1"/>
  <c r="K109" i="9"/>
  <c r="U733" i="10"/>
  <c r="P729" i="10"/>
  <c r="P715" i="10"/>
  <c r="T643" i="10"/>
  <c r="K626" i="10"/>
  <c r="K630" i="10"/>
  <c r="I615" i="10"/>
  <c r="K615" i="10" s="1"/>
  <c r="T604" i="10"/>
  <c r="L578" i="10"/>
  <c r="T556" i="10"/>
  <c r="N536" i="10"/>
  <c r="N534" i="10" s="1"/>
  <c r="P535" i="10"/>
  <c r="Q513" i="10"/>
  <c r="T513" i="10" s="1"/>
  <c r="T514" i="10"/>
  <c r="K440" i="10"/>
  <c r="I423" i="10"/>
  <c r="S395" i="10"/>
  <c r="O376" i="10"/>
  <c r="L358" i="10"/>
  <c r="O283" i="10"/>
  <c r="U268" i="10"/>
  <c r="U178" i="10"/>
  <c r="R176" i="10"/>
  <c r="U176" i="10" s="1"/>
  <c r="R175" i="10"/>
  <c r="P380" i="7"/>
  <c r="O359" i="8"/>
  <c r="K293" i="8"/>
  <c r="Q188" i="8"/>
  <c r="Q186" i="8" s="1"/>
  <c r="K707" i="9"/>
  <c r="S619" i="9"/>
  <c r="L362" i="9"/>
  <c r="O362" i="9" s="1"/>
  <c r="L322" i="9"/>
  <c r="M268" i="9"/>
  <c r="M266" i="9" s="1"/>
  <c r="S269" i="9"/>
  <c r="T269" i="9" s="1"/>
  <c r="L175" i="9"/>
  <c r="O175" i="9" s="1"/>
  <c r="L176" i="9"/>
  <c r="O176" i="9" s="1"/>
  <c r="L159" i="9"/>
  <c r="O159" i="9" s="1"/>
  <c r="P162" i="9"/>
  <c r="P80" i="9"/>
  <c r="L46" i="9"/>
  <c r="L44" i="9" s="1"/>
  <c r="U765" i="10"/>
  <c r="T733" i="10"/>
  <c r="T621" i="10"/>
  <c r="M536" i="10"/>
  <c r="P536" i="10" s="1"/>
  <c r="O535" i="10"/>
  <c r="P518" i="10"/>
  <c r="M516" i="10"/>
  <c r="P516" i="10" s="1"/>
  <c r="N495" i="10"/>
  <c r="N493" i="10" s="1"/>
  <c r="P494" i="10"/>
  <c r="J374" i="10"/>
  <c r="J332" i="10"/>
  <c r="J343" i="10"/>
  <c r="N322" i="10"/>
  <c r="N320" i="10" s="1"/>
  <c r="S282" i="10"/>
  <c r="N268" i="10"/>
  <c r="N266" i="10" s="1"/>
  <c r="O191" i="10"/>
  <c r="N189" i="10"/>
  <c r="O189" i="10" s="1"/>
  <c r="N188" i="10"/>
  <c r="N186" i="10" s="1"/>
  <c r="U418" i="10"/>
  <c r="O418" i="10"/>
  <c r="S333" i="10"/>
  <c r="T308" i="10"/>
  <c r="M306" i="10"/>
  <c r="P306" i="10" s="1"/>
  <c r="R282" i="10"/>
  <c r="U282" i="10" s="1"/>
  <c r="U283" i="10"/>
  <c r="Q282" i="10"/>
  <c r="T282" i="10" s="1"/>
  <c r="P274" i="10"/>
  <c r="M272" i="10"/>
  <c r="P272" i="10" s="1"/>
  <c r="O271" i="10"/>
  <c r="L269" i="10"/>
  <c r="O269" i="10" s="1"/>
  <c r="P194" i="10"/>
  <c r="M192" i="10"/>
  <c r="P192" i="10" s="1"/>
  <c r="P191" i="10"/>
  <c r="M189" i="10"/>
  <c r="T187" i="10"/>
  <c r="Q176" i="10"/>
  <c r="T176" i="10" s="1"/>
  <c r="T178" i="10"/>
  <c r="R159" i="10"/>
  <c r="L142" i="10"/>
  <c r="O142" i="10" s="1"/>
  <c r="O144" i="10"/>
  <c r="S142" i="10"/>
  <c r="U95" i="10"/>
  <c r="R495" i="10"/>
  <c r="U495" i="10" s="1"/>
  <c r="L495" i="10"/>
  <c r="O495" i="10" s="1"/>
  <c r="N415" i="10"/>
  <c r="N413" i="10" s="1"/>
  <c r="R377" i="10"/>
  <c r="L377" i="10"/>
  <c r="M285" i="10"/>
  <c r="P285" i="10" s="1"/>
  <c r="O274" i="10"/>
  <c r="L272" i="10"/>
  <c r="O272" i="10" s="1"/>
  <c r="T271" i="10"/>
  <c r="S269" i="10"/>
  <c r="L268" i="10"/>
  <c r="S188" i="10"/>
  <c r="S186" i="10" s="1"/>
  <c r="Q173" i="10"/>
  <c r="T173" i="10" s="1"/>
  <c r="T175" i="10"/>
  <c r="O162" i="10"/>
  <c r="L159" i="10"/>
  <c r="O159" i="10" s="1"/>
  <c r="L160" i="10"/>
  <c r="O160" i="10" s="1"/>
  <c r="R145" i="10"/>
  <c r="U145" i="10" s="1"/>
  <c r="U147" i="10"/>
  <c r="S19" i="10"/>
  <c r="K369" i="10"/>
  <c r="M305" i="10"/>
  <c r="L288" i="10"/>
  <c r="O288" i="10" s="1"/>
  <c r="L284" i="10"/>
  <c r="O284" i="10" s="1"/>
  <c r="U271" i="10"/>
  <c r="R269" i="10"/>
  <c r="S266" i="10"/>
  <c r="R160" i="10"/>
  <c r="U160" i="10" s="1"/>
  <c r="K154" i="10"/>
  <c r="T147" i="10"/>
  <c r="Q141" i="10"/>
  <c r="R142" i="10"/>
  <c r="U142" i="10" s="1"/>
  <c r="U144" i="10"/>
  <c r="R141" i="10"/>
  <c r="U19" i="10"/>
  <c r="R333" i="10"/>
  <c r="U333" i="10" s="1"/>
  <c r="M309" i="10"/>
  <c r="P309" i="10" s="1"/>
  <c r="P283" i="10"/>
  <c r="T268" i="10"/>
  <c r="R266" i="10"/>
  <c r="O187" i="10"/>
  <c r="I156" i="10"/>
  <c r="K156" i="10" s="1"/>
  <c r="K169" i="10"/>
  <c r="K116" i="10"/>
  <c r="P47" i="10"/>
  <c r="U267" i="10"/>
  <c r="O267" i="10"/>
  <c r="P187" i="10"/>
  <c r="P178" i="10"/>
  <c r="N176" i="10"/>
  <c r="Q159" i="10"/>
  <c r="O147" i="10"/>
  <c r="Q142" i="10"/>
  <c r="T142" i="10" s="1"/>
  <c r="N119" i="10"/>
  <c r="N117" i="10" s="1"/>
  <c r="I82" i="10"/>
  <c r="N26" i="10"/>
  <c r="N24" i="10" s="1"/>
  <c r="L243" i="10"/>
  <c r="L179" i="10"/>
  <c r="O179" i="10" s="1"/>
  <c r="U125" i="10"/>
  <c r="R123" i="10"/>
  <c r="U123" i="10" s="1"/>
  <c r="P52" i="10"/>
  <c r="M26" i="10"/>
  <c r="M24" i="10" s="1"/>
  <c r="M50" i="10"/>
  <c r="P50" i="10" s="1"/>
  <c r="L176" i="10"/>
  <c r="O176" i="10" s="1"/>
  <c r="L175" i="10"/>
  <c r="L163" i="10"/>
  <c r="O163" i="10" s="1"/>
  <c r="M145" i="10"/>
  <c r="P145" i="10" s="1"/>
  <c r="O118" i="10"/>
  <c r="L26" i="10"/>
  <c r="P22" i="10"/>
  <c r="M19" i="10"/>
  <c r="M142" i="10"/>
  <c r="P142" i="10" s="1"/>
  <c r="M141" i="10"/>
  <c r="U118" i="10"/>
  <c r="O95" i="10"/>
  <c r="R26" i="10"/>
  <c r="P67" i="10"/>
  <c r="M65" i="10"/>
  <c r="P65" i="10" s="1"/>
  <c r="O47" i="10"/>
  <c r="P25" i="10"/>
  <c r="O19" i="10"/>
  <c r="U80" i="10"/>
  <c r="O80" i="10"/>
  <c r="Q78" i="10"/>
  <c r="T78" i="10" s="1"/>
  <c r="U77" i="10"/>
  <c r="O77" i="10"/>
  <c r="Q75" i="10"/>
  <c r="T75" i="10" s="1"/>
  <c r="O64" i="10"/>
  <c r="N50" i="10"/>
  <c r="O49" i="10"/>
  <c r="N23" i="10"/>
  <c r="R119" i="10"/>
  <c r="L119" i="10"/>
  <c r="O119" i="10" s="1"/>
  <c r="R96" i="10"/>
  <c r="U96" i="10" s="1"/>
  <c r="L96" i="10"/>
  <c r="O96" i="10" s="1"/>
  <c r="N74" i="10"/>
  <c r="N72" i="10" s="1"/>
  <c r="N61" i="10"/>
  <c r="N59" i="10" s="1"/>
  <c r="N46" i="10"/>
  <c r="S26" i="10"/>
  <c r="S24" i="10" s="1"/>
  <c r="S23" i="10"/>
  <c r="S21" i="10" s="1"/>
  <c r="M23" i="10"/>
  <c r="Q19" i="10"/>
  <c r="Q119" i="10"/>
  <c r="Q96" i="10"/>
  <c r="K85" i="10"/>
  <c r="S74" i="10"/>
  <c r="S72" i="10" s="1"/>
  <c r="M74" i="10"/>
  <c r="M61" i="10"/>
  <c r="M46" i="10"/>
  <c r="R23" i="10"/>
  <c r="L23" i="10"/>
  <c r="L123" i="10"/>
  <c r="O123" i="10" s="1"/>
  <c r="R120" i="10"/>
  <c r="L120" i="10"/>
  <c r="O120" i="10" s="1"/>
  <c r="L100" i="10"/>
  <c r="O100" i="10" s="1"/>
  <c r="R97" i="10"/>
  <c r="U97" i="10" s="1"/>
  <c r="L97" i="10"/>
  <c r="O97" i="10" s="1"/>
  <c r="Q23" i="10"/>
  <c r="L495" i="9"/>
  <c r="O495" i="9" s="1"/>
  <c r="L496" i="9"/>
  <c r="O496" i="9" s="1"/>
  <c r="O498" i="9"/>
  <c r="N61" i="9"/>
  <c r="N59" i="9" s="1"/>
  <c r="N62" i="9"/>
  <c r="P62" i="9" s="1"/>
  <c r="K781" i="7"/>
  <c r="K778" i="7"/>
  <c r="L415" i="7"/>
  <c r="O415" i="7" s="1"/>
  <c r="K783" i="8"/>
  <c r="K780" i="8"/>
  <c r="N760" i="9"/>
  <c r="M728" i="9"/>
  <c r="P728" i="9" s="1"/>
  <c r="I615" i="9"/>
  <c r="K632" i="9"/>
  <c r="K629" i="9"/>
  <c r="P607" i="9"/>
  <c r="M605" i="9"/>
  <c r="P605" i="9" s="1"/>
  <c r="Q394" i="9"/>
  <c r="T394" i="9" s="1"/>
  <c r="Q395" i="9"/>
  <c r="T395" i="9" s="1"/>
  <c r="T397" i="9"/>
  <c r="K198" i="9"/>
  <c r="I195" i="9"/>
  <c r="K195" i="9" s="1"/>
  <c r="M119" i="9"/>
  <c r="P119" i="9" s="1"/>
  <c r="P122" i="9"/>
  <c r="M120" i="9"/>
  <c r="P120" i="9" s="1"/>
  <c r="P118" i="9"/>
  <c r="M561" i="8"/>
  <c r="P561" i="8" s="1"/>
  <c r="K386" i="8"/>
  <c r="M339" i="8"/>
  <c r="P339" i="8" s="1"/>
  <c r="L309" i="8"/>
  <c r="O309" i="8" s="1"/>
  <c r="L203" i="8"/>
  <c r="O203" i="8" s="1"/>
  <c r="I137" i="8"/>
  <c r="K137" i="8" s="1"/>
  <c r="K778" i="9"/>
  <c r="K772" i="9"/>
  <c r="R763" i="9"/>
  <c r="U763" i="9" s="1"/>
  <c r="M760" i="9"/>
  <c r="P760" i="9" s="1"/>
  <c r="S731" i="9"/>
  <c r="U731" i="9" s="1"/>
  <c r="S728" i="9"/>
  <c r="K705" i="9"/>
  <c r="U692" i="9"/>
  <c r="Q692" i="9"/>
  <c r="T692" i="9" s="1"/>
  <c r="N690" i="9"/>
  <c r="R644" i="9"/>
  <c r="U644" i="9" s="1"/>
  <c r="R645" i="9"/>
  <c r="U645" i="9" s="1"/>
  <c r="Q644" i="9"/>
  <c r="T644" i="9" s="1"/>
  <c r="P643" i="9"/>
  <c r="M642" i="9"/>
  <c r="P642" i="9" s="1"/>
  <c r="L605" i="9"/>
  <c r="O605" i="9" s="1"/>
  <c r="O607" i="9"/>
  <c r="P604" i="9"/>
  <c r="M602" i="9"/>
  <c r="P602" i="9" s="1"/>
  <c r="O577" i="9"/>
  <c r="R534" i="9"/>
  <c r="U534" i="9" s="1"/>
  <c r="U535" i="9"/>
  <c r="R495" i="9"/>
  <c r="U495" i="9" s="1"/>
  <c r="U498" i="9"/>
  <c r="J351" i="9"/>
  <c r="Q320" i="9"/>
  <c r="T320" i="9" s="1"/>
  <c r="T321" i="9"/>
  <c r="K84" i="9"/>
  <c r="I82" i="9"/>
  <c r="I70" i="9" s="1"/>
  <c r="K70" i="9" s="1"/>
  <c r="O64" i="9"/>
  <c r="R119" i="6"/>
  <c r="R117" i="6" s="1"/>
  <c r="K783" i="7"/>
  <c r="M582" i="7"/>
  <c r="P582" i="7" s="1"/>
  <c r="U147" i="7"/>
  <c r="S645" i="8"/>
  <c r="L536" i="8"/>
  <c r="O536" i="8" s="1"/>
  <c r="U191" i="8"/>
  <c r="Q763" i="9"/>
  <c r="T763" i="9" s="1"/>
  <c r="T761" i="9"/>
  <c r="R730" i="9"/>
  <c r="U730" i="9" s="1"/>
  <c r="P692" i="9"/>
  <c r="S642" i="9"/>
  <c r="K631" i="9"/>
  <c r="L602" i="9"/>
  <c r="O602" i="9" s="1"/>
  <c r="O604" i="9"/>
  <c r="O579" i="9"/>
  <c r="M561" i="9"/>
  <c r="P561" i="9" s="1"/>
  <c r="P563" i="9"/>
  <c r="Q513" i="9"/>
  <c r="T513" i="9" s="1"/>
  <c r="T515" i="9"/>
  <c r="M499" i="9"/>
  <c r="P499" i="9" s="1"/>
  <c r="P501" i="9"/>
  <c r="N377" i="9"/>
  <c r="N375" i="9" s="1"/>
  <c r="N378" i="9"/>
  <c r="L358" i="9"/>
  <c r="L356" i="9" s="1"/>
  <c r="N336" i="9"/>
  <c r="O336" i="9" s="1"/>
  <c r="O338" i="9"/>
  <c r="Q282" i="9"/>
  <c r="T282" i="9" s="1"/>
  <c r="T283" i="9"/>
  <c r="T194" i="6"/>
  <c r="J701" i="7"/>
  <c r="O539" i="7"/>
  <c r="K292" i="7"/>
  <c r="K772" i="8"/>
  <c r="K630" i="8"/>
  <c r="O271" i="8"/>
  <c r="L760" i="9"/>
  <c r="O760" i="9" s="1"/>
  <c r="J702" i="9"/>
  <c r="R693" i="9"/>
  <c r="J674" i="9"/>
  <c r="S645" i="9"/>
  <c r="L642" i="9"/>
  <c r="O642" i="9" s="1"/>
  <c r="K630" i="9"/>
  <c r="S601" i="9"/>
  <c r="S599" i="9" s="1"/>
  <c r="P581" i="9"/>
  <c r="U577" i="9"/>
  <c r="R576" i="9"/>
  <c r="U576" i="9" s="1"/>
  <c r="L561" i="9"/>
  <c r="O561" i="9" s="1"/>
  <c r="O563" i="9"/>
  <c r="M537" i="9"/>
  <c r="P537" i="9" s="1"/>
  <c r="P539" i="9"/>
  <c r="N515" i="9"/>
  <c r="N513" i="9" s="1"/>
  <c r="L499" i="9"/>
  <c r="O499" i="9" s="1"/>
  <c r="O501" i="9"/>
  <c r="P418" i="9"/>
  <c r="M335" i="9"/>
  <c r="M333" i="9" s="1"/>
  <c r="P338" i="9"/>
  <c r="O191" i="9"/>
  <c r="L188" i="9"/>
  <c r="L189" i="9"/>
  <c r="O189" i="9" s="1"/>
  <c r="R78" i="9"/>
  <c r="U78" i="9" s="1"/>
  <c r="M74" i="9"/>
  <c r="M72" i="9" s="1"/>
  <c r="M75" i="9"/>
  <c r="P75" i="9" s="1"/>
  <c r="P77" i="9"/>
  <c r="S75" i="9"/>
  <c r="M47" i="9"/>
  <c r="P47" i="9" s="1"/>
  <c r="P49" i="9"/>
  <c r="K314" i="8"/>
  <c r="P729" i="9"/>
  <c r="K727" i="9"/>
  <c r="S714" i="9"/>
  <c r="Q714" i="9"/>
  <c r="T714" i="9" s="1"/>
  <c r="K703" i="9"/>
  <c r="M616" i="9"/>
  <c r="P616" i="9" s="1"/>
  <c r="P617" i="9"/>
  <c r="R602" i="9"/>
  <c r="U602" i="9" s="1"/>
  <c r="U604" i="9"/>
  <c r="M516" i="9"/>
  <c r="P516" i="9" s="1"/>
  <c r="M495" i="9"/>
  <c r="M493" i="9" s="1"/>
  <c r="P493" i="9" s="1"/>
  <c r="M496" i="9"/>
  <c r="P496" i="9" s="1"/>
  <c r="P498" i="9"/>
  <c r="S496" i="9"/>
  <c r="N415" i="9"/>
  <c r="N413" i="9" s="1"/>
  <c r="N416" i="9"/>
  <c r="P416" i="9" s="1"/>
  <c r="N268" i="9"/>
  <c r="N266" i="9" s="1"/>
  <c r="O271" i="9"/>
  <c r="N269" i="9"/>
  <c r="N96" i="9"/>
  <c r="N94" i="9" s="1"/>
  <c r="L78" i="9"/>
  <c r="O78" i="9" s="1"/>
  <c r="O80" i="9"/>
  <c r="N322" i="9"/>
  <c r="N320" i="9" s="1"/>
  <c r="R305" i="9"/>
  <c r="R303" i="9" s="1"/>
  <c r="L214" i="9"/>
  <c r="O214" i="9" s="1"/>
  <c r="T203" i="9"/>
  <c r="T189" i="9"/>
  <c r="N175" i="9"/>
  <c r="N173" i="9" s="1"/>
  <c r="S119" i="9"/>
  <c r="S117" i="9" s="1"/>
  <c r="N120" i="9"/>
  <c r="R74" i="9"/>
  <c r="R72" i="9" s="1"/>
  <c r="L74" i="9"/>
  <c r="L72" i="9" s="1"/>
  <c r="R75" i="9"/>
  <c r="R44" i="9"/>
  <c r="U44" i="9" s="1"/>
  <c r="Q19" i="9"/>
  <c r="T19" i="9" s="1"/>
  <c r="S616" i="9"/>
  <c r="Q601" i="9"/>
  <c r="T601" i="9" s="1"/>
  <c r="L582" i="9"/>
  <c r="O582" i="9" s="1"/>
  <c r="L578" i="9"/>
  <c r="L576" i="9" s="1"/>
  <c r="L536" i="9"/>
  <c r="O536" i="9" s="1"/>
  <c r="S513" i="9"/>
  <c r="M415" i="9"/>
  <c r="O418" i="9"/>
  <c r="R333" i="9"/>
  <c r="U333" i="9" s="1"/>
  <c r="M326" i="9"/>
  <c r="P326" i="9" s="1"/>
  <c r="M322" i="9"/>
  <c r="P322" i="9" s="1"/>
  <c r="K276" i="9"/>
  <c r="L236" i="9"/>
  <c r="U191" i="9"/>
  <c r="N159" i="9"/>
  <c r="N157" i="9" s="1"/>
  <c r="N142" i="9"/>
  <c r="I138" i="9"/>
  <c r="K138" i="9" s="1"/>
  <c r="T99" i="9"/>
  <c r="Q74" i="9"/>
  <c r="Q75" i="9"/>
  <c r="N19" i="9"/>
  <c r="S555" i="9"/>
  <c r="L415" i="9"/>
  <c r="P308" i="9"/>
  <c r="P287" i="9"/>
  <c r="L222" i="9"/>
  <c r="O222" i="9" s="1"/>
  <c r="T191" i="9"/>
  <c r="J503" i="9"/>
  <c r="J492" i="9" s="1"/>
  <c r="M362" i="9"/>
  <c r="P362" i="9" s="1"/>
  <c r="M358" i="9"/>
  <c r="M356" i="9" s="1"/>
  <c r="K330" i="9"/>
  <c r="N305" i="9"/>
  <c r="N303" i="9" s="1"/>
  <c r="N284" i="9"/>
  <c r="N282" i="9" s="1"/>
  <c r="S282" i="9"/>
  <c r="T271" i="9"/>
  <c r="M269" i="9"/>
  <c r="K209" i="9"/>
  <c r="L203" i="9"/>
  <c r="O203" i="9" s="1"/>
  <c r="Q192" i="9"/>
  <c r="T192" i="9" s="1"/>
  <c r="N188" i="9"/>
  <c r="N186" i="9" s="1"/>
  <c r="N176" i="9"/>
  <c r="N160" i="9"/>
  <c r="U99" i="9"/>
  <c r="L97" i="9"/>
  <c r="O97" i="9" s="1"/>
  <c r="O77" i="9"/>
  <c r="P64" i="9"/>
  <c r="O49" i="9"/>
  <c r="T22" i="9"/>
  <c r="U77" i="9"/>
  <c r="N74" i="9"/>
  <c r="N72" i="9" s="1"/>
  <c r="L75" i="9"/>
  <c r="O75" i="9" s="1"/>
  <c r="N46" i="9"/>
  <c r="N44" i="9" s="1"/>
  <c r="L47" i="9"/>
  <c r="O47" i="9" s="1"/>
  <c r="P600" i="9"/>
  <c r="K386" i="7"/>
  <c r="M306" i="8"/>
  <c r="P306" i="8" s="1"/>
  <c r="N269" i="8"/>
  <c r="O269" i="8" s="1"/>
  <c r="P194" i="8"/>
  <c r="M192" i="8"/>
  <c r="P192" i="8" s="1"/>
  <c r="N601" i="9"/>
  <c r="N599" i="9" s="1"/>
  <c r="O600" i="9"/>
  <c r="O556" i="9"/>
  <c r="N496" i="9"/>
  <c r="N495" i="9"/>
  <c r="N493" i="9" s="1"/>
  <c r="K785" i="7"/>
  <c r="K782" i="7"/>
  <c r="L236" i="7"/>
  <c r="M163" i="7"/>
  <c r="P163" i="7" s="1"/>
  <c r="J701" i="8"/>
  <c r="L515" i="8"/>
  <c r="O515" i="8" s="1"/>
  <c r="K346" i="8"/>
  <c r="L243" i="8"/>
  <c r="O243" i="8" s="1"/>
  <c r="S188" i="8"/>
  <c r="S186" i="8" s="1"/>
  <c r="U765" i="9"/>
  <c r="R714" i="9"/>
  <c r="U714" i="9" s="1"/>
  <c r="U715" i="9"/>
  <c r="S693" i="9"/>
  <c r="T693" i="9" s="1"/>
  <c r="R555" i="9"/>
  <c r="U555" i="9" s="1"/>
  <c r="U556" i="9"/>
  <c r="L516" i="9"/>
  <c r="O516" i="9" s="1"/>
  <c r="O518" i="9"/>
  <c r="L515" i="9"/>
  <c r="O515" i="9" s="1"/>
  <c r="J458" i="9"/>
  <c r="Q413" i="9"/>
  <c r="T414" i="9"/>
  <c r="O394" i="9"/>
  <c r="L392" i="9"/>
  <c r="O392" i="9" s="1"/>
  <c r="K385" i="9"/>
  <c r="I374" i="9"/>
  <c r="K374" i="9" s="1"/>
  <c r="O147" i="8"/>
  <c r="L145" i="8"/>
  <c r="O145" i="8" s="1"/>
  <c r="K109" i="8"/>
  <c r="I93" i="8"/>
  <c r="K93" i="8" s="1"/>
  <c r="Q730" i="9"/>
  <c r="T733" i="9"/>
  <c r="T99" i="6"/>
  <c r="M335" i="7"/>
  <c r="M333" i="7" s="1"/>
  <c r="I195" i="7"/>
  <c r="K195" i="7" s="1"/>
  <c r="K198" i="7"/>
  <c r="K707" i="8"/>
  <c r="M579" i="8"/>
  <c r="P579" i="8" s="1"/>
  <c r="P581" i="8"/>
  <c r="O421" i="8"/>
  <c r="R415" i="8"/>
  <c r="R413" i="8" s="1"/>
  <c r="U418" i="8"/>
  <c r="S378" i="8"/>
  <c r="T378" i="8" s="1"/>
  <c r="T380" i="8"/>
  <c r="P274" i="8"/>
  <c r="R268" i="8"/>
  <c r="R266" i="8" s="1"/>
  <c r="R269" i="8"/>
  <c r="P761" i="9"/>
  <c r="U733" i="9"/>
  <c r="Q731" i="9"/>
  <c r="U600" i="9"/>
  <c r="P584" i="9"/>
  <c r="M582" i="9"/>
  <c r="P582" i="9" s="1"/>
  <c r="M578" i="9"/>
  <c r="Q555" i="9"/>
  <c r="T555" i="9" s="1"/>
  <c r="T556" i="9"/>
  <c r="P535" i="9"/>
  <c r="O494" i="9"/>
  <c r="U284" i="9"/>
  <c r="R282" i="9"/>
  <c r="U282" i="9" s="1"/>
  <c r="M419" i="9"/>
  <c r="P419" i="9" s="1"/>
  <c r="P421" i="9"/>
  <c r="Q378" i="1"/>
  <c r="M381" i="6"/>
  <c r="P381" i="6" s="1"/>
  <c r="L495" i="8"/>
  <c r="O495" i="8" s="1"/>
  <c r="K229" i="8"/>
  <c r="K198" i="8"/>
  <c r="P178" i="8"/>
  <c r="O49" i="8"/>
  <c r="L47" i="8"/>
  <c r="S762" i="9"/>
  <c r="T762" i="9" s="1"/>
  <c r="T695" i="9"/>
  <c r="J615" i="9"/>
  <c r="K626" i="9"/>
  <c r="P542" i="9"/>
  <c r="M540" i="9"/>
  <c r="P540" i="9" s="1"/>
  <c r="S377" i="9"/>
  <c r="S375" i="9" s="1"/>
  <c r="T357" i="9"/>
  <c r="Q356" i="9"/>
  <c r="T356" i="9" s="1"/>
  <c r="U729" i="9"/>
  <c r="L714" i="9"/>
  <c r="O714" i="9" s="1"/>
  <c r="O715" i="9"/>
  <c r="T393" i="9"/>
  <c r="O380" i="9"/>
  <c r="L377" i="9"/>
  <c r="N362" i="9"/>
  <c r="N26" i="9"/>
  <c r="N24" i="9" s="1"/>
  <c r="K425" i="6"/>
  <c r="P421" i="6"/>
  <c r="P178" i="6"/>
  <c r="O65" i="7"/>
  <c r="R730" i="8"/>
  <c r="U730" i="8" s="1"/>
  <c r="S496" i="8"/>
  <c r="S495" i="8"/>
  <c r="S493" i="8" s="1"/>
  <c r="U178" i="8"/>
  <c r="L728" i="9"/>
  <c r="O728" i="9" s="1"/>
  <c r="O729" i="9"/>
  <c r="M714" i="9"/>
  <c r="P714" i="9" s="1"/>
  <c r="P715" i="9"/>
  <c r="R690" i="9"/>
  <c r="U690" i="9" s="1"/>
  <c r="T618" i="9"/>
  <c r="Q616" i="9"/>
  <c r="Q576" i="9"/>
  <c r="T576" i="9" s="1"/>
  <c r="P560" i="9"/>
  <c r="M558" i="9"/>
  <c r="P558" i="9" s="1"/>
  <c r="N557" i="9"/>
  <c r="N555" i="9" s="1"/>
  <c r="M536" i="9"/>
  <c r="P536" i="9" s="1"/>
  <c r="Q534" i="9"/>
  <c r="T534" i="9" s="1"/>
  <c r="U494" i="9"/>
  <c r="M378" i="9"/>
  <c r="P378" i="9" s="1"/>
  <c r="M377" i="9"/>
  <c r="P377" i="9" s="1"/>
  <c r="P380" i="9"/>
  <c r="S306" i="9"/>
  <c r="U306" i="9" s="1"/>
  <c r="S305" i="9"/>
  <c r="O308" i="9"/>
  <c r="L306" i="9"/>
  <c r="O306" i="9" s="1"/>
  <c r="L269" i="9"/>
  <c r="L268" i="9"/>
  <c r="I213" i="9"/>
  <c r="K213" i="9" s="1"/>
  <c r="K220" i="9"/>
  <c r="R189" i="9"/>
  <c r="U189" i="9" s="1"/>
  <c r="I92" i="9"/>
  <c r="K92" i="9" s="1"/>
  <c r="K108" i="9"/>
  <c r="P45" i="9"/>
  <c r="U765" i="8"/>
  <c r="L601" i="8"/>
  <c r="O601" i="8" s="1"/>
  <c r="J374" i="8"/>
  <c r="N377" i="8"/>
  <c r="N375" i="8" s="1"/>
  <c r="L141" i="8"/>
  <c r="O141" i="8" s="1"/>
  <c r="M119" i="8"/>
  <c r="M96" i="8"/>
  <c r="M94" i="8" s="1"/>
  <c r="M601" i="9"/>
  <c r="P601" i="9" s="1"/>
  <c r="O581" i="9"/>
  <c r="L557" i="9"/>
  <c r="O557" i="9" s="1"/>
  <c r="S534" i="9"/>
  <c r="K504" i="9"/>
  <c r="K457" i="9"/>
  <c r="K440" i="9"/>
  <c r="L419" i="9"/>
  <c r="O419" i="9" s="1"/>
  <c r="L416" i="9"/>
  <c r="R378" i="9"/>
  <c r="U378" i="9" s="1"/>
  <c r="R377" i="9"/>
  <c r="O361" i="9"/>
  <c r="N359" i="9"/>
  <c r="O359" i="9" s="1"/>
  <c r="N358" i="9"/>
  <c r="U308" i="9"/>
  <c r="S266" i="9"/>
  <c r="U144" i="9"/>
  <c r="R142" i="9"/>
  <c r="U142" i="9" s="1"/>
  <c r="R141" i="9"/>
  <c r="R139" i="9" s="1"/>
  <c r="U25" i="9"/>
  <c r="R19" i="9"/>
  <c r="R601" i="9"/>
  <c r="U601" i="9" s="1"/>
  <c r="L601" i="9"/>
  <c r="O601" i="9" s="1"/>
  <c r="N578" i="9"/>
  <c r="N576" i="9" s="1"/>
  <c r="N536" i="9"/>
  <c r="N534" i="9" s="1"/>
  <c r="S415" i="9"/>
  <c r="S413" i="9" s="1"/>
  <c r="I332" i="9"/>
  <c r="K344" i="9"/>
  <c r="I253" i="9"/>
  <c r="K253" i="9" s="1"/>
  <c r="K260" i="9"/>
  <c r="I242" i="9"/>
  <c r="K249" i="9"/>
  <c r="I238" i="9"/>
  <c r="K238" i="9" s="1"/>
  <c r="O125" i="9"/>
  <c r="L123" i="9"/>
  <c r="O123" i="9" s="1"/>
  <c r="O514" i="9"/>
  <c r="K456" i="9"/>
  <c r="U418" i="9"/>
  <c r="R416" i="9"/>
  <c r="U416" i="9" s="1"/>
  <c r="R415" i="9"/>
  <c r="M392" i="9"/>
  <c r="P392" i="9" s="1"/>
  <c r="I365" i="9"/>
  <c r="K365" i="9" s="1"/>
  <c r="S19" i="9"/>
  <c r="M179" i="7"/>
  <c r="P179" i="7" s="1"/>
  <c r="O176" i="7"/>
  <c r="K785" i="8"/>
  <c r="K782" i="8"/>
  <c r="Q601" i="8"/>
  <c r="T601" i="8" s="1"/>
  <c r="K221" i="8"/>
  <c r="O178" i="8"/>
  <c r="Q141" i="8"/>
  <c r="T141" i="8" s="1"/>
  <c r="L96" i="8"/>
  <c r="O96" i="8" s="1"/>
  <c r="T765" i="9"/>
  <c r="U695" i="9"/>
  <c r="U647" i="9"/>
  <c r="O521" i="9"/>
  <c r="R513" i="9"/>
  <c r="U513" i="9" s="1"/>
  <c r="U514" i="9"/>
  <c r="R356" i="9"/>
  <c r="U356" i="9" s="1"/>
  <c r="U357" i="9"/>
  <c r="J343" i="9"/>
  <c r="Q333" i="9"/>
  <c r="T333" i="9" s="1"/>
  <c r="L305" i="9"/>
  <c r="I280" i="9"/>
  <c r="K280" i="9" s="1"/>
  <c r="O274" i="9"/>
  <c r="I221" i="9"/>
  <c r="K221" i="9" s="1"/>
  <c r="K229" i="9"/>
  <c r="R192" i="9"/>
  <c r="U192" i="9" s="1"/>
  <c r="R188" i="9"/>
  <c r="P144" i="9"/>
  <c r="M142" i="9"/>
  <c r="Q26" i="9"/>
  <c r="P25" i="9"/>
  <c r="M19" i="9"/>
  <c r="I492" i="9"/>
  <c r="K492" i="9" s="1"/>
  <c r="L285" i="9"/>
  <c r="O285" i="9" s="1"/>
  <c r="L284" i="9"/>
  <c r="I281" i="9"/>
  <c r="K281" i="9" s="1"/>
  <c r="L234" i="9"/>
  <c r="J231" i="9"/>
  <c r="J185" i="9" s="1"/>
  <c r="P181" i="9"/>
  <c r="S175" i="9"/>
  <c r="S173" i="9" s="1"/>
  <c r="S176" i="9"/>
  <c r="M175" i="9"/>
  <c r="U22" i="9"/>
  <c r="P518" i="9"/>
  <c r="T418" i="9"/>
  <c r="T380" i="9"/>
  <c r="L309" i="9"/>
  <c r="O309" i="9" s="1"/>
  <c r="P306" i="9"/>
  <c r="P267" i="9"/>
  <c r="L254" i="9"/>
  <c r="O254" i="9" s="1"/>
  <c r="L233" i="9"/>
  <c r="P194" i="9"/>
  <c r="P191" i="9"/>
  <c r="M188" i="9"/>
  <c r="O165" i="9"/>
  <c r="L163" i="9"/>
  <c r="O163" i="9" s="1"/>
  <c r="U162" i="9"/>
  <c r="R160" i="9"/>
  <c r="U160" i="9" s="1"/>
  <c r="R159" i="9"/>
  <c r="I136" i="9"/>
  <c r="K136" i="9" s="1"/>
  <c r="K154" i="9"/>
  <c r="P147" i="9"/>
  <c r="M145" i="9"/>
  <c r="P145" i="9" s="1"/>
  <c r="O52" i="9"/>
  <c r="L26" i="9"/>
  <c r="O26" i="9" s="1"/>
  <c r="L50" i="9"/>
  <c r="O50" i="9" s="1"/>
  <c r="P189" i="9"/>
  <c r="I172" i="9"/>
  <c r="K172" i="9" s="1"/>
  <c r="K183" i="9"/>
  <c r="O174" i="9"/>
  <c r="Q157" i="9"/>
  <c r="T157" i="9" s="1"/>
  <c r="U125" i="9"/>
  <c r="R123" i="9"/>
  <c r="U123" i="9" s="1"/>
  <c r="P99" i="9"/>
  <c r="M97" i="9"/>
  <c r="P97" i="9" s="1"/>
  <c r="M96" i="9"/>
  <c r="J332" i="9"/>
  <c r="N335" i="9"/>
  <c r="N333" i="9" s="1"/>
  <c r="L335" i="9"/>
  <c r="P311" i="9"/>
  <c r="T308" i="9"/>
  <c r="M305" i="9"/>
  <c r="U271" i="9"/>
  <c r="R268" i="9"/>
  <c r="U268" i="9" s="1"/>
  <c r="S188" i="9"/>
  <c r="S186" i="9" s="1"/>
  <c r="R173" i="9"/>
  <c r="U173" i="9" s="1"/>
  <c r="U174" i="9"/>
  <c r="S141" i="9"/>
  <c r="S139" i="9" s="1"/>
  <c r="O122" i="9"/>
  <c r="L120" i="9"/>
  <c r="O120" i="9" s="1"/>
  <c r="L119" i="9"/>
  <c r="O119" i="9" s="1"/>
  <c r="R26" i="9"/>
  <c r="O67" i="9"/>
  <c r="L65" i="9"/>
  <c r="O65" i="9" s="1"/>
  <c r="L61" i="9"/>
  <c r="P60" i="9"/>
  <c r="O19" i="9"/>
  <c r="Q305" i="9"/>
  <c r="P271" i="9"/>
  <c r="L243" i="9"/>
  <c r="Q188" i="9"/>
  <c r="Q186" i="9" s="1"/>
  <c r="O162" i="9"/>
  <c r="L160" i="9"/>
  <c r="O160" i="9" s="1"/>
  <c r="O147" i="9"/>
  <c r="L145" i="9"/>
  <c r="O145" i="9" s="1"/>
  <c r="T140" i="9"/>
  <c r="T125" i="9"/>
  <c r="Q123" i="9"/>
  <c r="T123" i="9" s="1"/>
  <c r="O95" i="9"/>
  <c r="P67" i="9"/>
  <c r="M65" i="9"/>
  <c r="P65" i="9" s="1"/>
  <c r="M61" i="9"/>
  <c r="M339" i="9"/>
  <c r="P339" i="9" s="1"/>
  <c r="L326" i="9"/>
  <c r="O326" i="9" s="1"/>
  <c r="Q306" i="9"/>
  <c r="T162" i="9"/>
  <c r="Q160" i="9"/>
  <c r="T160" i="9" s="1"/>
  <c r="U147" i="9"/>
  <c r="R145" i="9"/>
  <c r="U145" i="9" s="1"/>
  <c r="O144" i="9"/>
  <c r="L142" i="9"/>
  <c r="L141" i="9"/>
  <c r="U122" i="9"/>
  <c r="R120" i="9"/>
  <c r="U120" i="9" s="1"/>
  <c r="T97" i="9"/>
  <c r="U95" i="9"/>
  <c r="I83" i="9"/>
  <c r="P73" i="9"/>
  <c r="O25" i="9"/>
  <c r="N23" i="9"/>
  <c r="P22" i="9"/>
  <c r="R176" i="9"/>
  <c r="U176" i="9" s="1"/>
  <c r="T122" i="9"/>
  <c r="Q120" i="9"/>
  <c r="T120" i="9" s="1"/>
  <c r="P102" i="9"/>
  <c r="M100" i="9"/>
  <c r="P100" i="9" s="1"/>
  <c r="T95" i="9"/>
  <c r="S26" i="9"/>
  <c r="S24" i="9" s="1"/>
  <c r="P52" i="9"/>
  <c r="M26" i="9"/>
  <c r="P26" i="9" s="1"/>
  <c r="M50" i="9"/>
  <c r="P50" i="9" s="1"/>
  <c r="M46" i="9"/>
  <c r="O22" i="9"/>
  <c r="Q141" i="9"/>
  <c r="Q139" i="9" s="1"/>
  <c r="R96" i="9"/>
  <c r="L96" i="9"/>
  <c r="O96" i="9" s="1"/>
  <c r="P95" i="9"/>
  <c r="T80" i="9"/>
  <c r="T77" i="9"/>
  <c r="S23" i="9"/>
  <c r="S21" i="9" s="1"/>
  <c r="M23" i="9"/>
  <c r="M21" i="9" s="1"/>
  <c r="Q96" i="9"/>
  <c r="K85" i="9"/>
  <c r="R23" i="9"/>
  <c r="R21" i="9" s="1"/>
  <c r="L23" i="9"/>
  <c r="L21" i="9" s="1"/>
  <c r="Q145" i="9"/>
  <c r="T145" i="9" s="1"/>
  <c r="Q142" i="9"/>
  <c r="T142" i="9" s="1"/>
  <c r="Q23" i="9"/>
  <c r="P542" i="6"/>
  <c r="K779" i="7"/>
  <c r="K779" i="8"/>
  <c r="Q496" i="8"/>
  <c r="T496" i="8" s="1"/>
  <c r="T498" i="8"/>
  <c r="M322" i="8"/>
  <c r="P322" i="8" s="1"/>
  <c r="M323" i="8"/>
  <c r="P323" i="8" s="1"/>
  <c r="P325" i="8"/>
  <c r="P158" i="8"/>
  <c r="S65" i="1"/>
  <c r="L235" i="4"/>
  <c r="K784" i="7"/>
  <c r="P271" i="7"/>
  <c r="K109" i="7"/>
  <c r="P49" i="7"/>
  <c r="K784" i="8"/>
  <c r="K781" i="8"/>
  <c r="R763" i="8"/>
  <c r="R762" i="8"/>
  <c r="U762" i="8" s="1"/>
  <c r="U733" i="8"/>
  <c r="S731" i="8"/>
  <c r="T731" i="8" s="1"/>
  <c r="Q730" i="8"/>
  <c r="T730" i="8" s="1"/>
  <c r="P715" i="8"/>
  <c r="J626" i="8"/>
  <c r="K626" i="8" s="1"/>
  <c r="P535" i="8"/>
  <c r="K503" i="8"/>
  <c r="I492" i="8"/>
  <c r="K492" i="8" s="1"/>
  <c r="M358" i="8"/>
  <c r="M356" i="8" s="1"/>
  <c r="M359" i="8"/>
  <c r="P359" i="8" s="1"/>
  <c r="P361" i="8"/>
  <c r="U283" i="8"/>
  <c r="R282" i="8"/>
  <c r="U282" i="8" s="1"/>
  <c r="O176" i="8"/>
  <c r="Q78" i="8"/>
  <c r="T78" i="8" s="1"/>
  <c r="T80" i="8"/>
  <c r="L267" i="1"/>
  <c r="O267" i="1" s="1"/>
  <c r="K629" i="6"/>
  <c r="K369" i="6"/>
  <c r="L582" i="7"/>
  <c r="O582" i="7" s="1"/>
  <c r="L516" i="7"/>
  <c r="O516" i="7" s="1"/>
  <c r="O311" i="7"/>
  <c r="I238" i="7"/>
  <c r="K238" i="7" s="1"/>
  <c r="Q192" i="7"/>
  <c r="T192" i="7" s="1"/>
  <c r="Q763" i="8"/>
  <c r="T733" i="8"/>
  <c r="J702" i="8"/>
  <c r="S534" i="8"/>
  <c r="S305" i="8"/>
  <c r="S303" i="8" s="1"/>
  <c r="S306" i="8"/>
  <c r="U306" i="8" s="1"/>
  <c r="O308" i="8"/>
  <c r="L306" i="8"/>
  <c r="O306" i="8" s="1"/>
  <c r="L272" i="8"/>
  <c r="O272" i="8" s="1"/>
  <c r="O274" i="8"/>
  <c r="K249" i="8"/>
  <c r="I242" i="8"/>
  <c r="K242" i="8" s="1"/>
  <c r="N232" i="8"/>
  <c r="O125" i="8"/>
  <c r="L123" i="8"/>
  <c r="O123" i="8" s="1"/>
  <c r="L119" i="8"/>
  <c r="O119" i="8" s="1"/>
  <c r="K780" i="6"/>
  <c r="T308" i="6"/>
  <c r="P518" i="7"/>
  <c r="M499" i="7"/>
  <c r="P499" i="7" s="1"/>
  <c r="N415" i="7"/>
  <c r="N413" i="7" s="1"/>
  <c r="I253" i="7"/>
  <c r="K253" i="7" s="1"/>
  <c r="O147" i="7"/>
  <c r="S692" i="8"/>
  <c r="S690" i="8" s="1"/>
  <c r="S693" i="8"/>
  <c r="L558" i="8"/>
  <c r="O558" i="8" s="1"/>
  <c r="O560" i="8"/>
  <c r="K344" i="8"/>
  <c r="I332" i="8"/>
  <c r="O341" i="8"/>
  <c r="L339" i="8"/>
  <c r="O339" i="8" s="1"/>
  <c r="M269" i="8"/>
  <c r="P271" i="8"/>
  <c r="U194" i="8"/>
  <c r="R192" i="8"/>
  <c r="U192" i="8" s="1"/>
  <c r="Q74" i="8"/>
  <c r="T74" i="8" s="1"/>
  <c r="Q75" i="8"/>
  <c r="T75" i="8" s="1"/>
  <c r="T77" i="8"/>
  <c r="K780" i="7"/>
  <c r="L381" i="7"/>
  <c r="O381" i="7" s="1"/>
  <c r="O67" i="7"/>
  <c r="M536" i="8"/>
  <c r="P536" i="8" s="1"/>
  <c r="M537" i="8"/>
  <c r="P537" i="8" s="1"/>
  <c r="P539" i="8"/>
  <c r="Q413" i="8"/>
  <c r="T414" i="8"/>
  <c r="I238" i="8"/>
  <c r="K238" i="8" s="1"/>
  <c r="I253" i="8"/>
  <c r="K253" i="8" s="1"/>
  <c r="N159" i="8"/>
  <c r="P162" i="8"/>
  <c r="N160" i="8"/>
  <c r="P160" i="8" s="1"/>
  <c r="U147" i="8"/>
  <c r="R145" i="8"/>
  <c r="U145" i="8" s="1"/>
  <c r="O45" i="8"/>
  <c r="J674" i="8"/>
  <c r="U647" i="8"/>
  <c r="R645" i="8"/>
  <c r="U645" i="8" s="1"/>
  <c r="N578" i="8"/>
  <c r="N576" i="8" s="1"/>
  <c r="P518" i="8"/>
  <c r="T418" i="8"/>
  <c r="L415" i="8"/>
  <c r="L413" i="8" s="1"/>
  <c r="Q416" i="8"/>
  <c r="T416" i="8" s="1"/>
  <c r="O364" i="8"/>
  <c r="L358" i="8"/>
  <c r="L356" i="8" s="1"/>
  <c r="M326" i="8"/>
  <c r="P326" i="8" s="1"/>
  <c r="S320" i="8"/>
  <c r="U308" i="8"/>
  <c r="O290" i="8"/>
  <c r="Q282" i="8"/>
  <c r="T282" i="8" s="1"/>
  <c r="L268" i="8"/>
  <c r="Q269" i="8"/>
  <c r="L236" i="8"/>
  <c r="L192" i="8"/>
  <c r="O192" i="8" s="1"/>
  <c r="M188" i="8"/>
  <c r="M186" i="8" s="1"/>
  <c r="S189" i="8"/>
  <c r="T189" i="8" s="1"/>
  <c r="P165" i="8"/>
  <c r="M159" i="8"/>
  <c r="M157" i="8" s="1"/>
  <c r="S160" i="8"/>
  <c r="N119" i="8"/>
  <c r="N117" i="8" s="1"/>
  <c r="P80" i="8"/>
  <c r="P77" i="8"/>
  <c r="S59" i="8"/>
  <c r="S44" i="8"/>
  <c r="N19" i="8"/>
  <c r="S619" i="8"/>
  <c r="T619" i="8" s="1"/>
  <c r="S616" i="8"/>
  <c r="N601" i="8"/>
  <c r="N599" i="8" s="1"/>
  <c r="M578" i="8"/>
  <c r="S555" i="8"/>
  <c r="Q555" i="8"/>
  <c r="T555" i="8" s="1"/>
  <c r="O542" i="8"/>
  <c r="O518" i="8"/>
  <c r="L416" i="8"/>
  <c r="K330" i="8"/>
  <c r="P311" i="8"/>
  <c r="T268" i="8"/>
  <c r="L254" i="8"/>
  <c r="O254" i="8" s="1"/>
  <c r="L235" i="8"/>
  <c r="T191" i="8"/>
  <c r="R189" i="8"/>
  <c r="S157" i="8"/>
  <c r="P64" i="8"/>
  <c r="M605" i="8"/>
  <c r="P605" i="8" s="1"/>
  <c r="M601" i="8"/>
  <c r="N381" i="8"/>
  <c r="K292" i="8"/>
  <c r="I265" i="8"/>
  <c r="K265" i="8" s="1"/>
  <c r="L234" i="8"/>
  <c r="N175" i="8"/>
  <c r="N173" i="8" s="1"/>
  <c r="S119" i="8"/>
  <c r="S117" i="8" s="1"/>
  <c r="S26" i="8"/>
  <c r="S24" i="8" s="1"/>
  <c r="S601" i="8"/>
  <c r="S599" i="8" s="1"/>
  <c r="N602" i="8"/>
  <c r="O584" i="8"/>
  <c r="Q305" i="8"/>
  <c r="Q303" i="8" s="1"/>
  <c r="L233" i="8"/>
  <c r="S176" i="8"/>
  <c r="S173" i="8"/>
  <c r="N141" i="8"/>
  <c r="N139" i="8" s="1"/>
  <c r="U122" i="8"/>
  <c r="M120" i="8"/>
  <c r="P120" i="8" s="1"/>
  <c r="L46" i="8"/>
  <c r="L44" i="8" s="1"/>
  <c r="U695" i="8"/>
  <c r="M602" i="8"/>
  <c r="P602" i="8" s="1"/>
  <c r="N536" i="8"/>
  <c r="N534" i="8" s="1"/>
  <c r="J458" i="8"/>
  <c r="S377" i="8"/>
  <c r="S375" i="8" s="1"/>
  <c r="K369" i="8"/>
  <c r="N358" i="8"/>
  <c r="N322" i="8"/>
  <c r="N320" i="8" s="1"/>
  <c r="T308" i="8"/>
  <c r="M305" i="8"/>
  <c r="M303" i="8" s="1"/>
  <c r="P303" i="8" s="1"/>
  <c r="P287" i="8"/>
  <c r="U271" i="8"/>
  <c r="N268" i="8"/>
  <c r="N266" i="8" s="1"/>
  <c r="R176" i="8"/>
  <c r="U176" i="8" s="1"/>
  <c r="M145" i="8"/>
  <c r="P145" i="8" s="1"/>
  <c r="L120" i="8"/>
  <c r="O120" i="8" s="1"/>
  <c r="R74" i="8"/>
  <c r="U74" i="8" s="1"/>
  <c r="L74" i="8"/>
  <c r="L72" i="8" s="1"/>
  <c r="O72" i="8" s="1"/>
  <c r="I265" i="5"/>
  <c r="K265" i="5" s="1"/>
  <c r="K276" i="5"/>
  <c r="O730" i="8"/>
  <c r="L728" i="8"/>
  <c r="O728" i="8" s="1"/>
  <c r="P644" i="8"/>
  <c r="M642" i="8"/>
  <c r="P642" i="8" s="1"/>
  <c r="O556" i="8"/>
  <c r="U498" i="8"/>
  <c r="R496" i="8"/>
  <c r="U496" i="8" s="1"/>
  <c r="R495" i="8"/>
  <c r="U495" i="8" s="1"/>
  <c r="I92" i="8"/>
  <c r="K92" i="8" s="1"/>
  <c r="K108" i="8"/>
  <c r="P165" i="5"/>
  <c r="M272" i="7"/>
  <c r="P272" i="7" s="1"/>
  <c r="P274" i="7"/>
  <c r="S160" i="7"/>
  <c r="P99" i="7"/>
  <c r="P762" i="8"/>
  <c r="M760" i="8"/>
  <c r="P760" i="8" s="1"/>
  <c r="I701" i="8"/>
  <c r="K701" i="8" s="1"/>
  <c r="K703" i="8"/>
  <c r="L690" i="8"/>
  <c r="O690" i="8" s="1"/>
  <c r="O691" i="8"/>
  <c r="Q618" i="8"/>
  <c r="T621" i="8"/>
  <c r="J615" i="8"/>
  <c r="T604" i="8"/>
  <c r="Q602" i="8"/>
  <c r="T602" i="8" s="1"/>
  <c r="K457" i="8"/>
  <c r="I456" i="8"/>
  <c r="K456" i="8" s="1"/>
  <c r="P380" i="8"/>
  <c r="M378" i="8"/>
  <c r="P378" i="8" s="1"/>
  <c r="M377" i="8"/>
  <c r="R375" i="8"/>
  <c r="U376" i="8"/>
  <c r="L145" i="5"/>
  <c r="O145" i="5" s="1"/>
  <c r="O147" i="5"/>
  <c r="M537" i="7"/>
  <c r="P537" i="7" s="1"/>
  <c r="P539" i="7"/>
  <c r="S377" i="7"/>
  <c r="S375" i="7" s="1"/>
  <c r="S378" i="7"/>
  <c r="I137" i="7"/>
  <c r="K137" i="7" s="1"/>
  <c r="K152" i="7"/>
  <c r="Q760" i="8"/>
  <c r="T760" i="8" s="1"/>
  <c r="T761" i="8"/>
  <c r="R619" i="8"/>
  <c r="R618" i="8"/>
  <c r="U618" i="8" s="1"/>
  <c r="U621" i="8"/>
  <c r="U604" i="8"/>
  <c r="R602" i="8"/>
  <c r="U602" i="8" s="1"/>
  <c r="N557" i="8"/>
  <c r="N555" i="8" s="1"/>
  <c r="N416" i="8"/>
  <c r="P416" i="8" s="1"/>
  <c r="P418" i="8"/>
  <c r="N415" i="8"/>
  <c r="T95" i="8"/>
  <c r="K183" i="3"/>
  <c r="U695" i="6"/>
  <c r="L100" i="6"/>
  <c r="O100" i="6" s="1"/>
  <c r="O102" i="6"/>
  <c r="J675" i="7"/>
  <c r="M381" i="7"/>
  <c r="P381" i="7" s="1"/>
  <c r="P383" i="7"/>
  <c r="S306" i="7"/>
  <c r="T306" i="7" s="1"/>
  <c r="K276" i="7"/>
  <c r="L163" i="7"/>
  <c r="O163" i="7" s="1"/>
  <c r="I92" i="7"/>
  <c r="K92" i="7" s="1"/>
  <c r="O762" i="8"/>
  <c r="L760" i="8"/>
  <c r="O760" i="8" s="1"/>
  <c r="U691" i="8"/>
  <c r="L642" i="8"/>
  <c r="O642" i="8" s="1"/>
  <c r="O643" i="8"/>
  <c r="M616" i="8"/>
  <c r="P616" i="8" s="1"/>
  <c r="P617" i="8"/>
  <c r="O607" i="8"/>
  <c r="L605" i="8"/>
  <c r="O605" i="8" s="1"/>
  <c r="R601" i="8"/>
  <c r="R555" i="8"/>
  <c r="U555" i="8" s="1"/>
  <c r="U556" i="8"/>
  <c r="O539" i="8"/>
  <c r="L537" i="8"/>
  <c r="O537" i="8" s="1"/>
  <c r="R534" i="8"/>
  <c r="U534" i="8" s="1"/>
  <c r="N495" i="8"/>
  <c r="N493" i="8" s="1"/>
  <c r="K440" i="8"/>
  <c r="I423" i="8"/>
  <c r="O380" i="8"/>
  <c r="L378" i="8"/>
  <c r="O378" i="8" s="1"/>
  <c r="L377" i="8"/>
  <c r="L375" i="8" s="1"/>
  <c r="T376" i="8"/>
  <c r="O334" i="8"/>
  <c r="N284" i="8"/>
  <c r="N282" i="8" s="1"/>
  <c r="T267" i="8"/>
  <c r="Q266" i="8"/>
  <c r="R159" i="8"/>
  <c r="R160" i="8"/>
  <c r="U160" i="8" s="1"/>
  <c r="U162" i="8"/>
  <c r="P22" i="8"/>
  <c r="M19" i="8"/>
  <c r="R762" i="6"/>
  <c r="U762" i="6" s="1"/>
  <c r="U765" i="6"/>
  <c r="Q731" i="6"/>
  <c r="Q730" i="6"/>
  <c r="T730" i="6" s="1"/>
  <c r="T733" i="6"/>
  <c r="O716" i="8"/>
  <c r="L714" i="8"/>
  <c r="O714" i="8" s="1"/>
  <c r="R642" i="8"/>
  <c r="U642" i="8" s="1"/>
  <c r="U643" i="8"/>
  <c r="L616" i="8"/>
  <c r="O616" i="8" s="1"/>
  <c r="O617" i="8"/>
  <c r="O581" i="8"/>
  <c r="L579" i="8"/>
  <c r="O579" i="8" s="1"/>
  <c r="U578" i="8"/>
  <c r="R576" i="8"/>
  <c r="U576" i="8" s="1"/>
  <c r="T536" i="8"/>
  <c r="Q534" i="8"/>
  <c r="T534" i="8" s="1"/>
  <c r="U515" i="8"/>
  <c r="R513" i="8"/>
  <c r="U513" i="8" s="1"/>
  <c r="K505" i="8"/>
  <c r="J503" i="8"/>
  <c r="J492" i="8" s="1"/>
  <c r="Q416" i="5"/>
  <c r="Q415" i="5"/>
  <c r="Q413" i="5" s="1"/>
  <c r="R415" i="6"/>
  <c r="R413" i="6" s="1"/>
  <c r="U413" i="6" s="1"/>
  <c r="U418" i="6"/>
  <c r="P194" i="7"/>
  <c r="M192" i="7"/>
  <c r="P192" i="7" s="1"/>
  <c r="M78" i="7"/>
  <c r="P78" i="7" s="1"/>
  <c r="P80" i="7"/>
  <c r="S763" i="8"/>
  <c r="T765" i="8"/>
  <c r="U716" i="8"/>
  <c r="R714" i="8"/>
  <c r="U714" i="8" s="1"/>
  <c r="Q693" i="8"/>
  <c r="T693" i="8" s="1"/>
  <c r="Q692" i="8"/>
  <c r="T692" i="8" s="1"/>
  <c r="T695" i="8"/>
  <c r="T643" i="8"/>
  <c r="T607" i="8"/>
  <c r="Q605" i="8"/>
  <c r="T605" i="8" s="1"/>
  <c r="T578" i="8"/>
  <c r="Q576" i="8"/>
  <c r="T576" i="8" s="1"/>
  <c r="O563" i="8"/>
  <c r="L561" i="8"/>
  <c r="O561" i="8" s="1"/>
  <c r="T515" i="8"/>
  <c r="Q513" i="8"/>
  <c r="T513" i="8" s="1"/>
  <c r="Q394" i="8"/>
  <c r="T397" i="8"/>
  <c r="Q395" i="8"/>
  <c r="T395" i="8" s="1"/>
  <c r="I374" i="8"/>
  <c r="O304" i="8"/>
  <c r="S645" i="5"/>
  <c r="L362" i="6"/>
  <c r="O362" i="6" s="1"/>
  <c r="O364" i="6"/>
  <c r="T691" i="8"/>
  <c r="U607" i="8"/>
  <c r="R605" i="8"/>
  <c r="U605" i="8" s="1"/>
  <c r="P521" i="8"/>
  <c r="M519" i="8"/>
  <c r="P519" i="8" s="1"/>
  <c r="R394" i="8"/>
  <c r="U397" i="8"/>
  <c r="R395" i="8"/>
  <c r="U395" i="8" s="1"/>
  <c r="O383" i="8"/>
  <c r="L381" i="8"/>
  <c r="O381" i="8" s="1"/>
  <c r="K630" i="5"/>
  <c r="K632" i="5"/>
  <c r="O563" i="5"/>
  <c r="U144" i="5"/>
  <c r="L582" i="6"/>
  <c r="O582" i="6" s="1"/>
  <c r="O584" i="6"/>
  <c r="S268" i="7"/>
  <c r="S266" i="7" s="1"/>
  <c r="T266" i="7" s="1"/>
  <c r="T271" i="7"/>
  <c r="L61" i="7"/>
  <c r="L59" i="7" s="1"/>
  <c r="T762" i="8"/>
  <c r="T716" i="8"/>
  <c r="Q714" i="8"/>
  <c r="T714" i="8" s="1"/>
  <c r="P692" i="8"/>
  <c r="M690" i="8"/>
  <c r="P690" i="8" s="1"/>
  <c r="J675" i="8"/>
  <c r="Q645" i="8"/>
  <c r="T645" i="8" s="1"/>
  <c r="Q644" i="8"/>
  <c r="T644" i="8" s="1"/>
  <c r="T647" i="8"/>
  <c r="U617" i="8"/>
  <c r="O604" i="8"/>
  <c r="L602" i="8"/>
  <c r="O602" i="8" s="1"/>
  <c r="L578" i="8"/>
  <c r="P556" i="8"/>
  <c r="O418" i="8"/>
  <c r="P338" i="8"/>
  <c r="M336" i="8"/>
  <c r="U304" i="8"/>
  <c r="N189" i="8"/>
  <c r="O189" i="8" s="1"/>
  <c r="P191" i="8"/>
  <c r="N188" i="8"/>
  <c r="N23" i="8"/>
  <c r="U73" i="8"/>
  <c r="O274" i="6"/>
  <c r="T191" i="6"/>
  <c r="P47" i="6"/>
  <c r="I701" i="7"/>
  <c r="K701" i="7" s="1"/>
  <c r="Q644" i="7"/>
  <c r="Q642" i="7" s="1"/>
  <c r="S496" i="7"/>
  <c r="K369" i="7"/>
  <c r="J351" i="7"/>
  <c r="P341" i="7"/>
  <c r="L234" i="7"/>
  <c r="S176" i="7"/>
  <c r="I615" i="8"/>
  <c r="K615" i="8" s="1"/>
  <c r="M557" i="8"/>
  <c r="P557" i="8" s="1"/>
  <c r="P501" i="8"/>
  <c r="M499" i="8"/>
  <c r="P499" i="8" s="1"/>
  <c r="O494" i="8"/>
  <c r="U416" i="8"/>
  <c r="M392" i="8"/>
  <c r="P392" i="8" s="1"/>
  <c r="P393" i="8"/>
  <c r="R333" i="8"/>
  <c r="U333" i="8" s="1"/>
  <c r="U334" i="8"/>
  <c r="M288" i="8"/>
  <c r="P288" i="8" s="1"/>
  <c r="M284" i="8"/>
  <c r="O187" i="8"/>
  <c r="T175" i="8"/>
  <c r="Q173" i="8"/>
  <c r="T173" i="8" s="1"/>
  <c r="Q26" i="8"/>
  <c r="T26" i="8" s="1"/>
  <c r="L557" i="8"/>
  <c r="O557" i="8" s="1"/>
  <c r="N515" i="8"/>
  <c r="N513" i="8" s="1"/>
  <c r="O501" i="8"/>
  <c r="L499" i="8"/>
  <c r="O499" i="8" s="1"/>
  <c r="P498" i="8"/>
  <c r="M496" i="8"/>
  <c r="P496" i="8" s="1"/>
  <c r="U494" i="8"/>
  <c r="U380" i="8"/>
  <c r="R378" i="8"/>
  <c r="Q333" i="8"/>
  <c r="T333" i="8" s="1"/>
  <c r="T334" i="8"/>
  <c r="P144" i="8"/>
  <c r="M141" i="8"/>
  <c r="M142" i="8"/>
  <c r="P142" i="8" s="1"/>
  <c r="M23" i="8"/>
  <c r="S97" i="8"/>
  <c r="T97" i="8" s="1"/>
  <c r="S96" i="8"/>
  <c r="S94" i="8" s="1"/>
  <c r="S23" i="8"/>
  <c r="T99" i="8"/>
  <c r="K87" i="8"/>
  <c r="I83" i="8"/>
  <c r="T25" i="8"/>
  <c r="T619" i="5"/>
  <c r="K774" i="7"/>
  <c r="R618" i="7"/>
  <c r="R616" i="7" s="1"/>
  <c r="K371" i="7"/>
  <c r="K368" i="7"/>
  <c r="N335" i="7"/>
  <c r="K249" i="7"/>
  <c r="L97" i="7"/>
  <c r="O97" i="7" s="1"/>
  <c r="M582" i="8"/>
  <c r="P582" i="8" s="1"/>
  <c r="M558" i="8"/>
  <c r="P558" i="8" s="1"/>
  <c r="M540" i="8"/>
  <c r="P540" i="8" s="1"/>
  <c r="L519" i="8"/>
  <c r="O519" i="8" s="1"/>
  <c r="M515" i="8"/>
  <c r="O498" i="8"/>
  <c r="L496" i="8"/>
  <c r="O496" i="8" s="1"/>
  <c r="T494" i="8"/>
  <c r="P414" i="8"/>
  <c r="P364" i="8"/>
  <c r="M362" i="8"/>
  <c r="P362" i="8" s="1"/>
  <c r="L323" i="8"/>
  <c r="O323" i="8" s="1"/>
  <c r="O325" i="8"/>
  <c r="L322" i="8"/>
  <c r="O322" i="8" s="1"/>
  <c r="K302" i="8"/>
  <c r="L214" i="8"/>
  <c r="O214" i="8" s="1"/>
  <c r="U187" i="8"/>
  <c r="M179" i="8"/>
  <c r="P179" i="8" s="1"/>
  <c r="I138" i="8"/>
  <c r="K138" i="8" s="1"/>
  <c r="K153" i="8"/>
  <c r="P67" i="8"/>
  <c r="M65" i="8"/>
  <c r="P65" i="8" s="1"/>
  <c r="M26" i="8"/>
  <c r="M24" i="8" s="1"/>
  <c r="K784" i="6"/>
  <c r="O563" i="7"/>
  <c r="J374" i="7"/>
  <c r="M188" i="7"/>
  <c r="M186" i="7" s="1"/>
  <c r="S395" i="8"/>
  <c r="S394" i="8"/>
  <c r="S392" i="8" s="1"/>
  <c r="P383" i="8"/>
  <c r="M381" i="8"/>
  <c r="P381" i="8" s="1"/>
  <c r="O376" i="8"/>
  <c r="K371" i="8"/>
  <c r="I365" i="8"/>
  <c r="K365" i="8" s="1"/>
  <c r="T358" i="8"/>
  <c r="Q356" i="8"/>
  <c r="T356" i="8" s="1"/>
  <c r="O338" i="8"/>
  <c r="N336" i="8"/>
  <c r="O336" i="8" s="1"/>
  <c r="N335" i="8"/>
  <c r="N333" i="8" s="1"/>
  <c r="L326" i="8"/>
  <c r="O326" i="8" s="1"/>
  <c r="O328" i="8"/>
  <c r="K230" i="8"/>
  <c r="K195" i="8"/>
  <c r="P174" i="8"/>
  <c r="L159" i="8"/>
  <c r="L160" i="8"/>
  <c r="O160" i="8" s="1"/>
  <c r="O162" i="8"/>
  <c r="T147" i="8"/>
  <c r="Q145" i="8"/>
  <c r="T145" i="8" s="1"/>
  <c r="Q495" i="8"/>
  <c r="T495" i="8" s="1"/>
  <c r="S415" i="8"/>
  <c r="S413" i="8" s="1"/>
  <c r="M415" i="8"/>
  <c r="Q377" i="8"/>
  <c r="O361" i="8"/>
  <c r="J332" i="8"/>
  <c r="L335" i="8"/>
  <c r="N305" i="8"/>
  <c r="N303" i="8" s="1"/>
  <c r="O283" i="8"/>
  <c r="M268" i="8"/>
  <c r="M266" i="8" s="1"/>
  <c r="P267" i="8"/>
  <c r="K260" i="8"/>
  <c r="L222" i="8"/>
  <c r="O222" i="8" s="1"/>
  <c r="T194" i="8"/>
  <c r="O191" i="8"/>
  <c r="I172" i="8"/>
  <c r="K172" i="8" s="1"/>
  <c r="K183" i="8"/>
  <c r="L179" i="8"/>
  <c r="O179" i="8" s="1"/>
  <c r="O181" i="8"/>
  <c r="U175" i="8"/>
  <c r="I156" i="8"/>
  <c r="K156" i="8" s="1"/>
  <c r="K169" i="8"/>
  <c r="T122" i="8"/>
  <c r="Q120" i="8"/>
  <c r="T120" i="8" s="1"/>
  <c r="Q119" i="8"/>
  <c r="N96" i="8"/>
  <c r="N94" i="8" s="1"/>
  <c r="N47" i="8"/>
  <c r="N46" i="8"/>
  <c r="P49" i="8"/>
  <c r="O22" i="8"/>
  <c r="L19" i="8"/>
  <c r="U19" i="8"/>
  <c r="R26" i="8"/>
  <c r="U26" i="8" s="1"/>
  <c r="U125" i="8"/>
  <c r="N78" i="8"/>
  <c r="N26" i="8"/>
  <c r="N24" i="8" s="1"/>
  <c r="N62" i="8"/>
  <c r="P62" i="8" s="1"/>
  <c r="O64" i="8"/>
  <c r="N61" i="8"/>
  <c r="N59" i="8" s="1"/>
  <c r="O25" i="8"/>
  <c r="J343" i="8"/>
  <c r="O321" i="8"/>
  <c r="T271" i="8"/>
  <c r="S269" i="8"/>
  <c r="S266" i="8"/>
  <c r="K209" i="8"/>
  <c r="I202" i="8"/>
  <c r="K202" i="8" s="1"/>
  <c r="L175" i="8"/>
  <c r="L163" i="8"/>
  <c r="O163" i="8" s="1"/>
  <c r="U144" i="8"/>
  <c r="R142" i="8"/>
  <c r="U142" i="8" s="1"/>
  <c r="R141" i="8"/>
  <c r="T140" i="8"/>
  <c r="T125" i="8"/>
  <c r="Q123" i="8"/>
  <c r="T123" i="8" s="1"/>
  <c r="R119" i="8"/>
  <c r="K84" i="8"/>
  <c r="I82" i="8"/>
  <c r="N74" i="8"/>
  <c r="N72" i="8" s="1"/>
  <c r="P73" i="8"/>
  <c r="R59" i="8"/>
  <c r="U59" i="8" s="1"/>
  <c r="P52" i="8"/>
  <c r="M50" i="8"/>
  <c r="P50" i="8" s="1"/>
  <c r="U22" i="8"/>
  <c r="R320" i="8"/>
  <c r="U320" i="8" s="1"/>
  <c r="U321" i="8"/>
  <c r="T178" i="8"/>
  <c r="Q176" i="8"/>
  <c r="T176" i="8" s="1"/>
  <c r="S141" i="8"/>
  <c r="S139" i="8" s="1"/>
  <c r="O99" i="8"/>
  <c r="L97" i="8"/>
  <c r="O97" i="8" s="1"/>
  <c r="L23" i="8"/>
  <c r="L21" i="8" s="1"/>
  <c r="M175" i="8"/>
  <c r="T144" i="8"/>
  <c r="Q142" i="8"/>
  <c r="T142" i="8" s="1"/>
  <c r="P102" i="8"/>
  <c r="M100" i="8"/>
  <c r="P100" i="8" s="1"/>
  <c r="O95" i="8"/>
  <c r="O67" i="8"/>
  <c r="L65" i="8"/>
  <c r="O65" i="8" s="1"/>
  <c r="P60" i="8"/>
  <c r="R44" i="8"/>
  <c r="U44" i="8" s="1"/>
  <c r="R305" i="8"/>
  <c r="L305" i="8"/>
  <c r="O305" i="8" s="1"/>
  <c r="L284" i="8"/>
  <c r="O284" i="8" s="1"/>
  <c r="R188" i="8"/>
  <c r="L188" i="8"/>
  <c r="M176" i="8"/>
  <c r="P176" i="8" s="1"/>
  <c r="Q160" i="8"/>
  <c r="T160" i="8" s="1"/>
  <c r="Q159" i="8"/>
  <c r="R120" i="8"/>
  <c r="U120" i="8" s="1"/>
  <c r="O102" i="8"/>
  <c r="L100" i="8"/>
  <c r="O100" i="8" s="1"/>
  <c r="P99" i="8"/>
  <c r="M97" i="8"/>
  <c r="P97" i="8" s="1"/>
  <c r="R94" i="8"/>
  <c r="U95" i="8"/>
  <c r="L61" i="8"/>
  <c r="U25" i="8"/>
  <c r="O144" i="8"/>
  <c r="L142" i="8"/>
  <c r="O142" i="8" s="1"/>
  <c r="U99" i="8"/>
  <c r="R97" i="8"/>
  <c r="R23" i="8"/>
  <c r="O52" i="8"/>
  <c r="L26" i="8"/>
  <c r="L24" i="8" s="1"/>
  <c r="L50" i="8"/>
  <c r="O50" i="8" s="1"/>
  <c r="P45" i="8"/>
  <c r="P25" i="8"/>
  <c r="Q19" i="8"/>
  <c r="Q96" i="8"/>
  <c r="Q94" i="8" s="1"/>
  <c r="S74" i="8"/>
  <c r="S72" i="8" s="1"/>
  <c r="M74" i="8"/>
  <c r="P74" i="8" s="1"/>
  <c r="M61" i="8"/>
  <c r="M46" i="8"/>
  <c r="M44" i="8" s="1"/>
  <c r="Q23" i="8"/>
  <c r="N74" i="1"/>
  <c r="R605" i="7"/>
  <c r="U605" i="7" s="1"/>
  <c r="U607" i="7"/>
  <c r="Q690" i="7"/>
  <c r="T690" i="7" s="1"/>
  <c r="R644" i="7"/>
  <c r="R642" i="7" s="1"/>
  <c r="R645" i="7"/>
  <c r="K630" i="7"/>
  <c r="U621" i="7"/>
  <c r="S619" i="7"/>
  <c r="Q605" i="7"/>
  <c r="T605" i="7" s="1"/>
  <c r="T607" i="7"/>
  <c r="M557" i="7"/>
  <c r="P557" i="7" s="1"/>
  <c r="M558" i="7"/>
  <c r="P558" i="7" s="1"/>
  <c r="P560" i="7"/>
  <c r="R534" i="7"/>
  <c r="U534" i="7" s="1"/>
  <c r="R395" i="7"/>
  <c r="U395" i="7" s="1"/>
  <c r="R394" i="7"/>
  <c r="U394" i="7" s="1"/>
  <c r="M358" i="7"/>
  <c r="M356" i="7" s="1"/>
  <c r="M359" i="7"/>
  <c r="K220" i="7"/>
  <c r="I213" i="7"/>
  <c r="K213" i="7" s="1"/>
  <c r="L192" i="7"/>
  <c r="O192" i="7" s="1"/>
  <c r="O194" i="7"/>
  <c r="O191" i="7"/>
  <c r="N189" i="7"/>
  <c r="T175" i="7"/>
  <c r="Q173" i="7"/>
  <c r="T173" i="7" s="1"/>
  <c r="R19" i="7"/>
  <c r="U22" i="7"/>
  <c r="M495" i="7"/>
  <c r="P495" i="7" s="1"/>
  <c r="P498" i="7"/>
  <c r="N540" i="1"/>
  <c r="R763" i="4"/>
  <c r="T418" i="5"/>
  <c r="L415" i="5"/>
  <c r="L413" i="5" s="1"/>
  <c r="U380" i="5"/>
  <c r="L233" i="5"/>
  <c r="L61" i="5"/>
  <c r="L59" i="5" s="1"/>
  <c r="K782" i="6"/>
  <c r="P361" i="6"/>
  <c r="L760" i="7"/>
  <c r="O760" i="7" s="1"/>
  <c r="J702" i="7"/>
  <c r="R693" i="7"/>
  <c r="U693" i="7" s="1"/>
  <c r="L690" i="7"/>
  <c r="O690" i="7" s="1"/>
  <c r="K629" i="7"/>
  <c r="O607" i="7"/>
  <c r="O581" i="7"/>
  <c r="R576" i="7"/>
  <c r="U576" i="7" s="1"/>
  <c r="L557" i="7"/>
  <c r="O557" i="7" s="1"/>
  <c r="Q534" i="7"/>
  <c r="T534" i="7" s="1"/>
  <c r="S493" i="7"/>
  <c r="M496" i="7"/>
  <c r="P496" i="7" s="1"/>
  <c r="N392" i="7"/>
  <c r="I374" i="7"/>
  <c r="N377" i="7"/>
  <c r="N375" i="7" s="1"/>
  <c r="N378" i="7"/>
  <c r="O378" i="7" s="1"/>
  <c r="I365" i="7"/>
  <c r="K365" i="7" s="1"/>
  <c r="M336" i="7"/>
  <c r="P336" i="7" s="1"/>
  <c r="L268" i="7"/>
  <c r="K153" i="7"/>
  <c r="I138" i="7"/>
  <c r="K138" i="7" s="1"/>
  <c r="P125" i="7"/>
  <c r="M123" i="7"/>
  <c r="P123" i="7" s="1"/>
  <c r="M358" i="1"/>
  <c r="M356" i="1" s="1"/>
  <c r="K631" i="7"/>
  <c r="S395" i="7"/>
  <c r="S394" i="7"/>
  <c r="S392" i="7" s="1"/>
  <c r="L233" i="7"/>
  <c r="L243" i="7"/>
  <c r="O243" i="7" s="1"/>
  <c r="M175" i="7"/>
  <c r="M173" i="7" s="1"/>
  <c r="M176" i="7"/>
  <c r="P176" i="7" s="1"/>
  <c r="T162" i="4"/>
  <c r="O325" i="5"/>
  <c r="K153" i="5"/>
  <c r="P521" i="6"/>
  <c r="T418" i="6"/>
  <c r="L222" i="6"/>
  <c r="O222" i="6" s="1"/>
  <c r="K209" i="6"/>
  <c r="R188" i="6"/>
  <c r="U188" i="6" s="1"/>
  <c r="Q693" i="7"/>
  <c r="T693" i="7" s="1"/>
  <c r="N642" i="7"/>
  <c r="Q619" i="7"/>
  <c r="Q618" i="7"/>
  <c r="Q616" i="7" s="1"/>
  <c r="M616" i="7"/>
  <c r="P616" i="7" s="1"/>
  <c r="N578" i="7"/>
  <c r="N576" i="7" s="1"/>
  <c r="S555" i="7"/>
  <c r="I456" i="7"/>
  <c r="K456" i="7" s="1"/>
  <c r="Q415" i="7"/>
  <c r="T415" i="7" s="1"/>
  <c r="Q416" i="7"/>
  <c r="T416" i="7" s="1"/>
  <c r="T418" i="7"/>
  <c r="M377" i="7"/>
  <c r="M309" i="7"/>
  <c r="P309" i="7" s="1"/>
  <c r="M305" i="7"/>
  <c r="P305" i="7" s="1"/>
  <c r="M306" i="7"/>
  <c r="P306" i="7" s="1"/>
  <c r="P308" i="7"/>
  <c r="N188" i="7"/>
  <c r="N186" i="7" s="1"/>
  <c r="M75" i="7"/>
  <c r="P75" i="7" s="1"/>
  <c r="P77" i="7"/>
  <c r="M62" i="7"/>
  <c r="P62" i="7" s="1"/>
  <c r="P64" i="7"/>
  <c r="P287" i="5"/>
  <c r="Q762" i="6"/>
  <c r="T762" i="6" s="1"/>
  <c r="I701" i="6"/>
  <c r="K701" i="6" s="1"/>
  <c r="P563" i="6"/>
  <c r="O521" i="6"/>
  <c r="N415" i="6"/>
  <c r="N413" i="6" s="1"/>
  <c r="M362" i="6"/>
  <c r="P362" i="6" s="1"/>
  <c r="L268" i="6"/>
  <c r="L266" i="6" s="1"/>
  <c r="U178" i="6"/>
  <c r="M175" i="6"/>
  <c r="M173" i="6" s="1"/>
  <c r="R160" i="6"/>
  <c r="U160" i="6" s="1"/>
  <c r="K108" i="6"/>
  <c r="Q763" i="7"/>
  <c r="T763" i="7" s="1"/>
  <c r="S731" i="7"/>
  <c r="U731" i="7" s="1"/>
  <c r="Q714" i="7"/>
  <c r="T714" i="7" s="1"/>
  <c r="T695" i="7"/>
  <c r="J674" i="7"/>
  <c r="K653" i="7"/>
  <c r="O617" i="7"/>
  <c r="T604" i="7"/>
  <c r="L602" i="7"/>
  <c r="O602" i="7" s="1"/>
  <c r="O604" i="7"/>
  <c r="R555" i="7"/>
  <c r="U555" i="7" s="1"/>
  <c r="U556" i="7"/>
  <c r="J457" i="7"/>
  <c r="J456" i="7" s="1"/>
  <c r="M378" i="7"/>
  <c r="T357" i="7"/>
  <c r="L323" i="7"/>
  <c r="O323" i="7" s="1"/>
  <c r="O325" i="7"/>
  <c r="S303" i="7"/>
  <c r="L272" i="7"/>
  <c r="O272" i="7" s="1"/>
  <c r="O274" i="7"/>
  <c r="R268" i="7"/>
  <c r="U271" i="7"/>
  <c r="L235" i="7"/>
  <c r="Q176" i="7"/>
  <c r="T176" i="7" s="1"/>
  <c r="T178" i="7"/>
  <c r="M159" i="7"/>
  <c r="P159" i="7" s="1"/>
  <c r="M160" i="7"/>
  <c r="P160" i="7" s="1"/>
  <c r="Q59" i="7"/>
  <c r="T59" i="7" s="1"/>
  <c r="T60" i="7"/>
  <c r="S232" i="1"/>
  <c r="R602" i="7"/>
  <c r="U602" i="7" s="1"/>
  <c r="U604" i="7"/>
  <c r="Q159" i="1"/>
  <c r="T159" i="1" s="1"/>
  <c r="S556" i="1"/>
  <c r="L582" i="5"/>
  <c r="O582" i="5" s="1"/>
  <c r="K251" i="5"/>
  <c r="P77" i="5"/>
  <c r="I758" i="6"/>
  <c r="K758" i="6" s="1"/>
  <c r="K726" i="6"/>
  <c r="K630" i="6"/>
  <c r="Q619" i="6"/>
  <c r="T619" i="6" s="1"/>
  <c r="P165" i="6"/>
  <c r="Q97" i="6"/>
  <c r="N760" i="7"/>
  <c r="K726" i="7"/>
  <c r="K707" i="7"/>
  <c r="P414" i="7"/>
  <c r="U397" i="7"/>
  <c r="L326" i="7"/>
  <c r="O326" i="7" s="1"/>
  <c r="R320" i="7"/>
  <c r="U320" i="7" s="1"/>
  <c r="I172" i="7"/>
  <c r="K172" i="7" s="1"/>
  <c r="K183" i="7"/>
  <c r="L305" i="7"/>
  <c r="L303" i="7" s="1"/>
  <c r="O303" i="7" s="1"/>
  <c r="S157" i="7"/>
  <c r="O125" i="7"/>
  <c r="N119" i="7"/>
  <c r="N117" i="7" s="1"/>
  <c r="N96" i="7"/>
  <c r="N94" i="7" s="1"/>
  <c r="L74" i="7"/>
  <c r="O74" i="7" s="1"/>
  <c r="L75" i="7"/>
  <c r="O75" i="7" s="1"/>
  <c r="R44" i="7"/>
  <c r="U44" i="7" s="1"/>
  <c r="M642" i="7"/>
  <c r="P642" i="7" s="1"/>
  <c r="N616" i="7"/>
  <c r="L377" i="7"/>
  <c r="L375" i="7" s="1"/>
  <c r="R378" i="7"/>
  <c r="M362" i="7"/>
  <c r="P362" i="7" s="1"/>
  <c r="K346" i="7"/>
  <c r="O341" i="7"/>
  <c r="P287" i="7"/>
  <c r="K221" i="7"/>
  <c r="S188" i="7"/>
  <c r="S186" i="7" s="1"/>
  <c r="L188" i="7"/>
  <c r="L186" i="7" s="1"/>
  <c r="S173" i="7"/>
  <c r="N141" i="7"/>
  <c r="N139" i="7" s="1"/>
  <c r="M119" i="7"/>
  <c r="M117" i="7" s="1"/>
  <c r="P117" i="7" s="1"/>
  <c r="T99" i="7"/>
  <c r="M96" i="7"/>
  <c r="M94" i="7" s="1"/>
  <c r="P94" i="7" s="1"/>
  <c r="R74" i="7"/>
  <c r="U74" i="7" s="1"/>
  <c r="O52" i="7"/>
  <c r="S44" i="7"/>
  <c r="O22" i="7"/>
  <c r="N690" i="7"/>
  <c r="M536" i="7"/>
  <c r="P536" i="7" s="1"/>
  <c r="N495" i="7"/>
  <c r="N493" i="7" s="1"/>
  <c r="K265" i="7"/>
  <c r="M268" i="7"/>
  <c r="M266" i="7" s="1"/>
  <c r="S269" i="7"/>
  <c r="U269" i="7" s="1"/>
  <c r="L203" i="7"/>
  <c r="O203" i="7" s="1"/>
  <c r="U194" i="7"/>
  <c r="R188" i="7"/>
  <c r="U188" i="7" s="1"/>
  <c r="M189" i="7"/>
  <c r="K154" i="7"/>
  <c r="N142" i="7"/>
  <c r="S119" i="7"/>
  <c r="S117" i="7" s="1"/>
  <c r="S94" i="7"/>
  <c r="S97" i="7"/>
  <c r="Q74" i="7"/>
  <c r="T74" i="7" s="1"/>
  <c r="L46" i="7"/>
  <c r="L44" i="7" s="1"/>
  <c r="N19" i="7"/>
  <c r="L141" i="7"/>
  <c r="L139" i="7" s="1"/>
  <c r="O139" i="7" s="1"/>
  <c r="Q141" i="7"/>
  <c r="T141" i="7" s="1"/>
  <c r="K127" i="7"/>
  <c r="U122" i="7"/>
  <c r="M120" i="7"/>
  <c r="P120" i="7" s="1"/>
  <c r="T80" i="7"/>
  <c r="L62" i="7"/>
  <c r="O62" i="7" s="1"/>
  <c r="N358" i="7"/>
  <c r="N356" i="7" s="1"/>
  <c r="S356" i="7"/>
  <c r="U308" i="7"/>
  <c r="N305" i="7"/>
  <c r="N303" i="7" s="1"/>
  <c r="M284" i="7"/>
  <c r="P284" i="7" s="1"/>
  <c r="L222" i="7"/>
  <c r="O222" i="7" s="1"/>
  <c r="L214" i="7"/>
  <c r="O214" i="7" s="1"/>
  <c r="R59" i="7"/>
  <c r="U59" i="7" s="1"/>
  <c r="R145" i="6"/>
  <c r="U145" i="6" s="1"/>
  <c r="U147" i="6"/>
  <c r="U729" i="7"/>
  <c r="R714" i="7"/>
  <c r="U714" i="7" s="1"/>
  <c r="U715" i="7"/>
  <c r="I92" i="5"/>
  <c r="K92" i="5" s="1"/>
  <c r="K108" i="5"/>
  <c r="L359" i="6"/>
  <c r="O359" i="6" s="1"/>
  <c r="L358" i="6"/>
  <c r="L356" i="6" s="1"/>
  <c r="O361" i="6"/>
  <c r="I138" i="6"/>
  <c r="K138" i="6" s="1"/>
  <c r="K153" i="6"/>
  <c r="R763" i="7"/>
  <c r="U763" i="7" s="1"/>
  <c r="R762" i="7"/>
  <c r="R760" i="7" s="1"/>
  <c r="U765" i="7"/>
  <c r="M760" i="7"/>
  <c r="P760" i="7" s="1"/>
  <c r="P761" i="7"/>
  <c r="K727" i="7"/>
  <c r="K632" i="7"/>
  <c r="J626" i="7"/>
  <c r="O383" i="6"/>
  <c r="L377" i="6"/>
  <c r="L381" i="6"/>
  <c r="O381" i="6" s="1"/>
  <c r="R690" i="7"/>
  <c r="U690" i="7" s="1"/>
  <c r="S645" i="7"/>
  <c r="T645" i="7" s="1"/>
  <c r="T647" i="7"/>
  <c r="S644" i="7"/>
  <c r="S642" i="7" s="1"/>
  <c r="Q232" i="1"/>
  <c r="S285" i="1"/>
  <c r="N577" i="1"/>
  <c r="S693" i="7"/>
  <c r="S692" i="7"/>
  <c r="S690" i="7" s="1"/>
  <c r="N602" i="7"/>
  <c r="N601" i="7"/>
  <c r="N599" i="7" s="1"/>
  <c r="R394" i="5"/>
  <c r="U394" i="5" s="1"/>
  <c r="U397" i="5"/>
  <c r="O122" i="5"/>
  <c r="L120" i="5"/>
  <c r="O120" i="5" s="1"/>
  <c r="I758" i="7"/>
  <c r="K758" i="7" s="1"/>
  <c r="K772" i="7"/>
  <c r="Q731" i="7"/>
  <c r="Q730" i="7"/>
  <c r="T730" i="7" s="1"/>
  <c r="T733" i="7"/>
  <c r="L728" i="7"/>
  <c r="O728" i="7" s="1"/>
  <c r="O729" i="7"/>
  <c r="L714" i="7"/>
  <c r="O714" i="7" s="1"/>
  <c r="O715" i="7"/>
  <c r="M188" i="1"/>
  <c r="P188" i="1" s="1"/>
  <c r="Q203" i="1"/>
  <c r="M288" i="6"/>
  <c r="P288" i="6" s="1"/>
  <c r="P290" i="6"/>
  <c r="Q142" i="6"/>
  <c r="T142" i="6" s="1"/>
  <c r="T144" i="6"/>
  <c r="U125" i="6"/>
  <c r="R123" i="6"/>
  <c r="U123" i="6" s="1"/>
  <c r="L495" i="7"/>
  <c r="O498" i="7"/>
  <c r="O334" i="7"/>
  <c r="R303" i="7"/>
  <c r="U305" i="7"/>
  <c r="O290" i="7"/>
  <c r="L288" i="7"/>
  <c r="O288" i="7" s="1"/>
  <c r="T191" i="7"/>
  <c r="Q189" i="7"/>
  <c r="T189" i="7" s="1"/>
  <c r="Q188" i="7"/>
  <c r="T188" i="7" s="1"/>
  <c r="M605" i="6"/>
  <c r="P605" i="6" s="1"/>
  <c r="S601" i="7"/>
  <c r="S599" i="7" s="1"/>
  <c r="M601" i="7"/>
  <c r="M578" i="7"/>
  <c r="O521" i="7"/>
  <c r="L519" i="7"/>
  <c r="O519" i="7" s="1"/>
  <c r="M519" i="7"/>
  <c r="P519" i="7" s="1"/>
  <c r="N515" i="7"/>
  <c r="N513" i="7" s="1"/>
  <c r="P514" i="7"/>
  <c r="R495" i="7"/>
  <c r="U498" i="7"/>
  <c r="R496" i="7"/>
  <c r="U496" i="7" s="1"/>
  <c r="U418" i="7"/>
  <c r="R416" i="7"/>
  <c r="U416" i="7" s="1"/>
  <c r="L392" i="7"/>
  <c r="O392" i="7" s="1"/>
  <c r="T380" i="7"/>
  <c r="Q378" i="7"/>
  <c r="P357" i="7"/>
  <c r="L335" i="7"/>
  <c r="O338" i="7"/>
  <c r="L336" i="7"/>
  <c r="O336" i="7" s="1"/>
  <c r="U334" i="7"/>
  <c r="R333" i="7"/>
  <c r="U333" i="7" s="1"/>
  <c r="M326" i="7"/>
  <c r="P326" i="7" s="1"/>
  <c r="P328" i="7"/>
  <c r="T308" i="7"/>
  <c r="Q305" i="7"/>
  <c r="Q120" i="7"/>
  <c r="T120" i="7" s="1"/>
  <c r="T122" i="7"/>
  <c r="Q119" i="7"/>
  <c r="K209" i="7"/>
  <c r="I202" i="7"/>
  <c r="K202" i="7" s="1"/>
  <c r="K198" i="3"/>
  <c r="K772" i="4"/>
  <c r="M540" i="5"/>
  <c r="P540" i="5" s="1"/>
  <c r="M519" i="5"/>
  <c r="P519" i="5" s="1"/>
  <c r="T99" i="5"/>
  <c r="K778" i="6"/>
  <c r="T765" i="6"/>
  <c r="N557" i="6"/>
  <c r="N555" i="6" s="1"/>
  <c r="L236" i="6"/>
  <c r="M179" i="6"/>
  <c r="P179" i="6" s="1"/>
  <c r="P125" i="6"/>
  <c r="Q119" i="6"/>
  <c r="Q117" i="6" s="1"/>
  <c r="O80" i="6"/>
  <c r="P77" i="6"/>
  <c r="S762" i="7"/>
  <c r="S760" i="7" s="1"/>
  <c r="T760" i="7" s="1"/>
  <c r="U733" i="7"/>
  <c r="R730" i="7"/>
  <c r="U730" i="7" s="1"/>
  <c r="R601" i="7"/>
  <c r="U601" i="7" s="1"/>
  <c r="L601" i="7"/>
  <c r="O601" i="7" s="1"/>
  <c r="N579" i="7"/>
  <c r="L578" i="7"/>
  <c r="O578" i="7" s="1"/>
  <c r="O560" i="7"/>
  <c r="P542" i="7"/>
  <c r="M540" i="7"/>
  <c r="P540" i="7" s="1"/>
  <c r="L515" i="7"/>
  <c r="T498" i="7"/>
  <c r="Q496" i="7"/>
  <c r="T496" i="7" s="1"/>
  <c r="L358" i="7"/>
  <c r="O357" i="7"/>
  <c r="J343" i="7"/>
  <c r="Q333" i="7"/>
  <c r="T333" i="7" s="1"/>
  <c r="J332" i="7"/>
  <c r="Q320" i="7"/>
  <c r="T320" i="7" s="1"/>
  <c r="T140" i="7"/>
  <c r="L272" i="5"/>
  <c r="O272" i="5" s="1"/>
  <c r="I759" i="6"/>
  <c r="K759" i="6" s="1"/>
  <c r="M495" i="6"/>
  <c r="P495" i="6" s="1"/>
  <c r="M378" i="6"/>
  <c r="P378" i="6" s="1"/>
  <c r="L288" i="6"/>
  <c r="O288" i="6" s="1"/>
  <c r="M176" i="6"/>
  <c r="M728" i="7"/>
  <c r="P728" i="7" s="1"/>
  <c r="M714" i="7"/>
  <c r="P714" i="7" s="1"/>
  <c r="M605" i="7"/>
  <c r="P605" i="7" s="1"/>
  <c r="M602" i="7"/>
  <c r="P602" i="7" s="1"/>
  <c r="Q601" i="7"/>
  <c r="T601" i="7" s="1"/>
  <c r="U600" i="7"/>
  <c r="O600" i="7"/>
  <c r="M579" i="7"/>
  <c r="P579" i="7" s="1"/>
  <c r="U577" i="7"/>
  <c r="O577" i="7"/>
  <c r="M561" i="7"/>
  <c r="P561" i="7" s="1"/>
  <c r="N557" i="7"/>
  <c r="N555" i="7" s="1"/>
  <c r="O542" i="7"/>
  <c r="L540" i="7"/>
  <c r="O540" i="7" s="1"/>
  <c r="S415" i="7"/>
  <c r="S413" i="7" s="1"/>
  <c r="T414" i="7"/>
  <c r="T393" i="7"/>
  <c r="Q377" i="7"/>
  <c r="O364" i="7"/>
  <c r="L362" i="7"/>
  <c r="O362" i="7" s="1"/>
  <c r="I332" i="7"/>
  <c r="K344" i="7"/>
  <c r="K330" i="7"/>
  <c r="I319" i="7"/>
  <c r="K319" i="7" s="1"/>
  <c r="N269" i="7"/>
  <c r="P269" i="7" s="1"/>
  <c r="O271" i="7"/>
  <c r="N268" i="7"/>
  <c r="N266" i="7" s="1"/>
  <c r="M323" i="7"/>
  <c r="P323" i="7" s="1"/>
  <c r="P325" i="7"/>
  <c r="M322" i="7"/>
  <c r="P322" i="7" s="1"/>
  <c r="R175" i="7"/>
  <c r="U175" i="7" s="1"/>
  <c r="U178" i="7"/>
  <c r="R176" i="7"/>
  <c r="U176" i="7" s="1"/>
  <c r="U144" i="1"/>
  <c r="K785" i="5"/>
  <c r="K424" i="5"/>
  <c r="P325" i="5"/>
  <c r="K783" i="6"/>
  <c r="J374" i="6"/>
  <c r="M377" i="6"/>
  <c r="P377" i="6" s="1"/>
  <c r="L175" i="6"/>
  <c r="L173" i="6" s="1"/>
  <c r="T765" i="7"/>
  <c r="U761" i="7"/>
  <c r="O761" i="7"/>
  <c r="T729" i="7"/>
  <c r="T715" i="7"/>
  <c r="U695" i="7"/>
  <c r="P691" i="7"/>
  <c r="U647" i="7"/>
  <c r="P643" i="7"/>
  <c r="S618" i="7"/>
  <c r="S616" i="7" s="1"/>
  <c r="T600" i="7"/>
  <c r="T577" i="7"/>
  <c r="Q555" i="7"/>
  <c r="T555" i="7" s="1"/>
  <c r="L536" i="7"/>
  <c r="L496" i="7"/>
  <c r="O496" i="7" s="1"/>
  <c r="P421" i="7"/>
  <c r="M419" i="7"/>
  <c r="P419" i="7" s="1"/>
  <c r="P418" i="7"/>
  <c r="M416" i="7"/>
  <c r="P416" i="7" s="1"/>
  <c r="R415" i="7"/>
  <c r="U415" i="7" s="1"/>
  <c r="R375" i="7"/>
  <c r="R356" i="7"/>
  <c r="U356" i="7" s="1"/>
  <c r="U357" i="7"/>
  <c r="P304" i="7"/>
  <c r="K242" i="7"/>
  <c r="N232" i="7"/>
  <c r="U174" i="7"/>
  <c r="P361" i="7"/>
  <c r="N359" i="7"/>
  <c r="P147" i="7"/>
  <c r="M145" i="7"/>
  <c r="P145" i="7" s="1"/>
  <c r="R731" i="6"/>
  <c r="K727" i="6"/>
  <c r="J702" i="6"/>
  <c r="N305" i="6"/>
  <c r="N303" i="6" s="1"/>
  <c r="L235" i="6"/>
  <c r="L188" i="6"/>
  <c r="L186" i="6" s="1"/>
  <c r="L75" i="6"/>
  <c r="O75" i="6" s="1"/>
  <c r="J503" i="7"/>
  <c r="J492" i="7" s="1"/>
  <c r="L499" i="7"/>
  <c r="O499" i="7" s="1"/>
  <c r="Q493" i="7"/>
  <c r="T493" i="7" s="1"/>
  <c r="O421" i="7"/>
  <c r="L419" i="7"/>
  <c r="O419" i="7" s="1"/>
  <c r="O418" i="7"/>
  <c r="L416" i="7"/>
  <c r="O416" i="7" s="1"/>
  <c r="O361" i="7"/>
  <c r="L284" i="7"/>
  <c r="Q282" i="7"/>
  <c r="T282" i="7" s="1"/>
  <c r="U267" i="7"/>
  <c r="O162" i="7"/>
  <c r="L159" i="7"/>
  <c r="L160" i="7"/>
  <c r="O160" i="7" s="1"/>
  <c r="N536" i="7"/>
  <c r="N534" i="7" s="1"/>
  <c r="M515" i="7"/>
  <c r="P515" i="7" s="1"/>
  <c r="K503" i="7"/>
  <c r="U414" i="7"/>
  <c r="O414" i="7"/>
  <c r="T397" i="7"/>
  <c r="Q394" i="7"/>
  <c r="T394" i="7" s="1"/>
  <c r="U393" i="7"/>
  <c r="O393" i="7"/>
  <c r="U380" i="7"/>
  <c r="O380" i="7"/>
  <c r="P338" i="7"/>
  <c r="L322" i="7"/>
  <c r="P321" i="7"/>
  <c r="T187" i="7"/>
  <c r="R123" i="7"/>
  <c r="U123" i="7" s="1"/>
  <c r="R96" i="7"/>
  <c r="U96" i="7" s="1"/>
  <c r="P178" i="7"/>
  <c r="N175" i="7"/>
  <c r="N173" i="7" s="1"/>
  <c r="S320" i="7"/>
  <c r="N284" i="7"/>
  <c r="N282" i="7" s="1"/>
  <c r="L254" i="7"/>
  <c r="O254" i="7" s="1"/>
  <c r="I156" i="7"/>
  <c r="K156" i="7" s="1"/>
  <c r="K169" i="7"/>
  <c r="N159" i="7"/>
  <c r="N157" i="7" s="1"/>
  <c r="L142" i="7"/>
  <c r="O142" i="7" s="1"/>
  <c r="O144" i="7"/>
  <c r="R97" i="7"/>
  <c r="U97" i="7" s="1"/>
  <c r="S19" i="7"/>
  <c r="P187" i="7"/>
  <c r="O178" i="7"/>
  <c r="L175" i="7"/>
  <c r="L173" i="7" s="1"/>
  <c r="O174" i="7"/>
  <c r="S141" i="7"/>
  <c r="S139" i="7" s="1"/>
  <c r="S142" i="7"/>
  <c r="O122" i="7"/>
  <c r="L119" i="7"/>
  <c r="L120" i="7"/>
  <c r="O120" i="7" s="1"/>
  <c r="U95" i="7"/>
  <c r="U19" i="7"/>
  <c r="N322" i="7"/>
  <c r="N320" i="7" s="1"/>
  <c r="R306" i="7"/>
  <c r="L306" i="7"/>
  <c r="O306" i="7" s="1"/>
  <c r="L285" i="7"/>
  <c r="O285" i="7" s="1"/>
  <c r="I280" i="7"/>
  <c r="K280" i="7" s="1"/>
  <c r="Q269" i="7"/>
  <c r="P191" i="7"/>
  <c r="R189" i="7"/>
  <c r="U189" i="7" s="1"/>
  <c r="L189" i="7"/>
  <c r="O181" i="7"/>
  <c r="T162" i="7"/>
  <c r="U144" i="7"/>
  <c r="M142" i="7"/>
  <c r="P142" i="7" s="1"/>
  <c r="M141" i="7"/>
  <c r="Q123" i="7"/>
  <c r="T123" i="7" s="1"/>
  <c r="Q26" i="7"/>
  <c r="R120" i="7"/>
  <c r="U120" i="7" s="1"/>
  <c r="R119" i="7"/>
  <c r="P47" i="7"/>
  <c r="I82" i="7"/>
  <c r="N26" i="7"/>
  <c r="N24" i="7" s="1"/>
  <c r="K314" i="7"/>
  <c r="M288" i="7"/>
  <c r="P288" i="7" s="1"/>
  <c r="R160" i="7"/>
  <c r="U160" i="7" s="1"/>
  <c r="R159" i="7"/>
  <c r="Q145" i="7"/>
  <c r="T145" i="7" s="1"/>
  <c r="K116" i="7"/>
  <c r="N120" i="7"/>
  <c r="P52" i="7"/>
  <c r="M26" i="7"/>
  <c r="M50" i="7"/>
  <c r="P50" i="7" s="1"/>
  <c r="K229" i="7"/>
  <c r="Q159" i="7"/>
  <c r="Q142" i="7"/>
  <c r="T142" i="7" s="1"/>
  <c r="R141" i="7"/>
  <c r="L123" i="7"/>
  <c r="O123" i="7" s="1"/>
  <c r="N97" i="7"/>
  <c r="I83" i="7"/>
  <c r="L26" i="7"/>
  <c r="P22" i="7"/>
  <c r="M19" i="7"/>
  <c r="L100" i="7"/>
  <c r="O100" i="7" s="1"/>
  <c r="L96" i="7"/>
  <c r="R26" i="7"/>
  <c r="P67" i="7"/>
  <c r="M65" i="7"/>
  <c r="P65" i="7" s="1"/>
  <c r="O47" i="7"/>
  <c r="P25" i="7"/>
  <c r="O19" i="7"/>
  <c r="U80" i="7"/>
  <c r="O80" i="7"/>
  <c r="U77" i="7"/>
  <c r="O77" i="7"/>
  <c r="Q75" i="7"/>
  <c r="T75" i="7" s="1"/>
  <c r="O64" i="7"/>
  <c r="N50" i="7"/>
  <c r="O49" i="7"/>
  <c r="N23" i="7"/>
  <c r="N74" i="7"/>
  <c r="N72" i="7" s="1"/>
  <c r="N61" i="7"/>
  <c r="N59" i="7" s="1"/>
  <c r="N46" i="7"/>
  <c r="N44" i="7" s="1"/>
  <c r="S26" i="7"/>
  <c r="S24" i="7" s="1"/>
  <c r="S23" i="7"/>
  <c r="S21" i="7" s="1"/>
  <c r="M23" i="7"/>
  <c r="M21" i="7" s="1"/>
  <c r="Q19" i="7"/>
  <c r="Q96" i="7"/>
  <c r="K85" i="7"/>
  <c r="S74" i="7"/>
  <c r="S72" i="7" s="1"/>
  <c r="M74" i="7"/>
  <c r="M61" i="7"/>
  <c r="M46" i="7"/>
  <c r="R23" i="7"/>
  <c r="L23" i="7"/>
  <c r="Q23" i="7"/>
  <c r="Q645" i="1"/>
  <c r="Q305" i="5"/>
  <c r="T305" i="5" s="1"/>
  <c r="Q306" i="5"/>
  <c r="M601" i="6"/>
  <c r="P604" i="6"/>
  <c r="M602" i="6"/>
  <c r="P602" i="6" s="1"/>
  <c r="Q269" i="1"/>
  <c r="T271" i="1"/>
  <c r="K368" i="2"/>
  <c r="S601" i="3"/>
  <c r="S599" i="3" s="1"/>
  <c r="L335" i="3"/>
  <c r="L333" i="3" s="1"/>
  <c r="P584" i="5"/>
  <c r="M561" i="5"/>
  <c r="P561" i="5" s="1"/>
  <c r="P498" i="5"/>
  <c r="I689" i="6"/>
  <c r="K689" i="6" s="1"/>
  <c r="K707" i="6"/>
  <c r="K626" i="6"/>
  <c r="M516" i="6"/>
  <c r="P516" i="6" s="1"/>
  <c r="O501" i="6"/>
  <c r="R356" i="6"/>
  <c r="U356" i="6" s="1"/>
  <c r="L322" i="6"/>
  <c r="O322" i="6" s="1"/>
  <c r="N142" i="6"/>
  <c r="N141" i="6"/>
  <c r="N139" i="6" s="1"/>
  <c r="S96" i="6"/>
  <c r="T96" i="6" s="1"/>
  <c r="R78" i="6"/>
  <c r="U78" i="6" s="1"/>
  <c r="R645" i="6"/>
  <c r="U645" i="6" s="1"/>
  <c r="U647" i="6"/>
  <c r="U308" i="6"/>
  <c r="R305" i="6"/>
  <c r="U305" i="6" s="1"/>
  <c r="S176" i="6"/>
  <c r="S175" i="6"/>
  <c r="S173" i="6" s="1"/>
  <c r="R158" i="1"/>
  <c r="U158" i="1" s="1"/>
  <c r="R644" i="6"/>
  <c r="U644" i="6" s="1"/>
  <c r="M561" i="4"/>
  <c r="P561" i="4" s="1"/>
  <c r="L100" i="5"/>
  <c r="O100" i="5" s="1"/>
  <c r="R97" i="5"/>
  <c r="U97" i="5" s="1"/>
  <c r="I456" i="6"/>
  <c r="K456" i="6" s="1"/>
  <c r="K457" i="6"/>
  <c r="P376" i="6"/>
  <c r="O328" i="6"/>
  <c r="O47" i="6"/>
  <c r="P338" i="6"/>
  <c r="M335" i="6"/>
  <c r="M333" i="6" s="1"/>
  <c r="I319" i="6"/>
  <c r="K319" i="6" s="1"/>
  <c r="K330" i="6"/>
  <c r="M285" i="6"/>
  <c r="P285" i="6" s="1"/>
  <c r="M284" i="6"/>
  <c r="P284" i="6" s="1"/>
  <c r="N175" i="1"/>
  <c r="S119" i="6"/>
  <c r="S117" i="6" s="1"/>
  <c r="S120" i="6"/>
  <c r="U120" i="6" s="1"/>
  <c r="R644" i="5"/>
  <c r="U644" i="5" s="1"/>
  <c r="U607" i="5"/>
  <c r="M192" i="5"/>
  <c r="P192" i="5" s="1"/>
  <c r="P194" i="5"/>
  <c r="M728" i="6"/>
  <c r="P728" i="6" s="1"/>
  <c r="S618" i="6"/>
  <c r="T618" i="6" s="1"/>
  <c r="P581" i="6"/>
  <c r="P414" i="6"/>
  <c r="K386" i="6"/>
  <c r="Q356" i="6"/>
  <c r="T356" i="6" s="1"/>
  <c r="M336" i="6"/>
  <c r="P336" i="6" s="1"/>
  <c r="I280" i="6"/>
  <c r="K280" i="6" s="1"/>
  <c r="K293" i="6"/>
  <c r="K276" i="6"/>
  <c r="I265" i="6"/>
  <c r="K265" i="6" s="1"/>
  <c r="S188" i="6"/>
  <c r="S186" i="6" s="1"/>
  <c r="K154" i="6"/>
  <c r="I136" i="6"/>
  <c r="K136" i="6" s="1"/>
  <c r="N62" i="6"/>
  <c r="P62" i="6" s="1"/>
  <c r="O64" i="6"/>
  <c r="M19" i="6"/>
  <c r="L203" i="1"/>
  <c r="O203" i="1" s="1"/>
  <c r="S762" i="6"/>
  <c r="S760" i="6" s="1"/>
  <c r="S763" i="6"/>
  <c r="N179" i="1"/>
  <c r="N416" i="6"/>
  <c r="M323" i="6"/>
  <c r="P323" i="6" s="1"/>
  <c r="P325" i="6"/>
  <c r="P271" i="4"/>
  <c r="J674" i="5"/>
  <c r="M326" i="5"/>
  <c r="P326" i="5" s="1"/>
  <c r="P328" i="5"/>
  <c r="N65" i="5"/>
  <c r="O65" i="5" s="1"/>
  <c r="O67" i="5"/>
  <c r="N558" i="6"/>
  <c r="Q495" i="6"/>
  <c r="T495" i="6" s="1"/>
  <c r="Q496" i="6"/>
  <c r="T496" i="6" s="1"/>
  <c r="R377" i="6"/>
  <c r="R378" i="6"/>
  <c r="U378" i="6" s="1"/>
  <c r="M358" i="6"/>
  <c r="M356" i="6" s="1"/>
  <c r="M359" i="6"/>
  <c r="P359" i="6" s="1"/>
  <c r="J351" i="6"/>
  <c r="M339" i="6"/>
  <c r="P339" i="6" s="1"/>
  <c r="P341" i="6"/>
  <c r="Q333" i="6"/>
  <c r="T333" i="6" s="1"/>
  <c r="O181" i="6"/>
  <c r="S141" i="6"/>
  <c r="S139" i="6" s="1"/>
  <c r="O99" i="6"/>
  <c r="T95" i="6"/>
  <c r="Q94" i="6"/>
  <c r="U46" i="6"/>
  <c r="R395" i="5"/>
  <c r="U395" i="5" s="1"/>
  <c r="P274" i="5"/>
  <c r="K785" i="6"/>
  <c r="J674" i="6"/>
  <c r="S601" i="6"/>
  <c r="S599" i="6" s="1"/>
  <c r="L601" i="6"/>
  <c r="L599" i="6" s="1"/>
  <c r="O581" i="6"/>
  <c r="N578" i="6"/>
  <c r="N576" i="6" s="1"/>
  <c r="M557" i="6"/>
  <c r="P557" i="6" s="1"/>
  <c r="J503" i="6"/>
  <c r="J492" i="6" s="1"/>
  <c r="L495" i="6"/>
  <c r="O495" i="6" s="1"/>
  <c r="R496" i="6"/>
  <c r="U496" i="6" s="1"/>
  <c r="M415" i="6"/>
  <c r="S416" i="6"/>
  <c r="N392" i="6"/>
  <c r="T357" i="6"/>
  <c r="S305" i="6"/>
  <c r="S303" i="6" s="1"/>
  <c r="N284" i="6"/>
  <c r="N282" i="6" s="1"/>
  <c r="N268" i="6"/>
  <c r="L254" i="6"/>
  <c r="O254" i="6" s="1"/>
  <c r="L233" i="6"/>
  <c r="R159" i="6"/>
  <c r="U159" i="6" s="1"/>
  <c r="M145" i="6"/>
  <c r="P145" i="6" s="1"/>
  <c r="N119" i="6"/>
  <c r="N117" i="6" s="1"/>
  <c r="M78" i="6"/>
  <c r="P78" i="6" s="1"/>
  <c r="T61" i="6"/>
  <c r="P49" i="6"/>
  <c r="I319" i="5"/>
  <c r="K319" i="5" s="1"/>
  <c r="P49" i="5"/>
  <c r="R763" i="6"/>
  <c r="U763" i="6" s="1"/>
  <c r="U733" i="6"/>
  <c r="S731" i="6"/>
  <c r="S576" i="6"/>
  <c r="L557" i="6"/>
  <c r="O557" i="6" s="1"/>
  <c r="O542" i="6"/>
  <c r="L415" i="6"/>
  <c r="R416" i="6"/>
  <c r="M392" i="6"/>
  <c r="P392" i="6" s="1"/>
  <c r="I374" i="6"/>
  <c r="S356" i="6"/>
  <c r="L339" i="6"/>
  <c r="O339" i="6" s="1"/>
  <c r="R333" i="6"/>
  <c r="U333" i="6" s="1"/>
  <c r="P271" i="6"/>
  <c r="N269" i="6"/>
  <c r="P269" i="6" s="1"/>
  <c r="R176" i="6"/>
  <c r="U176" i="6" s="1"/>
  <c r="Q159" i="6"/>
  <c r="T159" i="6" s="1"/>
  <c r="I156" i="6"/>
  <c r="K156" i="6" s="1"/>
  <c r="L141" i="6"/>
  <c r="O141" i="6" s="1"/>
  <c r="M119" i="6"/>
  <c r="M117" i="6" s="1"/>
  <c r="P117" i="6" s="1"/>
  <c r="K92" i="6"/>
  <c r="O49" i="6"/>
  <c r="N19" i="6"/>
  <c r="M362" i="5"/>
  <c r="P362" i="5" s="1"/>
  <c r="R123" i="5"/>
  <c r="U123" i="5" s="1"/>
  <c r="K779" i="6"/>
  <c r="J701" i="6"/>
  <c r="S693" i="6"/>
  <c r="J675" i="6"/>
  <c r="L642" i="6"/>
  <c r="O642" i="6" s="1"/>
  <c r="L616" i="6"/>
  <c r="O616" i="6" s="1"/>
  <c r="L578" i="6"/>
  <c r="O578" i="6" s="1"/>
  <c r="O498" i="6"/>
  <c r="L496" i="6"/>
  <c r="O496" i="6" s="1"/>
  <c r="O421" i="6"/>
  <c r="P418" i="6"/>
  <c r="M416" i="6"/>
  <c r="S394" i="6"/>
  <c r="S392" i="6" s="1"/>
  <c r="S377" i="6"/>
  <c r="S375" i="6" s="1"/>
  <c r="K365" i="6"/>
  <c r="K344" i="6"/>
  <c r="I332" i="6"/>
  <c r="Q266" i="6"/>
  <c r="T266" i="6" s="1"/>
  <c r="L214" i="6"/>
  <c r="O214" i="6" s="1"/>
  <c r="Q188" i="6"/>
  <c r="T188" i="6" s="1"/>
  <c r="L163" i="6"/>
  <c r="O163" i="6" s="1"/>
  <c r="K127" i="6"/>
  <c r="U122" i="6"/>
  <c r="N120" i="6"/>
  <c r="S74" i="6"/>
  <c r="S72" i="6" s="1"/>
  <c r="M74" i="6"/>
  <c r="P74" i="6" s="1"/>
  <c r="S75" i="6"/>
  <c r="P64" i="6"/>
  <c r="L19" i="6"/>
  <c r="P380" i="5"/>
  <c r="L188" i="5"/>
  <c r="L186" i="5" s="1"/>
  <c r="T125" i="5"/>
  <c r="P80" i="5"/>
  <c r="K781" i="6"/>
  <c r="R692" i="6"/>
  <c r="U692" i="6" s="1"/>
  <c r="S645" i="6"/>
  <c r="N601" i="6"/>
  <c r="N599" i="6" s="1"/>
  <c r="U498" i="6"/>
  <c r="J458" i="6"/>
  <c r="O418" i="6"/>
  <c r="L416" i="6"/>
  <c r="K368" i="6"/>
  <c r="N358" i="6"/>
  <c r="N356" i="6" s="1"/>
  <c r="Q306" i="6"/>
  <c r="T306" i="6" s="1"/>
  <c r="I281" i="6"/>
  <c r="K281" i="6" s="1"/>
  <c r="M268" i="6"/>
  <c r="M266" i="6" s="1"/>
  <c r="N188" i="6"/>
  <c r="N186" i="6" s="1"/>
  <c r="T162" i="6"/>
  <c r="T147" i="6"/>
  <c r="U99" i="6"/>
  <c r="R74" i="6"/>
  <c r="U74" i="6" s="1"/>
  <c r="L74" i="6"/>
  <c r="L72" i="6" s="1"/>
  <c r="O72" i="6" s="1"/>
  <c r="R75" i="6"/>
  <c r="U75" i="6" s="1"/>
  <c r="L362" i="5"/>
  <c r="O362" i="5" s="1"/>
  <c r="O364" i="5"/>
  <c r="S159" i="5"/>
  <c r="S157" i="5" s="1"/>
  <c r="S160" i="5"/>
  <c r="I93" i="5"/>
  <c r="K93" i="5" s="1"/>
  <c r="K109" i="5"/>
  <c r="U730" i="6"/>
  <c r="L78" i="2"/>
  <c r="O78" i="2" s="1"/>
  <c r="O80" i="2"/>
  <c r="M141" i="1"/>
  <c r="M139" i="1" s="1"/>
  <c r="R415" i="4"/>
  <c r="R413" i="4" s="1"/>
  <c r="U418" i="4"/>
  <c r="M120" i="5"/>
  <c r="P120" i="5" s="1"/>
  <c r="P122" i="5"/>
  <c r="L561" i="4"/>
  <c r="O561" i="4" s="1"/>
  <c r="O563" i="4"/>
  <c r="L537" i="5"/>
  <c r="O537" i="5" s="1"/>
  <c r="O539" i="5"/>
  <c r="M123" i="5"/>
  <c r="P123" i="5" s="1"/>
  <c r="P125" i="5"/>
  <c r="L50" i="5"/>
  <c r="O50" i="5" s="1"/>
  <c r="O52" i="5"/>
  <c r="U619" i="6"/>
  <c r="I202" i="3"/>
  <c r="K202" i="3" s="1"/>
  <c r="K209" i="3"/>
  <c r="I242" i="5"/>
  <c r="K242" i="5" s="1"/>
  <c r="K249" i="5"/>
  <c r="I238" i="5"/>
  <c r="K238" i="5" s="1"/>
  <c r="Q616" i="6"/>
  <c r="O518" i="6"/>
  <c r="L516" i="6"/>
  <c r="O516" i="6" s="1"/>
  <c r="O494" i="6"/>
  <c r="N159" i="6"/>
  <c r="N157" i="6" s="1"/>
  <c r="N160" i="6"/>
  <c r="P144" i="6"/>
  <c r="M142" i="6"/>
  <c r="P142" i="6" s="1"/>
  <c r="S179" i="1"/>
  <c r="L561" i="6"/>
  <c r="O561" i="6" s="1"/>
  <c r="R555" i="6"/>
  <c r="U555" i="6" s="1"/>
  <c r="R269" i="6"/>
  <c r="R268" i="6"/>
  <c r="U268" i="6" s="1"/>
  <c r="P162" i="6"/>
  <c r="M159" i="6"/>
  <c r="P45" i="6"/>
  <c r="K779" i="4"/>
  <c r="K369" i="4"/>
  <c r="P336" i="4"/>
  <c r="T305" i="4"/>
  <c r="U619" i="5"/>
  <c r="M145" i="5"/>
  <c r="P145" i="5" s="1"/>
  <c r="M760" i="6"/>
  <c r="P760" i="6" s="1"/>
  <c r="R728" i="6"/>
  <c r="U728" i="6" s="1"/>
  <c r="L728" i="6"/>
  <c r="O728" i="6" s="1"/>
  <c r="R714" i="6"/>
  <c r="U714" i="6" s="1"/>
  <c r="L714" i="6"/>
  <c r="O714" i="6" s="1"/>
  <c r="I615" i="6"/>
  <c r="K615" i="6" s="1"/>
  <c r="R605" i="6"/>
  <c r="U605" i="6" s="1"/>
  <c r="L605" i="6"/>
  <c r="O605" i="6" s="1"/>
  <c r="R602" i="6"/>
  <c r="U602" i="6" s="1"/>
  <c r="L602" i="6"/>
  <c r="O602" i="6" s="1"/>
  <c r="M558" i="6"/>
  <c r="P558" i="6" s="1"/>
  <c r="Q555" i="6"/>
  <c r="T555" i="6" s="1"/>
  <c r="P539" i="6"/>
  <c r="M537" i="6"/>
  <c r="P537" i="6" s="1"/>
  <c r="N536" i="6"/>
  <c r="N534" i="6" s="1"/>
  <c r="R513" i="6"/>
  <c r="U513" i="6" s="1"/>
  <c r="R493" i="6"/>
  <c r="U493" i="6" s="1"/>
  <c r="U494" i="6"/>
  <c r="K424" i="6"/>
  <c r="N377" i="6"/>
  <c r="N375" i="6" s="1"/>
  <c r="N378" i="6"/>
  <c r="M326" i="6"/>
  <c r="P326" i="6" s="1"/>
  <c r="M322" i="6"/>
  <c r="O311" i="6"/>
  <c r="L305" i="6"/>
  <c r="O305" i="6" s="1"/>
  <c r="M306" i="6"/>
  <c r="P306" i="6" s="1"/>
  <c r="M305" i="6"/>
  <c r="P305" i="6" s="1"/>
  <c r="U304" i="6"/>
  <c r="Q282" i="6"/>
  <c r="T282" i="6" s="1"/>
  <c r="T283" i="6"/>
  <c r="K229" i="6"/>
  <c r="I221" i="6"/>
  <c r="K221" i="6" s="1"/>
  <c r="O191" i="6"/>
  <c r="L189" i="6"/>
  <c r="O187" i="6"/>
  <c r="O162" i="6"/>
  <c r="L159" i="6"/>
  <c r="L160" i="6"/>
  <c r="O160" i="6" s="1"/>
  <c r="S19" i="6"/>
  <c r="R601" i="6"/>
  <c r="S269" i="6"/>
  <c r="L515" i="4"/>
  <c r="O515" i="4" s="1"/>
  <c r="P498" i="6"/>
  <c r="M496" i="6"/>
  <c r="P496" i="6" s="1"/>
  <c r="I492" i="6"/>
  <c r="K492" i="6" s="1"/>
  <c r="P60" i="6"/>
  <c r="K784" i="4"/>
  <c r="K709" i="4"/>
  <c r="L268" i="4"/>
  <c r="L266" i="4" s="1"/>
  <c r="R730" i="5"/>
  <c r="U730" i="5" s="1"/>
  <c r="K705" i="5"/>
  <c r="T695" i="5"/>
  <c r="N377" i="5"/>
  <c r="N375" i="5" s="1"/>
  <c r="K368" i="5"/>
  <c r="L222" i="5"/>
  <c r="O222" i="5" s="1"/>
  <c r="L74" i="5"/>
  <c r="O74" i="5" s="1"/>
  <c r="L46" i="5"/>
  <c r="L44" i="5" s="1"/>
  <c r="T761" i="6"/>
  <c r="L760" i="6"/>
  <c r="O760" i="6" s="1"/>
  <c r="Q714" i="6"/>
  <c r="T714" i="6" s="1"/>
  <c r="T695" i="6"/>
  <c r="Q692" i="6"/>
  <c r="T692" i="6" s="1"/>
  <c r="U691" i="6"/>
  <c r="O691" i="6"/>
  <c r="M690" i="6"/>
  <c r="P690" i="6" s="1"/>
  <c r="T647" i="6"/>
  <c r="Q644" i="6"/>
  <c r="T644" i="6" s="1"/>
  <c r="U643" i="6"/>
  <c r="O643" i="6"/>
  <c r="M642" i="6"/>
  <c r="P642" i="6" s="1"/>
  <c r="K632" i="6"/>
  <c r="U621" i="6"/>
  <c r="R618" i="6"/>
  <c r="P617" i="6"/>
  <c r="Q605" i="6"/>
  <c r="T605" i="6" s="1"/>
  <c r="O604" i="6"/>
  <c r="Q602" i="6"/>
  <c r="T602" i="6" s="1"/>
  <c r="M582" i="6"/>
  <c r="P582" i="6" s="1"/>
  <c r="M578" i="6"/>
  <c r="P578" i="6" s="1"/>
  <c r="R576" i="6"/>
  <c r="U576" i="6" s="1"/>
  <c r="L558" i="6"/>
  <c r="O558" i="6" s="1"/>
  <c r="O539" i="6"/>
  <c r="L537" i="6"/>
  <c r="O537" i="6" s="1"/>
  <c r="M536" i="6"/>
  <c r="P536" i="6" s="1"/>
  <c r="Q513" i="6"/>
  <c r="T513" i="6" s="1"/>
  <c r="T514" i="6"/>
  <c r="S495" i="6"/>
  <c r="S493" i="6" s="1"/>
  <c r="K432" i="6"/>
  <c r="R392" i="6"/>
  <c r="U392" i="6" s="1"/>
  <c r="T376" i="6"/>
  <c r="O321" i="6"/>
  <c r="K314" i="6"/>
  <c r="I302" i="6"/>
  <c r="K302" i="6" s="1"/>
  <c r="Q303" i="6"/>
  <c r="T303" i="6" s="1"/>
  <c r="T304" i="6"/>
  <c r="R282" i="6"/>
  <c r="U282" i="6" s="1"/>
  <c r="I238" i="6"/>
  <c r="K238" i="6" s="1"/>
  <c r="I242" i="6"/>
  <c r="P194" i="6"/>
  <c r="M192" i="6"/>
  <c r="P192" i="6" s="1"/>
  <c r="U187" i="6"/>
  <c r="M141" i="6"/>
  <c r="U22" i="6"/>
  <c r="R19" i="6"/>
  <c r="R534" i="6"/>
  <c r="U534" i="6" s="1"/>
  <c r="U535" i="6"/>
  <c r="Q416" i="6"/>
  <c r="Q394" i="6"/>
  <c r="T397" i="6"/>
  <c r="Q395" i="6"/>
  <c r="T395" i="6" s="1"/>
  <c r="L392" i="6"/>
  <c r="O392" i="6" s="1"/>
  <c r="O394" i="6"/>
  <c r="L336" i="6"/>
  <c r="O336" i="6" s="1"/>
  <c r="O338" i="6"/>
  <c r="K346" i="4"/>
  <c r="Q601" i="6"/>
  <c r="Q534" i="6"/>
  <c r="T534" i="6" s="1"/>
  <c r="T535" i="6"/>
  <c r="P191" i="6"/>
  <c r="M189" i="6"/>
  <c r="M188" i="6"/>
  <c r="L188" i="3"/>
  <c r="L186" i="3" s="1"/>
  <c r="L119" i="3"/>
  <c r="O119" i="3" s="1"/>
  <c r="O67" i="3"/>
  <c r="K781" i="4"/>
  <c r="P421" i="4"/>
  <c r="Q145" i="4"/>
  <c r="T145" i="4" s="1"/>
  <c r="Q123" i="4"/>
  <c r="T123" i="4" s="1"/>
  <c r="K784" i="5"/>
  <c r="Q731" i="5"/>
  <c r="K631" i="5"/>
  <c r="S618" i="5"/>
  <c r="S616" i="5" s="1"/>
  <c r="P607" i="5"/>
  <c r="M578" i="5"/>
  <c r="M576" i="5" s="1"/>
  <c r="S141" i="5"/>
  <c r="S139" i="5" s="1"/>
  <c r="R74" i="5"/>
  <c r="U74" i="5" s="1"/>
  <c r="K703" i="6"/>
  <c r="T691" i="6"/>
  <c r="T643" i="6"/>
  <c r="T621" i="6"/>
  <c r="U617" i="6"/>
  <c r="O617" i="6"/>
  <c r="Q576" i="6"/>
  <c r="T576" i="6" s="1"/>
  <c r="P560" i="6"/>
  <c r="L536" i="6"/>
  <c r="O536" i="6" s="1"/>
  <c r="N515" i="6"/>
  <c r="N513" i="6" s="1"/>
  <c r="M515" i="6"/>
  <c r="K506" i="6"/>
  <c r="K440" i="6"/>
  <c r="I423" i="6"/>
  <c r="R320" i="6"/>
  <c r="U320" i="6" s="1"/>
  <c r="U321" i="6"/>
  <c r="N189" i="6"/>
  <c r="M160" i="6"/>
  <c r="P160" i="6" s="1"/>
  <c r="Q378" i="6"/>
  <c r="T378" i="6" s="1"/>
  <c r="Q377" i="6"/>
  <c r="T380" i="6"/>
  <c r="S326" i="1"/>
  <c r="K785" i="4"/>
  <c r="K346" i="6"/>
  <c r="N322" i="6"/>
  <c r="N320" i="6" s="1"/>
  <c r="O144" i="6"/>
  <c r="L142" i="6"/>
  <c r="O142" i="6" s="1"/>
  <c r="R159" i="1"/>
  <c r="U159" i="1" s="1"/>
  <c r="K705" i="4"/>
  <c r="O421" i="4"/>
  <c r="O165" i="4"/>
  <c r="U162" i="4"/>
  <c r="Q157" i="4"/>
  <c r="T157" i="4" s="1"/>
  <c r="U125" i="4"/>
  <c r="K778" i="5"/>
  <c r="K707" i="5"/>
  <c r="J702" i="5"/>
  <c r="K629" i="5"/>
  <c r="R618" i="5"/>
  <c r="R616" i="5" s="1"/>
  <c r="I615" i="5"/>
  <c r="K615" i="5" s="1"/>
  <c r="O607" i="5"/>
  <c r="L516" i="5"/>
  <c r="O516" i="5" s="1"/>
  <c r="K441" i="5"/>
  <c r="S395" i="5"/>
  <c r="J374" i="5"/>
  <c r="P383" i="5"/>
  <c r="J351" i="5"/>
  <c r="T162" i="5"/>
  <c r="P102" i="5"/>
  <c r="P99" i="5"/>
  <c r="O560" i="6"/>
  <c r="P556" i="6"/>
  <c r="S534" i="6"/>
  <c r="O535" i="6"/>
  <c r="L515" i="6"/>
  <c r="O515" i="6" s="1"/>
  <c r="P501" i="6"/>
  <c r="M499" i="6"/>
  <c r="P499" i="6" s="1"/>
  <c r="N495" i="6"/>
  <c r="N493" i="6" s="1"/>
  <c r="P494" i="6"/>
  <c r="Q415" i="6"/>
  <c r="R395" i="6"/>
  <c r="U395" i="6" s="1"/>
  <c r="U397" i="6"/>
  <c r="P393" i="6"/>
  <c r="L335" i="6"/>
  <c r="L333" i="6" s="1"/>
  <c r="O287" i="6"/>
  <c r="L284" i="6"/>
  <c r="U271" i="6"/>
  <c r="L269" i="6"/>
  <c r="O271" i="6"/>
  <c r="Q176" i="6"/>
  <c r="T176" i="6" s="1"/>
  <c r="Q175" i="6"/>
  <c r="T175" i="6" s="1"/>
  <c r="T178" i="6"/>
  <c r="I137" i="6"/>
  <c r="K137" i="6" s="1"/>
  <c r="K152" i="6"/>
  <c r="N97" i="6"/>
  <c r="N23" i="6"/>
  <c r="N21" i="6" s="1"/>
  <c r="N96" i="6"/>
  <c r="N94" i="6" s="1"/>
  <c r="Q26" i="6"/>
  <c r="T80" i="6"/>
  <c r="Q78" i="6"/>
  <c r="T78" i="6" s="1"/>
  <c r="Q23" i="6"/>
  <c r="T77" i="6"/>
  <c r="Q74" i="6"/>
  <c r="Q75" i="6"/>
  <c r="T75" i="6" s="1"/>
  <c r="K388" i="6"/>
  <c r="K371" i="6"/>
  <c r="L323" i="6"/>
  <c r="O323" i="6" s="1"/>
  <c r="Q320" i="6"/>
  <c r="T320" i="6" s="1"/>
  <c r="P311" i="6"/>
  <c r="L306" i="6"/>
  <c r="O306" i="6" s="1"/>
  <c r="P287" i="6"/>
  <c r="T271" i="6"/>
  <c r="Q269" i="6"/>
  <c r="O194" i="6"/>
  <c r="L192" i="6"/>
  <c r="O192" i="6" s="1"/>
  <c r="T187" i="6"/>
  <c r="N175" i="6"/>
  <c r="N173" i="6" s="1"/>
  <c r="N176" i="6"/>
  <c r="R173" i="6"/>
  <c r="U173" i="6" s="1"/>
  <c r="S159" i="6"/>
  <c r="S157" i="6" s="1"/>
  <c r="S160" i="6"/>
  <c r="T122" i="6"/>
  <c r="Q120" i="6"/>
  <c r="P99" i="6"/>
  <c r="M97" i="6"/>
  <c r="M23" i="6"/>
  <c r="M21" i="6" s="1"/>
  <c r="M96" i="6"/>
  <c r="U95" i="6"/>
  <c r="P67" i="6"/>
  <c r="M65" i="6"/>
  <c r="P65" i="6" s="1"/>
  <c r="M61" i="6"/>
  <c r="J332" i="6"/>
  <c r="J343" i="6"/>
  <c r="N335" i="6"/>
  <c r="N333" i="6" s="1"/>
  <c r="R306" i="6"/>
  <c r="U306" i="6" s="1"/>
  <c r="T268" i="6"/>
  <c r="L234" i="6"/>
  <c r="U191" i="6"/>
  <c r="R189" i="6"/>
  <c r="U189" i="6" s="1"/>
  <c r="T174" i="6"/>
  <c r="P102" i="6"/>
  <c r="M100" i="6"/>
  <c r="P100" i="6" s="1"/>
  <c r="S97" i="6"/>
  <c r="U97" i="6" s="1"/>
  <c r="S23" i="6"/>
  <c r="U25" i="6"/>
  <c r="U380" i="6"/>
  <c r="L378" i="6"/>
  <c r="O378" i="6" s="1"/>
  <c r="M272" i="6"/>
  <c r="P272" i="6" s="1"/>
  <c r="I253" i="6"/>
  <c r="K253" i="6" s="1"/>
  <c r="K260" i="6"/>
  <c r="L203" i="6"/>
  <c r="O203" i="6" s="1"/>
  <c r="U194" i="6"/>
  <c r="R192" i="6"/>
  <c r="U192" i="6" s="1"/>
  <c r="O147" i="6"/>
  <c r="L145" i="6"/>
  <c r="O145" i="6" s="1"/>
  <c r="T140" i="6"/>
  <c r="K84" i="6"/>
  <c r="I82" i="6"/>
  <c r="R26" i="6"/>
  <c r="U26" i="6" s="1"/>
  <c r="O19" i="6"/>
  <c r="P19" i="6"/>
  <c r="L243" i="6"/>
  <c r="K220" i="6"/>
  <c r="K198" i="6"/>
  <c r="K183" i="6"/>
  <c r="S142" i="6"/>
  <c r="S26" i="6"/>
  <c r="S24" i="6" s="1"/>
  <c r="L123" i="6"/>
  <c r="O123" i="6" s="1"/>
  <c r="M120" i="6"/>
  <c r="P120" i="6" s="1"/>
  <c r="P95" i="6"/>
  <c r="O67" i="6"/>
  <c r="L65" i="6"/>
  <c r="O65" i="6" s="1"/>
  <c r="L61" i="6"/>
  <c r="P52" i="6"/>
  <c r="M26" i="6"/>
  <c r="P26" i="6" s="1"/>
  <c r="M50" i="6"/>
  <c r="P50" i="6" s="1"/>
  <c r="M46" i="6"/>
  <c r="M44" i="6" s="1"/>
  <c r="O178" i="6"/>
  <c r="U144" i="6"/>
  <c r="R142" i="6"/>
  <c r="U142" i="6" s="1"/>
  <c r="R141" i="6"/>
  <c r="U141" i="6" s="1"/>
  <c r="S123" i="6"/>
  <c r="L120" i="6"/>
  <c r="O120" i="6" s="1"/>
  <c r="L119" i="6"/>
  <c r="O95" i="6"/>
  <c r="I83" i="6"/>
  <c r="P73" i="6"/>
  <c r="O52" i="6"/>
  <c r="L26" i="6"/>
  <c r="O26" i="6" s="1"/>
  <c r="L50" i="6"/>
  <c r="O50" i="6" s="1"/>
  <c r="L46" i="6"/>
  <c r="P25" i="6"/>
  <c r="P22" i="6"/>
  <c r="L176" i="6"/>
  <c r="Q141" i="6"/>
  <c r="T141" i="6" s="1"/>
  <c r="T125" i="6"/>
  <c r="Q123" i="6"/>
  <c r="T123" i="6" s="1"/>
  <c r="I93" i="6"/>
  <c r="K93" i="6" s="1"/>
  <c r="N26" i="6"/>
  <c r="N24" i="6" s="1"/>
  <c r="O25" i="6"/>
  <c r="O22" i="6"/>
  <c r="R96" i="6"/>
  <c r="L96" i="6"/>
  <c r="O96" i="6" s="1"/>
  <c r="N74" i="6"/>
  <c r="N72" i="6" s="1"/>
  <c r="N61" i="6"/>
  <c r="N59" i="6" s="1"/>
  <c r="N46" i="6"/>
  <c r="N44" i="6" s="1"/>
  <c r="Q19" i="6"/>
  <c r="K85" i="6"/>
  <c r="R23" i="6"/>
  <c r="R21" i="6" s="1"/>
  <c r="L23" i="6"/>
  <c r="L21" i="6" s="1"/>
  <c r="J374" i="3"/>
  <c r="Q395" i="4"/>
  <c r="T395" i="4" s="1"/>
  <c r="T397" i="4"/>
  <c r="K368" i="4"/>
  <c r="L120" i="4"/>
  <c r="O120" i="4" s="1"/>
  <c r="O122" i="4"/>
  <c r="Q96" i="4"/>
  <c r="T96" i="4" s="1"/>
  <c r="Q97" i="4"/>
  <c r="T97" i="4" s="1"/>
  <c r="M78" i="4"/>
  <c r="P78" i="4" s="1"/>
  <c r="O716" i="5"/>
  <c r="L714" i="5"/>
  <c r="O714" i="5" s="1"/>
  <c r="M499" i="5"/>
  <c r="P499" i="5" s="1"/>
  <c r="P501" i="5"/>
  <c r="R306" i="5"/>
  <c r="U308" i="5"/>
  <c r="S303" i="5"/>
  <c r="R282" i="5"/>
  <c r="U282" i="5" s="1"/>
  <c r="U284" i="5"/>
  <c r="R145" i="5"/>
  <c r="U145" i="5" s="1"/>
  <c r="U147" i="5"/>
  <c r="Q120" i="5"/>
  <c r="T120" i="5" s="1"/>
  <c r="T122" i="5"/>
  <c r="R19" i="5"/>
  <c r="U22" i="5"/>
  <c r="S203" i="1"/>
  <c r="R693" i="5"/>
  <c r="R692" i="5"/>
  <c r="R690" i="5" s="1"/>
  <c r="U695" i="5"/>
  <c r="N601" i="5"/>
  <c r="N599" i="5" s="1"/>
  <c r="N602" i="5"/>
  <c r="P602" i="5" s="1"/>
  <c r="Q495" i="5"/>
  <c r="T495" i="5" s="1"/>
  <c r="T498" i="5"/>
  <c r="Q377" i="5"/>
  <c r="Q375" i="5" s="1"/>
  <c r="Q378" i="5"/>
  <c r="T378" i="5" s="1"/>
  <c r="T380" i="5"/>
  <c r="L189" i="5"/>
  <c r="O189" i="5" s="1"/>
  <c r="Q59" i="5"/>
  <c r="T59" i="5" s="1"/>
  <c r="T60" i="5"/>
  <c r="N123" i="1"/>
  <c r="Q619" i="4"/>
  <c r="L558" i="4"/>
  <c r="O558" i="4" s="1"/>
  <c r="O542" i="4"/>
  <c r="O364" i="4"/>
  <c r="L362" i="4"/>
  <c r="O362" i="4" s="1"/>
  <c r="M557" i="5"/>
  <c r="M558" i="5"/>
  <c r="P558" i="5" s="1"/>
  <c r="P560" i="5"/>
  <c r="K503" i="5"/>
  <c r="P416" i="5"/>
  <c r="M359" i="5"/>
  <c r="M358" i="5"/>
  <c r="M356" i="5" s="1"/>
  <c r="L335" i="5"/>
  <c r="L333" i="5" s="1"/>
  <c r="L336" i="5"/>
  <c r="R188" i="5"/>
  <c r="R186" i="5" s="1"/>
  <c r="R189" i="5"/>
  <c r="U189" i="5" s="1"/>
  <c r="M175" i="5"/>
  <c r="M173" i="5" s="1"/>
  <c r="P178" i="5"/>
  <c r="M176" i="5"/>
  <c r="P176" i="5" s="1"/>
  <c r="P174" i="5"/>
  <c r="I137" i="5"/>
  <c r="K137" i="5" s="1"/>
  <c r="K152" i="5"/>
  <c r="T147" i="5"/>
  <c r="Q145" i="5"/>
  <c r="T145" i="5" s="1"/>
  <c r="K780" i="4"/>
  <c r="L160" i="4"/>
  <c r="O160" i="4" s="1"/>
  <c r="O162" i="4"/>
  <c r="Q496" i="5"/>
  <c r="T496" i="5" s="1"/>
  <c r="M309" i="5"/>
  <c r="P309" i="5" s="1"/>
  <c r="P311" i="5"/>
  <c r="L285" i="5"/>
  <c r="O285" i="5" s="1"/>
  <c r="O287" i="5"/>
  <c r="R268" i="5"/>
  <c r="U268" i="5" s="1"/>
  <c r="R269" i="5"/>
  <c r="U271" i="5"/>
  <c r="O178" i="5"/>
  <c r="L176" i="5"/>
  <c r="O176" i="5" s="1"/>
  <c r="Q26" i="5"/>
  <c r="T26" i="5" s="1"/>
  <c r="T80" i="5"/>
  <c r="M62" i="5"/>
  <c r="P62" i="5" s="1"/>
  <c r="P64" i="5"/>
  <c r="U122" i="5"/>
  <c r="R120" i="5"/>
  <c r="U120" i="5" s="1"/>
  <c r="L46" i="1"/>
  <c r="L44" i="1" s="1"/>
  <c r="M309" i="2"/>
  <c r="P309" i="2" s="1"/>
  <c r="P194" i="2"/>
  <c r="J702" i="4"/>
  <c r="P539" i="5"/>
  <c r="M536" i="5"/>
  <c r="R513" i="5"/>
  <c r="U513" i="5" s="1"/>
  <c r="N419" i="5"/>
  <c r="N415" i="5"/>
  <c r="N413" i="5" s="1"/>
  <c r="S415" i="5"/>
  <c r="S413" i="5" s="1"/>
  <c r="S416" i="5"/>
  <c r="L309" i="5"/>
  <c r="O309" i="5" s="1"/>
  <c r="O311" i="5"/>
  <c r="M305" i="5"/>
  <c r="P305" i="5" s="1"/>
  <c r="M306" i="5"/>
  <c r="P306" i="5" s="1"/>
  <c r="P308" i="5"/>
  <c r="S306" i="5"/>
  <c r="Q269" i="5"/>
  <c r="T271" i="5"/>
  <c r="I221" i="5"/>
  <c r="K221" i="5" s="1"/>
  <c r="K229" i="5"/>
  <c r="T187" i="5"/>
  <c r="M179" i="5"/>
  <c r="P179" i="5" s="1"/>
  <c r="P181" i="5"/>
  <c r="S173" i="5"/>
  <c r="N95" i="1"/>
  <c r="Q282" i="5"/>
  <c r="T282" i="5" s="1"/>
  <c r="T283" i="5"/>
  <c r="P418" i="4"/>
  <c r="M416" i="4"/>
  <c r="P416" i="4" s="1"/>
  <c r="Q728" i="5"/>
  <c r="S692" i="5"/>
  <c r="S690" i="5" s="1"/>
  <c r="S693" i="5"/>
  <c r="I689" i="5"/>
  <c r="K689" i="5" s="1"/>
  <c r="S642" i="5"/>
  <c r="U498" i="5"/>
  <c r="R496" i="5"/>
  <c r="U496" i="5" s="1"/>
  <c r="R495" i="5"/>
  <c r="R493" i="5" s="1"/>
  <c r="U493" i="5" s="1"/>
  <c r="K433" i="5"/>
  <c r="M419" i="5"/>
  <c r="P419" i="5" s="1"/>
  <c r="P421" i="5"/>
  <c r="M392" i="5"/>
  <c r="P392" i="5" s="1"/>
  <c r="J343" i="5"/>
  <c r="J332" i="5"/>
  <c r="R333" i="5"/>
  <c r="U333" i="5" s="1"/>
  <c r="U334" i="5"/>
  <c r="L306" i="5"/>
  <c r="O306" i="5" s="1"/>
  <c r="O308" i="5"/>
  <c r="L214" i="5"/>
  <c r="O214" i="5" s="1"/>
  <c r="P144" i="5"/>
  <c r="M142" i="5"/>
  <c r="P142" i="5" s="1"/>
  <c r="R44" i="5"/>
  <c r="U44" i="5" s="1"/>
  <c r="S74" i="4"/>
  <c r="S72" i="4" s="1"/>
  <c r="K780" i="5"/>
  <c r="M728" i="5"/>
  <c r="P728" i="5" s="1"/>
  <c r="K709" i="5"/>
  <c r="Q602" i="5"/>
  <c r="T602" i="5" s="1"/>
  <c r="O521" i="5"/>
  <c r="S513" i="5"/>
  <c r="J458" i="5"/>
  <c r="T397" i="5"/>
  <c r="O383" i="5"/>
  <c r="K346" i="5"/>
  <c r="N322" i="5"/>
  <c r="N320" i="5" s="1"/>
  <c r="L235" i="5"/>
  <c r="Q188" i="5"/>
  <c r="Q186" i="5" s="1"/>
  <c r="M159" i="5"/>
  <c r="P159" i="5" s="1"/>
  <c r="O142" i="5"/>
  <c r="T142" i="5"/>
  <c r="Q74" i="5"/>
  <c r="T74" i="5" s="1"/>
  <c r="S44" i="5"/>
  <c r="O416" i="4"/>
  <c r="K292" i="4"/>
  <c r="L284" i="4"/>
  <c r="O284" i="4" s="1"/>
  <c r="K779" i="5"/>
  <c r="S728" i="5"/>
  <c r="M690" i="5"/>
  <c r="P690" i="5" s="1"/>
  <c r="N642" i="5"/>
  <c r="N616" i="5"/>
  <c r="N578" i="5"/>
  <c r="N576" i="5" s="1"/>
  <c r="N495" i="5"/>
  <c r="N493" i="5" s="1"/>
  <c r="Q394" i="5"/>
  <c r="Q333" i="5"/>
  <c r="T333" i="5" s="1"/>
  <c r="L326" i="5"/>
  <c r="O326" i="5" s="1"/>
  <c r="R320" i="5"/>
  <c r="U320" i="5" s="1"/>
  <c r="M268" i="5"/>
  <c r="M266" i="5" s="1"/>
  <c r="S269" i="5"/>
  <c r="K220" i="5"/>
  <c r="I195" i="5"/>
  <c r="K195" i="5" s="1"/>
  <c r="R192" i="5"/>
  <c r="U192" i="5" s="1"/>
  <c r="P191" i="5"/>
  <c r="U142" i="5"/>
  <c r="L123" i="5"/>
  <c r="O123" i="5" s="1"/>
  <c r="N19" i="5"/>
  <c r="Q693" i="5"/>
  <c r="Q605" i="5"/>
  <c r="T605" i="5" s="1"/>
  <c r="M579" i="5"/>
  <c r="P579" i="5" s="1"/>
  <c r="P418" i="5"/>
  <c r="N378" i="5"/>
  <c r="K369" i="5"/>
  <c r="L322" i="5"/>
  <c r="L320" i="5" s="1"/>
  <c r="O320" i="5" s="1"/>
  <c r="N284" i="5"/>
  <c r="N282" i="5" s="1"/>
  <c r="S282" i="5"/>
  <c r="L268" i="5"/>
  <c r="L266" i="5" s="1"/>
  <c r="L234" i="5"/>
  <c r="N188" i="5"/>
  <c r="M160" i="5"/>
  <c r="P160" i="5" s="1"/>
  <c r="K138" i="5"/>
  <c r="Q141" i="5"/>
  <c r="Q139" i="5" s="1"/>
  <c r="L97" i="5"/>
  <c r="O97" i="5" s="1"/>
  <c r="L78" i="5"/>
  <c r="O78" i="5" s="1"/>
  <c r="L62" i="5"/>
  <c r="O62" i="5" s="1"/>
  <c r="S59" i="5"/>
  <c r="K781" i="5"/>
  <c r="J675" i="5"/>
  <c r="Q601" i="5"/>
  <c r="T601" i="5" s="1"/>
  <c r="S576" i="5"/>
  <c r="N557" i="5"/>
  <c r="N555" i="5" s="1"/>
  <c r="S534" i="5"/>
  <c r="K425" i="5"/>
  <c r="M415" i="5"/>
  <c r="M413" i="5" s="1"/>
  <c r="R377" i="5"/>
  <c r="R375" i="5" s="1"/>
  <c r="Q320" i="5"/>
  <c r="T320" i="5" s="1"/>
  <c r="N305" i="5"/>
  <c r="N303" i="5" s="1"/>
  <c r="M284" i="5"/>
  <c r="P284" i="5" s="1"/>
  <c r="S266" i="5"/>
  <c r="M269" i="5"/>
  <c r="L203" i="5"/>
  <c r="O203" i="5" s="1"/>
  <c r="L192" i="5"/>
  <c r="O192" i="5" s="1"/>
  <c r="P189" i="5"/>
  <c r="N175" i="5"/>
  <c r="N173" i="5" s="1"/>
  <c r="O144" i="5"/>
  <c r="N96" i="5"/>
  <c r="N94" i="5" s="1"/>
  <c r="I83" i="5"/>
  <c r="I71" i="5" s="1"/>
  <c r="K71" i="5" s="1"/>
  <c r="T77" i="5"/>
  <c r="R75" i="5"/>
  <c r="U75" i="5" s="1"/>
  <c r="R59" i="5"/>
  <c r="U59" i="5" s="1"/>
  <c r="T45" i="5"/>
  <c r="L19" i="5"/>
  <c r="M268" i="1"/>
  <c r="M266" i="1" s="1"/>
  <c r="Q97" i="3"/>
  <c r="T99" i="3"/>
  <c r="U19" i="5"/>
  <c r="K386" i="3"/>
  <c r="Q175" i="3"/>
  <c r="Q176" i="3"/>
  <c r="T176" i="3" s="1"/>
  <c r="I93" i="3"/>
  <c r="K93" i="3" s="1"/>
  <c r="K109" i="3"/>
  <c r="M100" i="3"/>
  <c r="P100" i="3" s="1"/>
  <c r="P102" i="3"/>
  <c r="Q731" i="4"/>
  <c r="T731" i="4" s="1"/>
  <c r="Q645" i="4"/>
  <c r="T645" i="4" s="1"/>
  <c r="T647" i="4"/>
  <c r="O501" i="4"/>
  <c r="L499" i="4"/>
  <c r="O499" i="4" s="1"/>
  <c r="L323" i="4"/>
  <c r="O323" i="4" s="1"/>
  <c r="O325" i="4"/>
  <c r="O290" i="4"/>
  <c r="L288" i="4"/>
  <c r="O288" i="4" s="1"/>
  <c r="K260" i="4"/>
  <c r="I253" i="4"/>
  <c r="K253" i="4" s="1"/>
  <c r="K772" i="5"/>
  <c r="I758" i="5"/>
  <c r="K758" i="5" s="1"/>
  <c r="T691" i="5"/>
  <c r="Q690" i="5"/>
  <c r="Q645" i="5"/>
  <c r="T645" i="5" s="1"/>
  <c r="T647" i="5"/>
  <c r="Q644" i="5"/>
  <c r="T577" i="5"/>
  <c r="Q576" i="5"/>
  <c r="T576" i="5" s="1"/>
  <c r="J423" i="5"/>
  <c r="J412" i="5" s="1"/>
  <c r="K440" i="5"/>
  <c r="S214" i="1"/>
  <c r="T761" i="5"/>
  <c r="U691" i="5"/>
  <c r="I374" i="5"/>
  <c r="K386" i="5"/>
  <c r="K705" i="1"/>
  <c r="U147" i="2"/>
  <c r="K781" i="3"/>
  <c r="K108" i="3"/>
  <c r="L495" i="4"/>
  <c r="O495" i="4" s="1"/>
  <c r="O498" i="4"/>
  <c r="L496" i="4"/>
  <c r="O496" i="4" s="1"/>
  <c r="I92" i="4"/>
  <c r="K92" i="4" s="1"/>
  <c r="K108" i="4"/>
  <c r="P762" i="5"/>
  <c r="M760" i="5"/>
  <c r="P760" i="5" s="1"/>
  <c r="L728" i="5"/>
  <c r="O728" i="5" s="1"/>
  <c r="M714" i="5"/>
  <c r="P714" i="5" s="1"/>
  <c r="M601" i="5"/>
  <c r="M599" i="5" s="1"/>
  <c r="P604" i="5"/>
  <c r="R555" i="5"/>
  <c r="U555" i="5" s="1"/>
  <c r="U556" i="5"/>
  <c r="I412" i="5"/>
  <c r="K423" i="5"/>
  <c r="L602" i="4"/>
  <c r="O602" i="4" s="1"/>
  <c r="O604" i="4"/>
  <c r="M323" i="4"/>
  <c r="P323" i="4" s="1"/>
  <c r="P325" i="4"/>
  <c r="S268" i="1"/>
  <c r="J675" i="3"/>
  <c r="K346" i="3"/>
  <c r="K330" i="3"/>
  <c r="I238" i="3"/>
  <c r="K238" i="3" s="1"/>
  <c r="I138" i="3"/>
  <c r="K138" i="3" s="1"/>
  <c r="K153" i="3"/>
  <c r="S618" i="4"/>
  <c r="S616" i="4" s="1"/>
  <c r="T621" i="4"/>
  <c r="O341" i="4"/>
  <c r="L339" i="4"/>
  <c r="O339" i="4" s="1"/>
  <c r="Q175" i="4"/>
  <c r="Q176" i="4"/>
  <c r="T176" i="4" s="1"/>
  <c r="T178" i="4"/>
  <c r="T730" i="5"/>
  <c r="S714" i="5"/>
  <c r="M616" i="5"/>
  <c r="P616" i="5" s="1"/>
  <c r="P617" i="5"/>
  <c r="L601" i="5"/>
  <c r="O604" i="5"/>
  <c r="L602" i="5"/>
  <c r="N537" i="5"/>
  <c r="N536" i="5"/>
  <c r="N534" i="5" s="1"/>
  <c r="Q534" i="5"/>
  <c r="T534" i="5" s="1"/>
  <c r="J456" i="5"/>
  <c r="K456" i="5" s="1"/>
  <c r="K457" i="5"/>
  <c r="O560" i="3"/>
  <c r="O542" i="3"/>
  <c r="P418" i="3"/>
  <c r="K260" i="3"/>
  <c r="O181" i="3"/>
  <c r="T178" i="3"/>
  <c r="U695" i="4"/>
  <c r="R693" i="4"/>
  <c r="R619" i="4"/>
  <c r="R618" i="4"/>
  <c r="R616" i="4" s="1"/>
  <c r="R495" i="4"/>
  <c r="U495" i="4" s="1"/>
  <c r="U498" i="4"/>
  <c r="I195" i="4"/>
  <c r="K195" i="4" s="1"/>
  <c r="K198" i="4"/>
  <c r="R763" i="5"/>
  <c r="U763" i="5" s="1"/>
  <c r="R762" i="5"/>
  <c r="U762" i="5" s="1"/>
  <c r="U765" i="5"/>
  <c r="L760" i="5"/>
  <c r="O760" i="5" s="1"/>
  <c r="O761" i="5"/>
  <c r="K703" i="5"/>
  <c r="I701" i="5"/>
  <c r="L690" i="5"/>
  <c r="O690" i="5" s="1"/>
  <c r="O691" i="5"/>
  <c r="O617" i="5"/>
  <c r="L616" i="5"/>
  <c r="O616" i="5" s="1"/>
  <c r="S601" i="5"/>
  <c r="S599" i="5" s="1"/>
  <c r="S602" i="5"/>
  <c r="P600" i="5"/>
  <c r="Q555" i="5"/>
  <c r="T555" i="5" s="1"/>
  <c r="T557" i="5"/>
  <c r="R534" i="5"/>
  <c r="U534" i="5" s="1"/>
  <c r="U535" i="5"/>
  <c r="L496" i="5"/>
  <c r="O496" i="5" s="1"/>
  <c r="O498" i="5"/>
  <c r="L495" i="5"/>
  <c r="I332" i="5"/>
  <c r="K344" i="5"/>
  <c r="N336" i="5"/>
  <c r="P336" i="5" s="1"/>
  <c r="O338" i="5"/>
  <c r="P338" i="5"/>
  <c r="N335" i="5"/>
  <c r="N333" i="5" s="1"/>
  <c r="J83" i="1"/>
  <c r="J71" i="1" s="1"/>
  <c r="K89" i="1"/>
  <c r="K228" i="1"/>
  <c r="S321" i="1"/>
  <c r="L619" i="1"/>
  <c r="O619" i="1" s="1"/>
  <c r="S617" i="1"/>
  <c r="K744" i="1"/>
  <c r="K314" i="2"/>
  <c r="K779" i="3"/>
  <c r="K344" i="3"/>
  <c r="O162" i="3"/>
  <c r="Q644" i="4"/>
  <c r="T644" i="4" s="1"/>
  <c r="O521" i="4"/>
  <c r="L519" i="4"/>
  <c r="O519" i="4" s="1"/>
  <c r="Q495" i="4"/>
  <c r="T495" i="4" s="1"/>
  <c r="Q496" i="4"/>
  <c r="T496" i="4" s="1"/>
  <c r="T498" i="4"/>
  <c r="S375" i="4"/>
  <c r="I221" i="4"/>
  <c r="K221" i="4" s="1"/>
  <c r="K229" i="4"/>
  <c r="Q762" i="5"/>
  <c r="T762" i="5" s="1"/>
  <c r="T765" i="5"/>
  <c r="U761" i="5"/>
  <c r="Q714" i="5"/>
  <c r="T714" i="5" s="1"/>
  <c r="T715" i="5"/>
  <c r="K626" i="5"/>
  <c r="R601" i="5"/>
  <c r="U604" i="5"/>
  <c r="R602" i="5"/>
  <c r="U602" i="5" s="1"/>
  <c r="L579" i="5"/>
  <c r="O579" i="5" s="1"/>
  <c r="L578" i="5"/>
  <c r="O581" i="5"/>
  <c r="O514" i="5"/>
  <c r="U418" i="5"/>
  <c r="R416" i="5"/>
  <c r="R415" i="5"/>
  <c r="S645" i="4"/>
  <c r="P498" i="4"/>
  <c r="K386" i="4"/>
  <c r="P274" i="4"/>
  <c r="L234" i="4"/>
  <c r="U142" i="4"/>
  <c r="T99" i="4"/>
  <c r="M74" i="4"/>
  <c r="P74" i="4" s="1"/>
  <c r="S762" i="5"/>
  <c r="S760" i="5" s="1"/>
  <c r="U733" i="5"/>
  <c r="T729" i="5"/>
  <c r="P715" i="5"/>
  <c r="P691" i="5"/>
  <c r="U647" i="5"/>
  <c r="U621" i="5"/>
  <c r="L558" i="5"/>
  <c r="O558" i="5" s="1"/>
  <c r="M537" i="5"/>
  <c r="P537" i="5" s="1"/>
  <c r="P518" i="5"/>
  <c r="P494" i="5"/>
  <c r="O414" i="5"/>
  <c r="O65" i="3"/>
  <c r="J701" i="4"/>
  <c r="P607" i="4"/>
  <c r="R188" i="4"/>
  <c r="R186" i="4" s="1"/>
  <c r="S176" i="4"/>
  <c r="K774" i="5"/>
  <c r="T733" i="5"/>
  <c r="S731" i="5"/>
  <c r="U731" i="5" s="1"/>
  <c r="L642" i="5"/>
  <c r="O642" i="5" s="1"/>
  <c r="L557" i="5"/>
  <c r="O557" i="5" s="1"/>
  <c r="N516" i="5"/>
  <c r="N515" i="5"/>
  <c r="N513" i="5" s="1"/>
  <c r="L499" i="5"/>
  <c r="O499" i="5" s="1"/>
  <c r="U414" i="5"/>
  <c r="L377" i="5"/>
  <c r="O377" i="5" s="1"/>
  <c r="L378" i="5"/>
  <c r="O378" i="5" s="1"/>
  <c r="O380" i="5"/>
  <c r="R378" i="5"/>
  <c r="U378" i="5" s="1"/>
  <c r="O376" i="5"/>
  <c r="J675" i="4"/>
  <c r="S413" i="4"/>
  <c r="N377" i="4"/>
  <c r="N375" i="4" s="1"/>
  <c r="Q188" i="4"/>
  <c r="Q186" i="4" s="1"/>
  <c r="O144" i="4"/>
  <c r="O535" i="5"/>
  <c r="O418" i="5"/>
  <c r="L416" i="5"/>
  <c r="O416" i="5" s="1"/>
  <c r="J365" i="5"/>
  <c r="K365" i="5" s="1"/>
  <c r="K371" i="5"/>
  <c r="K230" i="5"/>
  <c r="N415" i="4"/>
  <c r="N413" i="4" s="1"/>
  <c r="M378" i="4"/>
  <c r="P378" i="4" s="1"/>
  <c r="I238" i="4"/>
  <c r="K238" i="4" s="1"/>
  <c r="J701" i="5"/>
  <c r="M642" i="5"/>
  <c r="P642" i="5" s="1"/>
  <c r="Q618" i="5"/>
  <c r="T621" i="5"/>
  <c r="R576" i="5"/>
  <c r="U576" i="5" s="1"/>
  <c r="U577" i="5"/>
  <c r="M515" i="5"/>
  <c r="O421" i="5"/>
  <c r="L419" i="5"/>
  <c r="O419" i="5" s="1"/>
  <c r="P581" i="5"/>
  <c r="L540" i="5"/>
  <c r="O540" i="5" s="1"/>
  <c r="K504" i="5"/>
  <c r="J503" i="5"/>
  <c r="J492" i="5" s="1"/>
  <c r="O271" i="5"/>
  <c r="P271" i="5"/>
  <c r="N269" i="5"/>
  <c r="N268" i="5"/>
  <c r="N266" i="5" s="1"/>
  <c r="Q176" i="5"/>
  <c r="T176" i="5" s="1"/>
  <c r="T178" i="5"/>
  <c r="Q175" i="5"/>
  <c r="T175" i="5" s="1"/>
  <c r="L392" i="5"/>
  <c r="O392" i="5" s="1"/>
  <c r="O341" i="5"/>
  <c r="L339" i="5"/>
  <c r="O339" i="5" s="1"/>
  <c r="P283" i="5"/>
  <c r="P304" i="5"/>
  <c r="N358" i="5"/>
  <c r="N356" i="5" s="1"/>
  <c r="N359" i="5"/>
  <c r="U267" i="5"/>
  <c r="L515" i="5"/>
  <c r="O515" i="5" s="1"/>
  <c r="P361" i="5"/>
  <c r="R356" i="5"/>
  <c r="U356" i="5" s="1"/>
  <c r="O267" i="5"/>
  <c r="O158" i="5"/>
  <c r="L536" i="5"/>
  <c r="O536" i="5" s="1"/>
  <c r="S495" i="5"/>
  <c r="S493" i="5" s="1"/>
  <c r="M495" i="5"/>
  <c r="P495" i="5" s="1"/>
  <c r="S377" i="5"/>
  <c r="S375" i="5" s="1"/>
  <c r="M377" i="5"/>
  <c r="O361" i="5"/>
  <c r="L359" i="5"/>
  <c r="Q356" i="5"/>
  <c r="T356" i="5" s="1"/>
  <c r="T357" i="5"/>
  <c r="M322" i="5"/>
  <c r="P322" i="5" s="1"/>
  <c r="O290" i="5"/>
  <c r="L288" i="5"/>
  <c r="O288" i="5" s="1"/>
  <c r="K252" i="5"/>
  <c r="I241" i="5"/>
  <c r="K241" i="5" s="1"/>
  <c r="L236" i="5"/>
  <c r="I172" i="5"/>
  <c r="K172" i="5" s="1"/>
  <c r="K183" i="5"/>
  <c r="O181" i="5"/>
  <c r="L175" i="5"/>
  <c r="L179" i="5"/>
  <c r="O179" i="5" s="1"/>
  <c r="S19" i="5"/>
  <c r="L358" i="5"/>
  <c r="O357" i="5"/>
  <c r="M339" i="5"/>
  <c r="P339" i="5" s="1"/>
  <c r="M335" i="5"/>
  <c r="S320" i="5"/>
  <c r="L254" i="5"/>
  <c r="O254" i="5" s="1"/>
  <c r="U95" i="5"/>
  <c r="N323" i="5"/>
  <c r="P321" i="5"/>
  <c r="K314" i="5"/>
  <c r="T308" i="5"/>
  <c r="K293" i="5"/>
  <c r="M288" i="5"/>
  <c r="P288" i="5" s="1"/>
  <c r="I202" i="5"/>
  <c r="K202" i="5" s="1"/>
  <c r="Q192" i="5"/>
  <c r="T192" i="5" s="1"/>
  <c r="U191" i="5"/>
  <c r="O191" i="5"/>
  <c r="Q189" i="5"/>
  <c r="T189" i="5" s="1"/>
  <c r="U158" i="5"/>
  <c r="P140" i="5"/>
  <c r="P47" i="5"/>
  <c r="I281" i="5"/>
  <c r="K281" i="5" s="1"/>
  <c r="N243" i="5"/>
  <c r="N232" i="5" s="1"/>
  <c r="T191" i="5"/>
  <c r="N119" i="5"/>
  <c r="N117" i="5" s="1"/>
  <c r="I82" i="5"/>
  <c r="N26" i="5"/>
  <c r="N24" i="5" s="1"/>
  <c r="R305" i="5"/>
  <c r="L305" i="5"/>
  <c r="L284" i="5"/>
  <c r="Q268" i="5"/>
  <c r="L243" i="5"/>
  <c r="S188" i="5"/>
  <c r="S186" i="5" s="1"/>
  <c r="M188" i="5"/>
  <c r="K169" i="5"/>
  <c r="I156" i="5"/>
  <c r="K156" i="5" s="1"/>
  <c r="P52" i="5"/>
  <c r="M26" i="5"/>
  <c r="M50" i="5"/>
  <c r="P50" i="5" s="1"/>
  <c r="K260" i="5"/>
  <c r="S176" i="5"/>
  <c r="N159" i="5"/>
  <c r="N157" i="5" s="1"/>
  <c r="O118" i="5"/>
  <c r="L26" i="5"/>
  <c r="P22" i="5"/>
  <c r="M19" i="5"/>
  <c r="R176" i="5"/>
  <c r="U176" i="5" s="1"/>
  <c r="R175" i="5"/>
  <c r="U118" i="5"/>
  <c r="O95" i="5"/>
  <c r="R26" i="5"/>
  <c r="P67" i="5"/>
  <c r="M65" i="5"/>
  <c r="O47" i="5"/>
  <c r="P25" i="5"/>
  <c r="O19" i="5"/>
  <c r="T144" i="5"/>
  <c r="N141" i="5"/>
  <c r="N139" i="5" s="1"/>
  <c r="S119" i="5"/>
  <c r="S117" i="5" s="1"/>
  <c r="M119" i="5"/>
  <c r="I116" i="5"/>
  <c r="K116" i="5" s="1"/>
  <c r="S96" i="5"/>
  <c r="S94" i="5" s="1"/>
  <c r="M96" i="5"/>
  <c r="U80" i="5"/>
  <c r="Q78" i="5"/>
  <c r="T78" i="5" s="1"/>
  <c r="U77" i="5"/>
  <c r="O77" i="5"/>
  <c r="Q75" i="5"/>
  <c r="T75" i="5" s="1"/>
  <c r="O64" i="5"/>
  <c r="N50" i="5"/>
  <c r="O49" i="5"/>
  <c r="N23" i="5"/>
  <c r="R159" i="5"/>
  <c r="U159" i="5" s="1"/>
  <c r="L159" i="5"/>
  <c r="O159" i="5" s="1"/>
  <c r="K154" i="5"/>
  <c r="M141" i="5"/>
  <c r="R119" i="5"/>
  <c r="U119" i="5" s="1"/>
  <c r="L119" i="5"/>
  <c r="O119" i="5" s="1"/>
  <c r="R96" i="5"/>
  <c r="U96" i="5" s="1"/>
  <c r="L96" i="5"/>
  <c r="O96" i="5" s="1"/>
  <c r="N74" i="5"/>
  <c r="N72" i="5" s="1"/>
  <c r="N61" i="5"/>
  <c r="N59" i="5" s="1"/>
  <c r="N46" i="5"/>
  <c r="S26" i="5"/>
  <c r="S24" i="5" s="1"/>
  <c r="S23" i="5"/>
  <c r="S21" i="5" s="1"/>
  <c r="M23" i="5"/>
  <c r="Q19" i="5"/>
  <c r="Q159" i="5"/>
  <c r="T159" i="5" s="1"/>
  <c r="R141" i="5"/>
  <c r="L141" i="5"/>
  <c r="Q119" i="5"/>
  <c r="Q117" i="5" s="1"/>
  <c r="Q96" i="5"/>
  <c r="T96" i="5" s="1"/>
  <c r="S74" i="5"/>
  <c r="S72" i="5" s="1"/>
  <c r="M74" i="5"/>
  <c r="P74" i="5" s="1"/>
  <c r="M61" i="5"/>
  <c r="M59" i="5" s="1"/>
  <c r="M46" i="5"/>
  <c r="R23" i="5"/>
  <c r="L23" i="5"/>
  <c r="L163" i="5"/>
  <c r="O163" i="5" s="1"/>
  <c r="R160" i="5"/>
  <c r="U160" i="5" s="1"/>
  <c r="L160" i="5"/>
  <c r="O160" i="5" s="1"/>
  <c r="Q23" i="5"/>
  <c r="S644" i="1"/>
  <c r="P539" i="3"/>
  <c r="U397" i="3"/>
  <c r="L234" i="3"/>
  <c r="N159" i="3"/>
  <c r="T765" i="4"/>
  <c r="Q763" i="4"/>
  <c r="O762" i="4"/>
  <c r="N714" i="4"/>
  <c r="I701" i="4"/>
  <c r="T695" i="4"/>
  <c r="R605" i="4"/>
  <c r="U605" i="4" s="1"/>
  <c r="K441" i="4"/>
  <c r="M309" i="4"/>
  <c r="P309" i="4" s="1"/>
  <c r="I172" i="4"/>
  <c r="K172" i="4" s="1"/>
  <c r="K183" i="4"/>
  <c r="M119" i="4"/>
  <c r="P119" i="4" s="1"/>
  <c r="R74" i="4"/>
  <c r="U74" i="4" s="1"/>
  <c r="U77" i="4"/>
  <c r="M557" i="4"/>
  <c r="P557" i="4" s="1"/>
  <c r="M558" i="4"/>
  <c r="P558" i="4" s="1"/>
  <c r="P560" i="4"/>
  <c r="N61" i="4"/>
  <c r="N59" i="4" s="1"/>
  <c r="O64" i="4"/>
  <c r="N62" i="4"/>
  <c r="P62" i="4" s="1"/>
  <c r="I701" i="1"/>
  <c r="S377" i="2"/>
  <c r="S375" i="2" s="1"/>
  <c r="P341" i="2"/>
  <c r="L495" i="3"/>
  <c r="L493" i="3" s="1"/>
  <c r="M760" i="4"/>
  <c r="P760" i="4" s="1"/>
  <c r="S690" i="4"/>
  <c r="U690" i="4" s="1"/>
  <c r="L605" i="4"/>
  <c r="O605" i="4" s="1"/>
  <c r="O607" i="4"/>
  <c r="J456" i="4"/>
  <c r="K457" i="4"/>
  <c r="K220" i="4"/>
  <c r="I213" i="4"/>
  <c r="K213" i="4" s="1"/>
  <c r="M176" i="4"/>
  <c r="P176" i="4" s="1"/>
  <c r="M175" i="4"/>
  <c r="M173" i="4" s="1"/>
  <c r="R145" i="4"/>
  <c r="U145" i="4" s="1"/>
  <c r="U147" i="4"/>
  <c r="Q141" i="4"/>
  <c r="Q139" i="4" s="1"/>
  <c r="Q142" i="4"/>
  <c r="T142" i="4" s="1"/>
  <c r="T144" i="4"/>
  <c r="Q576" i="4"/>
  <c r="T576" i="4" s="1"/>
  <c r="T577" i="4"/>
  <c r="Q394" i="2"/>
  <c r="Q392" i="2" s="1"/>
  <c r="T392" i="2" s="1"/>
  <c r="K629" i="3"/>
  <c r="L214" i="3"/>
  <c r="O214" i="3" s="1"/>
  <c r="P162" i="3"/>
  <c r="M728" i="4"/>
  <c r="P728" i="4" s="1"/>
  <c r="T715" i="4"/>
  <c r="P691" i="4"/>
  <c r="K425" i="4"/>
  <c r="L97" i="4"/>
  <c r="O97" i="4" s="1"/>
  <c r="O99" i="4"/>
  <c r="T418" i="4"/>
  <c r="Q415" i="4"/>
  <c r="T415" i="4" s="1"/>
  <c r="O147" i="4"/>
  <c r="L145" i="4"/>
  <c r="O145" i="4" s="1"/>
  <c r="O144" i="1"/>
  <c r="M691" i="1"/>
  <c r="P691" i="1" s="1"/>
  <c r="P584" i="2"/>
  <c r="M175" i="2"/>
  <c r="M173" i="2" s="1"/>
  <c r="R176" i="2"/>
  <c r="U176" i="2" s="1"/>
  <c r="J701" i="3"/>
  <c r="U607" i="3"/>
  <c r="R714" i="4"/>
  <c r="U714" i="4" s="1"/>
  <c r="P364" i="4"/>
  <c r="M362" i="4"/>
  <c r="P362" i="4" s="1"/>
  <c r="K152" i="4"/>
  <c r="I137" i="4"/>
  <c r="K137" i="4" s="1"/>
  <c r="M47" i="4"/>
  <c r="P47" i="4" s="1"/>
  <c r="P49" i="4"/>
  <c r="S46" i="1"/>
  <c r="S44" i="1" s="1"/>
  <c r="U733" i="2"/>
  <c r="K109" i="2"/>
  <c r="K709" i="3"/>
  <c r="K778" i="4"/>
  <c r="S763" i="4"/>
  <c r="N760" i="4"/>
  <c r="R731" i="4"/>
  <c r="U731" i="4" s="1"/>
  <c r="L728" i="4"/>
  <c r="O728" i="4" s="1"/>
  <c r="S693" i="4"/>
  <c r="Q692" i="4"/>
  <c r="Q690" i="4" s="1"/>
  <c r="T691" i="4"/>
  <c r="P414" i="4"/>
  <c r="M179" i="4"/>
  <c r="P179" i="4" s="1"/>
  <c r="P181" i="4"/>
  <c r="L74" i="4"/>
  <c r="L72" i="4" s="1"/>
  <c r="O72" i="4" s="1"/>
  <c r="L75" i="4"/>
  <c r="O75" i="4" s="1"/>
  <c r="O77" i="4"/>
  <c r="O47" i="4"/>
  <c r="U647" i="4"/>
  <c r="R645" i="4"/>
  <c r="U645" i="4" s="1"/>
  <c r="L616" i="4"/>
  <c r="O616" i="4" s="1"/>
  <c r="Q605" i="4"/>
  <c r="T605" i="4" s="1"/>
  <c r="S601" i="4"/>
  <c r="S599" i="4" s="1"/>
  <c r="M601" i="4"/>
  <c r="P601" i="4" s="1"/>
  <c r="S602" i="4"/>
  <c r="P581" i="4"/>
  <c r="L536" i="4"/>
  <c r="O536" i="4" s="1"/>
  <c r="U305" i="4"/>
  <c r="N268" i="4"/>
  <c r="N266" i="4" s="1"/>
  <c r="L222" i="4"/>
  <c r="O222" i="4" s="1"/>
  <c r="N188" i="4"/>
  <c r="N186" i="4" s="1"/>
  <c r="Q74" i="4"/>
  <c r="T74" i="4" s="1"/>
  <c r="Q75" i="4"/>
  <c r="T75" i="4" s="1"/>
  <c r="R44" i="4"/>
  <c r="U44" i="4" s="1"/>
  <c r="Q19" i="4"/>
  <c r="T19" i="4" s="1"/>
  <c r="Q616" i="4"/>
  <c r="R601" i="4"/>
  <c r="U601" i="4" s="1"/>
  <c r="L601" i="4"/>
  <c r="L599" i="4" s="1"/>
  <c r="O599" i="4" s="1"/>
  <c r="R602" i="4"/>
  <c r="U602" i="4" s="1"/>
  <c r="O581" i="4"/>
  <c r="O539" i="4"/>
  <c r="Q534" i="4"/>
  <c r="T534" i="4" s="1"/>
  <c r="N515" i="4"/>
  <c r="N513" i="4" s="1"/>
  <c r="M515" i="4"/>
  <c r="R496" i="4"/>
  <c r="U496" i="4" s="1"/>
  <c r="S495" i="4"/>
  <c r="S493" i="4" s="1"/>
  <c r="O418" i="4"/>
  <c r="N358" i="4"/>
  <c r="N356" i="4" s="1"/>
  <c r="L272" i="4"/>
  <c r="O272" i="4" s="1"/>
  <c r="M268" i="4"/>
  <c r="M266" i="4" s="1"/>
  <c r="S269" i="4"/>
  <c r="P191" i="4"/>
  <c r="I156" i="4"/>
  <c r="K156" i="4" s="1"/>
  <c r="P147" i="4"/>
  <c r="U144" i="4"/>
  <c r="T122" i="4"/>
  <c r="I116" i="4"/>
  <c r="K116" i="4" s="1"/>
  <c r="O80" i="4"/>
  <c r="P77" i="4"/>
  <c r="N19" i="4"/>
  <c r="M616" i="4"/>
  <c r="P616" i="4" s="1"/>
  <c r="Q601" i="4"/>
  <c r="Q599" i="4" s="1"/>
  <c r="T599" i="4" s="1"/>
  <c r="Q602" i="4"/>
  <c r="T602" i="4" s="1"/>
  <c r="N536" i="4"/>
  <c r="N534" i="4" s="1"/>
  <c r="M516" i="4"/>
  <c r="P516" i="4" s="1"/>
  <c r="Q394" i="4"/>
  <c r="T394" i="4" s="1"/>
  <c r="N392" i="4"/>
  <c r="O359" i="4"/>
  <c r="J343" i="4"/>
  <c r="P338" i="4"/>
  <c r="N284" i="4"/>
  <c r="N282" i="4" s="1"/>
  <c r="N285" i="4"/>
  <c r="K265" i="4"/>
  <c r="O271" i="4"/>
  <c r="N269" i="4"/>
  <c r="L254" i="4"/>
  <c r="O254" i="4" s="1"/>
  <c r="L203" i="4"/>
  <c r="O203" i="4" s="1"/>
  <c r="M192" i="4"/>
  <c r="P192" i="4" s="1"/>
  <c r="N189" i="4"/>
  <c r="Q160" i="4"/>
  <c r="T160" i="4" s="1"/>
  <c r="L141" i="4"/>
  <c r="L139" i="4" s="1"/>
  <c r="U80" i="4"/>
  <c r="P643" i="4"/>
  <c r="O617" i="4"/>
  <c r="P604" i="4"/>
  <c r="M578" i="4"/>
  <c r="P578" i="4" s="1"/>
  <c r="S576" i="4"/>
  <c r="R576" i="4"/>
  <c r="U576" i="4" s="1"/>
  <c r="P556" i="4"/>
  <c r="P542" i="4"/>
  <c r="P521" i="4"/>
  <c r="J503" i="4"/>
  <c r="J492" i="4" s="1"/>
  <c r="M415" i="4"/>
  <c r="S416" i="4"/>
  <c r="O414" i="4"/>
  <c r="S395" i="4"/>
  <c r="S378" i="4"/>
  <c r="K365" i="4"/>
  <c r="L322" i="4"/>
  <c r="L320" i="4" s="1"/>
  <c r="O320" i="4" s="1"/>
  <c r="N305" i="4"/>
  <c r="N303" i="4" s="1"/>
  <c r="P290" i="4"/>
  <c r="U271" i="4"/>
  <c r="M269" i="4"/>
  <c r="N232" i="4"/>
  <c r="S188" i="4"/>
  <c r="S186" i="4" s="1"/>
  <c r="O181" i="4"/>
  <c r="N175" i="4"/>
  <c r="N173" i="4" s="1"/>
  <c r="L142" i="4"/>
  <c r="O125" i="4"/>
  <c r="U120" i="4"/>
  <c r="N119" i="4"/>
  <c r="N117" i="4" s="1"/>
  <c r="O102" i="4"/>
  <c r="U99" i="4"/>
  <c r="S26" i="4"/>
  <c r="S24" i="4" s="1"/>
  <c r="S78" i="4"/>
  <c r="N74" i="4"/>
  <c r="N72" i="4" s="1"/>
  <c r="P64" i="4"/>
  <c r="O49" i="4"/>
  <c r="T22" i="4"/>
  <c r="J674" i="4"/>
  <c r="U621" i="4"/>
  <c r="S619" i="4"/>
  <c r="U617" i="4"/>
  <c r="U604" i="4"/>
  <c r="M602" i="4"/>
  <c r="P602" i="4" s="1"/>
  <c r="L578" i="4"/>
  <c r="O578" i="4" s="1"/>
  <c r="L415" i="4"/>
  <c r="R416" i="4"/>
  <c r="N378" i="4"/>
  <c r="I374" i="4"/>
  <c r="L358" i="4"/>
  <c r="L356" i="4" s="1"/>
  <c r="S306" i="4"/>
  <c r="R303" i="4"/>
  <c r="U303" i="4" s="1"/>
  <c r="T268" i="4"/>
  <c r="L269" i="4"/>
  <c r="L236" i="4"/>
  <c r="L214" i="4"/>
  <c r="O214" i="4" s="1"/>
  <c r="S159" i="4"/>
  <c r="S157" i="4" s="1"/>
  <c r="R141" i="4"/>
  <c r="R139" i="4" s="1"/>
  <c r="Q119" i="4"/>
  <c r="Q117" i="4" s="1"/>
  <c r="S75" i="4"/>
  <c r="N46" i="4"/>
  <c r="N44" i="4" s="1"/>
  <c r="U762" i="4"/>
  <c r="R760" i="4"/>
  <c r="U760" i="4" s="1"/>
  <c r="R728" i="4"/>
  <c r="Q728" i="4"/>
  <c r="T762" i="4"/>
  <c r="L561" i="1"/>
  <c r="O561" i="1" s="1"/>
  <c r="I492" i="4"/>
  <c r="K492" i="4" s="1"/>
  <c r="P325" i="1"/>
  <c r="S536" i="1"/>
  <c r="K784" i="3"/>
  <c r="L557" i="4"/>
  <c r="P174" i="4"/>
  <c r="Q334" i="1"/>
  <c r="T334" i="1" s="1"/>
  <c r="R729" i="1"/>
  <c r="U729" i="1" s="1"/>
  <c r="N495" i="2"/>
  <c r="N493" i="2" s="1"/>
  <c r="K705" i="3"/>
  <c r="R642" i="4"/>
  <c r="U642" i="4" s="1"/>
  <c r="N601" i="4"/>
  <c r="N599" i="4" s="1"/>
  <c r="M381" i="4"/>
  <c r="P381" i="4" s="1"/>
  <c r="P45" i="4"/>
  <c r="R187" i="1"/>
  <c r="U187" i="1" s="1"/>
  <c r="I615" i="4"/>
  <c r="K615" i="4" s="1"/>
  <c r="R394" i="4"/>
  <c r="U397" i="4"/>
  <c r="P99" i="4"/>
  <c r="M97" i="4"/>
  <c r="P97" i="4" s="1"/>
  <c r="M96" i="4"/>
  <c r="P96" i="4" s="1"/>
  <c r="K632" i="4"/>
  <c r="O535" i="4"/>
  <c r="L46" i="3"/>
  <c r="L44" i="3" s="1"/>
  <c r="Q760" i="4"/>
  <c r="T760" i="4" s="1"/>
  <c r="L690" i="4"/>
  <c r="O690" i="4" s="1"/>
  <c r="M582" i="4"/>
  <c r="P582" i="4" s="1"/>
  <c r="K432" i="4"/>
  <c r="T187" i="4"/>
  <c r="M60" i="1"/>
  <c r="P60" i="1" s="1"/>
  <c r="K129" i="1"/>
  <c r="R494" i="1"/>
  <c r="U494" i="1" s="1"/>
  <c r="M692" i="1"/>
  <c r="P692" i="1" s="1"/>
  <c r="T765" i="1"/>
  <c r="O194" i="2"/>
  <c r="R763" i="3"/>
  <c r="M557" i="3"/>
  <c r="P557" i="3" s="1"/>
  <c r="N536" i="3"/>
  <c r="N534" i="3" s="1"/>
  <c r="I423" i="3"/>
  <c r="I412" i="3" s="1"/>
  <c r="K412" i="3" s="1"/>
  <c r="K314" i="3"/>
  <c r="P308" i="3"/>
  <c r="P290" i="3"/>
  <c r="L285" i="3"/>
  <c r="O285" i="3" s="1"/>
  <c r="O271" i="3"/>
  <c r="U162" i="3"/>
  <c r="P160" i="3"/>
  <c r="Q123" i="3"/>
  <c r="T123" i="3" s="1"/>
  <c r="R119" i="3"/>
  <c r="L50" i="3"/>
  <c r="O50" i="3" s="1"/>
  <c r="S730" i="4"/>
  <c r="U730" i="4" s="1"/>
  <c r="U692" i="4"/>
  <c r="O644" i="4"/>
  <c r="K631" i="4"/>
  <c r="P618" i="4"/>
  <c r="T617" i="4"/>
  <c r="L582" i="4"/>
  <c r="O582" i="4" s="1"/>
  <c r="Q555" i="4"/>
  <c r="T555" i="4" s="1"/>
  <c r="N537" i="4"/>
  <c r="R513" i="4"/>
  <c r="U513" i="4" s="1"/>
  <c r="P501" i="4"/>
  <c r="M495" i="4"/>
  <c r="P495" i="4" s="1"/>
  <c r="P494" i="4"/>
  <c r="K456" i="4"/>
  <c r="K440" i="4"/>
  <c r="I423" i="4"/>
  <c r="R395" i="4"/>
  <c r="U395" i="4" s="1"/>
  <c r="M392" i="4"/>
  <c r="P392" i="4" s="1"/>
  <c r="L377" i="4"/>
  <c r="O380" i="4"/>
  <c r="P357" i="4"/>
  <c r="O311" i="4"/>
  <c r="L309" i="4"/>
  <c r="O309" i="4" s="1"/>
  <c r="Q303" i="4"/>
  <c r="T303" i="4" s="1"/>
  <c r="T304" i="4"/>
  <c r="P287" i="4"/>
  <c r="M284" i="4"/>
  <c r="M285" i="4"/>
  <c r="P285" i="4" s="1"/>
  <c r="U268" i="4"/>
  <c r="R266" i="4"/>
  <c r="U266" i="4" s="1"/>
  <c r="I242" i="4"/>
  <c r="K249" i="4"/>
  <c r="O22" i="4"/>
  <c r="L19" i="4"/>
  <c r="M284" i="3"/>
  <c r="M282" i="3" s="1"/>
  <c r="P282" i="3" s="1"/>
  <c r="L222" i="3"/>
  <c r="O222" i="3" s="1"/>
  <c r="T322" i="4"/>
  <c r="Q320" i="4"/>
  <c r="T320" i="4" s="1"/>
  <c r="S97" i="4"/>
  <c r="S96" i="4"/>
  <c r="S94" i="4" s="1"/>
  <c r="N763" i="1"/>
  <c r="N578" i="4"/>
  <c r="N576" i="4" s="1"/>
  <c r="R534" i="4"/>
  <c r="U534" i="4" s="1"/>
  <c r="U535" i="4"/>
  <c r="N495" i="4"/>
  <c r="N493" i="4" s="1"/>
  <c r="O383" i="4"/>
  <c r="L381" i="4"/>
  <c r="O381" i="4" s="1"/>
  <c r="K153" i="4"/>
  <c r="I138" i="4"/>
  <c r="K138" i="4" s="1"/>
  <c r="N285" i="1"/>
  <c r="K705" i="2"/>
  <c r="O147" i="2"/>
  <c r="U80" i="2"/>
  <c r="Q763" i="3"/>
  <c r="O584" i="3"/>
  <c r="O326" i="3"/>
  <c r="P287" i="3"/>
  <c r="S159" i="3"/>
  <c r="S157" i="3" s="1"/>
  <c r="P80" i="3"/>
  <c r="L47" i="3"/>
  <c r="O47" i="3" s="1"/>
  <c r="I759" i="4"/>
  <c r="K759" i="4" s="1"/>
  <c r="U733" i="4"/>
  <c r="P729" i="4"/>
  <c r="P715" i="4"/>
  <c r="K707" i="4"/>
  <c r="K630" i="4"/>
  <c r="K626" i="4"/>
  <c r="P600" i="4"/>
  <c r="P577" i="4"/>
  <c r="P535" i="4"/>
  <c r="O518" i="4"/>
  <c r="L516" i="4"/>
  <c r="O516" i="4" s="1"/>
  <c r="N516" i="4"/>
  <c r="Q513" i="4"/>
  <c r="T513" i="4" s="1"/>
  <c r="T514" i="4"/>
  <c r="O494" i="4"/>
  <c r="R377" i="4"/>
  <c r="U380" i="4"/>
  <c r="R378" i="4"/>
  <c r="O338" i="4"/>
  <c r="L336" i="4"/>
  <c r="O336" i="4" s="1"/>
  <c r="L335" i="4"/>
  <c r="U335" i="4"/>
  <c r="R333" i="4"/>
  <c r="U333" i="4" s="1"/>
  <c r="K314" i="4"/>
  <c r="I302" i="4"/>
  <c r="K302" i="4" s="1"/>
  <c r="K293" i="4"/>
  <c r="I280" i="4"/>
  <c r="K280" i="4" s="1"/>
  <c r="O287" i="4"/>
  <c r="L285" i="4"/>
  <c r="O285" i="4" s="1"/>
  <c r="N160" i="4"/>
  <c r="N159" i="4"/>
  <c r="N157" i="4" s="1"/>
  <c r="U95" i="4"/>
  <c r="S19" i="4"/>
  <c r="P376" i="4"/>
  <c r="K88" i="1"/>
  <c r="J351" i="3"/>
  <c r="L254" i="3"/>
  <c r="O254" i="3" s="1"/>
  <c r="S534" i="4"/>
  <c r="K424" i="4"/>
  <c r="O191" i="4"/>
  <c r="L189" i="4"/>
  <c r="L188" i="4"/>
  <c r="P102" i="4"/>
  <c r="M100" i="4"/>
  <c r="P100" i="4" s="1"/>
  <c r="N377" i="3"/>
  <c r="N375" i="3" s="1"/>
  <c r="P271" i="3"/>
  <c r="L145" i="3"/>
  <c r="O145" i="3" s="1"/>
  <c r="P539" i="4"/>
  <c r="M537" i="4"/>
  <c r="P537" i="4" s="1"/>
  <c r="O308" i="4"/>
  <c r="L306" i="4"/>
  <c r="O306" i="4" s="1"/>
  <c r="L305" i="4"/>
  <c r="O305" i="4" s="1"/>
  <c r="P77" i="1"/>
  <c r="K213" i="1"/>
  <c r="O287" i="1"/>
  <c r="L717" i="1"/>
  <c r="O717" i="1" s="1"/>
  <c r="K785" i="3"/>
  <c r="K780" i="3"/>
  <c r="P607" i="3"/>
  <c r="P563" i="3"/>
  <c r="L415" i="3"/>
  <c r="L413" i="3" s="1"/>
  <c r="K292" i="3"/>
  <c r="N188" i="3"/>
  <c r="N186" i="3" s="1"/>
  <c r="L159" i="3"/>
  <c r="L157" i="3" s="1"/>
  <c r="P147" i="3"/>
  <c r="L74" i="3"/>
  <c r="L72" i="3" s="1"/>
  <c r="U765" i="4"/>
  <c r="T733" i="4"/>
  <c r="N557" i="4"/>
  <c r="N555" i="4" s="1"/>
  <c r="M536" i="4"/>
  <c r="P536" i="4" s="1"/>
  <c r="K506" i="4"/>
  <c r="Q416" i="4"/>
  <c r="T380" i="4"/>
  <c r="Q377" i="4"/>
  <c r="T377" i="4" s="1"/>
  <c r="Q378" i="4"/>
  <c r="M377" i="4"/>
  <c r="P377" i="4" s="1"/>
  <c r="P361" i="4"/>
  <c r="M359" i="4"/>
  <c r="P359" i="4" s="1"/>
  <c r="M358" i="4"/>
  <c r="I332" i="4"/>
  <c r="K344" i="4"/>
  <c r="P341" i="4"/>
  <c r="M339" i="4"/>
  <c r="P339" i="4" s="1"/>
  <c r="K209" i="4"/>
  <c r="T95" i="4"/>
  <c r="L392" i="4"/>
  <c r="O392" i="4" s="1"/>
  <c r="O357" i="4"/>
  <c r="P328" i="4"/>
  <c r="M326" i="4"/>
  <c r="P326" i="4" s="1"/>
  <c r="N322" i="4"/>
  <c r="N320" i="4" s="1"/>
  <c r="U308" i="4"/>
  <c r="R306" i="4"/>
  <c r="M305" i="4"/>
  <c r="O194" i="4"/>
  <c r="L192" i="4"/>
  <c r="O192" i="4" s="1"/>
  <c r="U191" i="4"/>
  <c r="R189" i="4"/>
  <c r="U189" i="4" s="1"/>
  <c r="M188" i="4"/>
  <c r="O174" i="4"/>
  <c r="P162" i="4"/>
  <c r="M160" i="4"/>
  <c r="P160" i="4" s="1"/>
  <c r="M159" i="4"/>
  <c r="P159" i="4" s="1"/>
  <c r="U158" i="4"/>
  <c r="K84" i="4"/>
  <c r="I82" i="4"/>
  <c r="R26" i="4"/>
  <c r="U26" i="4" s="1"/>
  <c r="M46" i="4"/>
  <c r="U22" i="4"/>
  <c r="J374" i="4"/>
  <c r="K371" i="4"/>
  <c r="S356" i="4"/>
  <c r="J351" i="4"/>
  <c r="Q333" i="4"/>
  <c r="T333" i="4" s="1"/>
  <c r="K330" i="4"/>
  <c r="O328" i="4"/>
  <c r="L326" i="4"/>
  <c r="O326" i="4" s="1"/>
  <c r="M322" i="4"/>
  <c r="P322" i="4" s="1"/>
  <c r="T308" i="4"/>
  <c r="Q306" i="4"/>
  <c r="R282" i="4"/>
  <c r="U282" i="4" s="1"/>
  <c r="R269" i="4"/>
  <c r="Q266" i="4"/>
  <c r="T266" i="4" s="1"/>
  <c r="L243" i="4"/>
  <c r="T191" i="4"/>
  <c r="Q189" i="4"/>
  <c r="T189" i="4" s="1"/>
  <c r="P178" i="4"/>
  <c r="P165" i="4"/>
  <c r="M163" i="4"/>
  <c r="P163" i="4" s="1"/>
  <c r="Q26" i="4"/>
  <c r="P52" i="4"/>
  <c r="M26" i="4"/>
  <c r="P26" i="4" s="1"/>
  <c r="M50" i="4"/>
  <c r="P50" i="4" s="1"/>
  <c r="L46" i="4"/>
  <c r="O361" i="4"/>
  <c r="R356" i="4"/>
  <c r="U356" i="4" s="1"/>
  <c r="U357" i="4"/>
  <c r="Q356" i="4"/>
  <c r="T356" i="4" s="1"/>
  <c r="N335" i="4"/>
  <c r="N333" i="4" s="1"/>
  <c r="M306" i="4"/>
  <c r="P306" i="4" s="1"/>
  <c r="Q282" i="4"/>
  <c r="T282" i="4" s="1"/>
  <c r="T283" i="4"/>
  <c r="T271" i="4"/>
  <c r="Q269" i="4"/>
  <c r="U194" i="4"/>
  <c r="R192" i="4"/>
  <c r="U192" i="4" s="1"/>
  <c r="M189" i="4"/>
  <c r="O178" i="4"/>
  <c r="S123" i="4"/>
  <c r="S119" i="4"/>
  <c r="S117" i="4" s="1"/>
  <c r="P118" i="4"/>
  <c r="O52" i="4"/>
  <c r="L26" i="4"/>
  <c r="O26" i="4" s="1"/>
  <c r="L50" i="4"/>
  <c r="O50" i="4" s="1"/>
  <c r="U25" i="4"/>
  <c r="J332" i="4"/>
  <c r="M335" i="4"/>
  <c r="L233" i="4"/>
  <c r="T194" i="4"/>
  <c r="Q192" i="4"/>
  <c r="T192" i="4" s="1"/>
  <c r="N142" i="4"/>
  <c r="P142" i="4" s="1"/>
  <c r="P144" i="4"/>
  <c r="N141" i="4"/>
  <c r="O118" i="4"/>
  <c r="N97" i="4"/>
  <c r="N23" i="4"/>
  <c r="N21" i="4" s="1"/>
  <c r="N96" i="4"/>
  <c r="N94" i="4" s="1"/>
  <c r="P19" i="4"/>
  <c r="U19" i="4"/>
  <c r="S173" i="4"/>
  <c r="P158" i="4"/>
  <c r="U122" i="4"/>
  <c r="U118" i="4"/>
  <c r="P95" i="4"/>
  <c r="P67" i="4"/>
  <c r="M65" i="4"/>
  <c r="P65" i="4" s="1"/>
  <c r="M61" i="4"/>
  <c r="K276" i="4"/>
  <c r="R176" i="4"/>
  <c r="U176" i="4" s="1"/>
  <c r="R175" i="4"/>
  <c r="U175" i="4" s="1"/>
  <c r="L176" i="4"/>
  <c r="O176" i="4" s="1"/>
  <c r="L175" i="4"/>
  <c r="U174" i="4"/>
  <c r="O158" i="4"/>
  <c r="P140" i="4"/>
  <c r="P122" i="4"/>
  <c r="M120" i="4"/>
  <c r="P120" i="4" s="1"/>
  <c r="O95" i="4"/>
  <c r="I83" i="4"/>
  <c r="O67" i="4"/>
  <c r="L65" i="4"/>
  <c r="O65" i="4" s="1"/>
  <c r="L61" i="4"/>
  <c r="P60" i="4"/>
  <c r="N26" i="4"/>
  <c r="N24" i="4" s="1"/>
  <c r="P25" i="4"/>
  <c r="P125" i="4"/>
  <c r="M123" i="4"/>
  <c r="P123" i="4" s="1"/>
  <c r="T120" i="4"/>
  <c r="I93" i="4"/>
  <c r="K93" i="4" s="1"/>
  <c r="P73" i="4"/>
  <c r="O25" i="4"/>
  <c r="P22" i="4"/>
  <c r="R159" i="4"/>
  <c r="U159" i="4" s="1"/>
  <c r="L159" i="4"/>
  <c r="O159" i="4" s="1"/>
  <c r="K154" i="4"/>
  <c r="S141" i="4"/>
  <c r="S139" i="4" s="1"/>
  <c r="M141" i="4"/>
  <c r="M139" i="4" s="1"/>
  <c r="R119" i="4"/>
  <c r="L119" i="4"/>
  <c r="O119" i="4" s="1"/>
  <c r="R96" i="4"/>
  <c r="U96" i="4" s="1"/>
  <c r="L96" i="4"/>
  <c r="O96" i="4" s="1"/>
  <c r="T80" i="4"/>
  <c r="T77" i="4"/>
  <c r="S23" i="4"/>
  <c r="M23" i="4"/>
  <c r="K85" i="4"/>
  <c r="R23" i="4"/>
  <c r="R21" i="4" s="1"/>
  <c r="L23" i="4"/>
  <c r="L21" i="4" s="1"/>
  <c r="Q23" i="4"/>
  <c r="R62" i="1"/>
  <c r="U62" i="1" s="1"/>
  <c r="S415" i="1"/>
  <c r="R716" i="1"/>
  <c r="U716" i="1" s="1"/>
  <c r="O274" i="2"/>
  <c r="L272" i="2"/>
  <c r="O272" i="2" s="1"/>
  <c r="M339" i="3"/>
  <c r="P339" i="3" s="1"/>
  <c r="P341" i="3"/>
  <c r="K229" i="3"/>
  <c r="I221" i="3"/>
  <c r="K221" i="3" s="1"/>
  <c r="L61" i="3"/>
  <c r="L59" i="3" s="1"/>
  <c r="L62" i="3"/>
  <c r="O62" i="3" s="1"/>
  <c r="R179" i="1"/>
  <c r="U179" i="1" s="1"/>
  <c r="Q214" i="1"/>
  <c r="Q283" i="1"/>
  <c r="T283" i="1" s="1"/>
  <c r="S494" i="1"/>
  <c r="S495" i="1"/>
  <c r="N618" i="1"/>
  <c r="R601" i="3"/>
  <c r="U601" i="3" s="1"/>
  <c r="U604" i="3"/>
  <c r="Q513" i="3"/>
  <c r="T513" i="3" s="1"/>
  <c r="R415" i="3"/>
  <c r="R413" i="3" s="1"/>
  <c r="R416" i="3"/>
  <c r="S377" i="3"/>
  <c r="S375" i="3" s="1"/>
  <c r="S378" i="3"/>
  <c r="L175" i="3"/>
  <c r="O175" i="3" s="1"/>
  <c r="O178" i="3"/>
  <c r="L176" i="3"/>
  <c r="O176" i="3" s="1"/>
  <c r="R19" i="3"/>
  <c r="U22" i="3"/>
  <c r="L50" i="1"/>
  <c r="O50" i="1" s="1"/>
  <c r="M335" i="1"/>
  <c r="P335" i="1" s="1"/>
  <c r="T691" i="3"/>
  <c r="M359" i="3"/>
  <c r="P361" i="3"/>
  <c r="N141" i="3"/>
  <c r="N139" i="3" s="1"/>
  <c r="O144" i="3"/>
  <c r="O77" i="1"/>
  <c r="L78" i="1"/>
  <c r="O78" i="1" s="1"/>
  <c r="Q268" i="1"/>
  <c r="S284" i="1"/>
  <c r="S288" i="1"/>
  <c r="K295" i="1"/>
  <c r="K784" i="2"/>
  <c r="K781" i="2"/>
  <c r="K778" i="2"/>
  <c r="I137" i="2"/>
  <c r="K137" i="2" s="1"/>
  <c r="K152" i="2"/>
  <c r="J626" i="3"/>
  <c r="J615" i="3" s="1"/>
  <c r="K632" i="3"/>
  <c r="R356" i="3"/>
  <c r="U356" i="3" s="1"/>
  <c r="I136" i="3"/>
  <c r="K136" i="3" s="1"/>
  <c r="L75" i="3"/>
  <c r="O75" i="3" s="1"/>
  <c r="Q59" i="3"/>
  <c r="T59" i="3" s="1"/>
  <c r="T60" i="3"/>
  <c r="O162" i="1"/>
  <c r="Q515" i="1"/>
  <c r="T515" i="1" s="1"/>
  <c r="Q378" i="2"/>
  <c r="T378" i="2" s="1"/>
  <c r="L362" i="2"/>
  <c r="O362" i="2" s="1"/>
  <c r="O311" i="2"/>
  <c r="Q714" i="3"/>
  <c r="T714" i="3" s="1"/>
  <c r="R642" i="3"/>
  <c r="U642" i="3" s="1"/>
  <c r="N578" i="3"/>
  <c r="N576" i="3" s="1"/>
  <c r="N579" i="3"/>
  <c r="P579" i="3" s="1"/>
  <c r="O421" i="3"/>
  <c r="L419" i="3"/>
  <c r="O419" i="3" s="1"/>
  <c r="M381" i="3"/>
  <c r="P381" i="3" s="1"/>
  <c r="P383" i="3"/>
  <c r="N284" i="3"/>
  <c r="N282" i="3" s="1"/>
  <c r="M179" i="3"/>
  <c r="P179" i="3" s="1"/>
  <c r="P181" i="3"/>
  <c r="Q119" i="3"/>
  <c r="Q117" i="3" s="1"/>
  <c r="Q120" i="3"/>
  <c r="T122" i="3"/>
  <c r="P99" i="3"/>
  <c r="N96" i="3"/>
  <c r="N94" i="3" s="1"/>
  <c r="S26" i="1"/>
  <c r="S323" i="1"/>
  <c r="L47" i="1"/>
  <c r="L321" i="1"/>
  <c r="O321" i="1" s="1"/>
  <c r="J374" i="1"/>
  <c r="M514" i="1"/>
  <c r="P514" i="1" s="1"/>
  <c r="K780" i="2"/>
  <c r="T380" i="2"/>
  <c r="L377" i="2"/>
  <c r="L375" i="2" s="1"/>
  <c r="T308" i="2"/>
  <c r="S730" i="3"/>
  <c r="S728" i="3" s="1"/>
  <c r="S731" i="3"/>
  <c r="U731" i="3" s="1"/>
  <c r="L690" i="3"/>
  <c r="O690" i="3" s="1"/>
  <c r="O691" i="3"/>
  <c r="U647" i="3"/>
  <c r="R645" i="3"/>
  <c r="U645" i="3" s="1"/>
  <c r="R619" i="3"/>
  <c r="U619" i="3" s="1"/>
  <c r="R618" i="3"/>
  <c r="R616" i="3" s="1"/>
  <c r="U621" i="3"/>
  <c r="Q605" i="3"/>
  <c r="T605" i="3" s="1"/>
  <c r="M601" i="3"/>
  <c r="P601" i="3" s="1"/>
  <c r="M602" i="3"/>
  <c r="P602" i="3" s="1"/>
  <c r="P604" i="3"/>
  <c r="S602" i="3"/>
  <c r="P581" i="3"/>
  <c r="S395" i="3"/>
  <c r="S394" i="3"/>
  <c r="S392" i="3" s="1"/>
  <c r="K368" i="3"/>
  <c r="K302" i="3"/>
  <c r="K220" i="3"/>
  <c r="I213" i="3"/>
  <c r="K213" i="3" s="1"/>
  <c r="M96" i="3"/>
  <c r="M94" i="3" s="1"/>
  <c r="M97" i="3"/>
  <c r="S75" i="3"/>
  <c r="T77" i="3"/>
  <c r="M123" i="3"/>
  <c r="P123" i="3" s="1"/>
  <c r="P125" i="3"/>
  <c r="S62" i="1"/>
  <c r="S141" i="1"/>
  <c r="K152" i="1"/>
  <c r="O271" i="1"/>
  <c r="R321" i="1"/>
  <c r="U321" i="1" s="1"/>
  <c r="Q377" i="1"/>
  <c r="T377" i="1" s="1"/>
  <c r="K386" i="1"/>
  <c r="U418" i="1"/>
  <c r="U498" i="1"/>
  <c r="N601" i="1"/>
  <c r="R692" i="1"/>
  <c r="J726" i="1"/>
  <c r="K726" i="1" s="1"/>
  <c r="P607" i="2"/>
  <c r="P560" i="2"/>
  <c r="I172" i="2"/>
  <c r="K172" i="2" s="1"/>
  <c r="K183" i="2"/>
  <c r="O162" i="2"/>
  <c r="L160" i="2"/>
  <c r="O160" i="2" s="1"/>
  <c r="L642" i="3"/>
  <c r="O642" i="3" s="1"/>
  <c r="Q619" i="3"/>
  <c r="T619" i="3" s="1"/>
  <c r="Q618" i="3"/>
  <c r="Q616" i="3" s="1"/>
  <c r="T621" i="3"/>
  <c r="L601" i="3"/>
  <c r="O601" i="3" s="1"/>
  <c r="L602" i="3"/>
  <c r="O602" i="3" s="1"/>
  <c r="O604" i="3"/>
  <c r="R602" i="3"/>
  <c r="U602" i="3" s="1"/>
  <c r="O563" i="3"/>
  <c r="L561" i="3"/>
  <c r="O561" i="3" s="1"/>
  <c r="N537" i="3"/>
  <c r="L416" i="3"/>
  <c r="M392" i="3"/>
  <c r="P392" i="3" s="1"/>
  <c r="P393" i="3"/>
  <c r="N358" i="3"/>
  <c r="N356" i="3" s="1"/>
  <c r="N359" i="3"/>
  <c r="O359" i="3" s="1"/>
  <c r="P328" i="3"/>
  <c r="M326" i="3"/>
  <c r="P326" i="3" s="1"/>
  <c r="N306" i="3"/>
  <c r="N305" i="3"/>
  <c r="N303" i="3" s="1"/>
  <c r="R268" i="3"/>
  <c r="U268" i="3" s="1"/>
  <c r="P191" i="3"/>
  <c r="R74" i="3"/>
  <c r="R72" i="3" s="1"/>
  <c r="R75" i="3"/>
  <c r="M62" i="3"/>
  <c r="P62" i="3" s="1"/>
  <c r="P64" i="3"/>
  <c r="P49" i="3"/>
  <c r="L235" i="2"/>
  <c r="I195" i="2"/>
  <c r="K195" i="2" s="1"/>
  <c r="U765" i="3"/>
  <c r="L714" i="3"/>
  <c r="O714" i="3" s="1"/>
  <c r="Q644" i="3"/>
  <c r="T644" i="3" s="1"/>
  <c r="N642" i="3"/>
  <c r="S618" i="3"/>
  <c r="S616" i="3" s="1"/>
  <c r="O607" i="3"/>
  <c r="Q601" i="3"/>
  <c r="T601" i="3" s="1"/>
  <c r="Q602" i="3"/>
  <c r="T602" i="3" s="1"/>
  <c r="L578" i="3"/>
  <c r="L576" i="3" s="1"/>
  <c r="M536" i="3"/>
  <c r="S413" i="3"/>
  <c r="P325" i="3"/>
  <c r="L309" i="3"/>
  <c r="O309" i="3" s="1"/>
  <c r="S306" i="3"/>
  <c r="T306" i="3" s="1"/>
  <c r="O290" i="3"/>
  <c r="P274" i="3"/>
  <c r="N268" i="3"/>
  <c r="N266" i="3" s="1"/>
  <c r="L236" i="3"/>
  <c r="T194" i="3"/>
  <c r="T191" i="3"/>
  <c r="T162" i="3"/>
  <c r="L141" i="3"/>
  <c r="L139" i="3" s="1"/>
  <c r="S97" i="3"/>
  <c r="Q74" i="3"/>
  <c r="Q72" i="3" s="1"/>
  <c r="S44" i="3"/>
  <c r="Q44" i="3"/>
  <c r="T44" i="3" s="1"/>
  <c r="L188" i="2"/>
  <c r="L186" i="2" s="1"/>
  <c r="K153" i="2"/>
  <c r="S141" i="2"/>
  <c r="S139" i="2" s="1"/>
  <c r="L74" i="2"/>
  <c r="L728" i="3"/>
  <c r="O728" i="3" s="1"/>
  <c r="K726" i="3"/>
  <c r="R692" i="3"/>
  <c r="R690" i="3" s="1"/>
  <c r="Q576" i="3"/>
  <c r="T576" i="3" s="1"/>
  <c r="L536" i="3"/>
  <c r="S303" i="3"/>
  <c r="R282" i="3"/>
  <c r="U282" i="3" s="1"/>
  <c r="L243" i="3"/>
  <c r="O243" i="3" s="1"/>
  <c r="S188" i="3"/>
  <c r="S186" i="3" s="1"/>
  <c r="Q157" i="3"/>
  <c r="T157" i="3" s="1"/>
  <c r="K152" i="3"/>
  <c r="U147" i="3"/>
  <c r="R141" i="3"/>
  <c r="R139" i="3" s="1"/>
  <c r="L142" i="3"/>
  <c r="N119" i="3"/>
  <c r="N117" i="3" s="1"/>
  <c r="S94" i="3"/>
  <c r="P77" i="3"/>
  <c r="N19" i="3"/>
  <c r="R74" i="2"/>
  <c r="U74" i="2" s="1"/>
  <c r="K778" i="3"/>
  <c r="Q760" i="3"/>
  <c r="T760" i="3" s="1"/>
  <c r="M760" i="3"/>
  <c r="P760" i="3" s="1"/>
  <c r="Q692" i="3"/>
  <c r="N690" i="3"/>
  <c r="L616" i="3"/>
  <c r="O616" i="3" s="1"/>
  <c r="R395" i="3"/>
  <c r="U395" i="3" s="1"/>
  <c r="M377" i="3"/>
  <c r="M322" i="3"/>
  <c r="M320" i="3" s="1"/>
  <c r="L306" i="3"/>
  <c r="O306" i="3" s="1"/>
  <c r="L272" i="3"/>
  <c r="O272" i="3" s="1"/>
  <c r="N269" i="3"/>
  <c r="K195" i="3"/>
  <c r="Q160" i="3"/>
  <c r="T160" i="3" s="1"/>
  <c r="M119" i="3"/>
  <c r="P119" i="3" s="1"/>
  <c r="T733" i="3"/>
  <c r="Q731" i="3"/>
  <c r="T731" i="3" s="1"/>
  <c r="O715" i="3"/>
  <c r="I701" i="3"/>
  <c r="T647" i="3"/>
  <c r="K615" i="3"/>
  <c r="T604" i="3"/>
  <c r="L557" i="3"/>
  <c r="O557" i="3" s="1"/>
  <c r="M499" i="3"/>
  <c r="P499" i="3" s="1"/>
  <c r="N392" i="3"/>
  <c r="I374" i="3"/>
  <c r="N378" i="3"/>
  <c r="P378" i="3" s="1"/>
  <c r="K369" i="3"/>
  <c r="O361" i="3"/>
  <c r="O341" i="3"/>
  <c r="O328" i="3"/>
  <c r="M269" i="3"/>
  <c r="L235" i="3"/>
  <c r="U125" i="3"/>
  <c r="O125" i="3"/>
  <c r="S119" i="3"/>
  <c r="S117" i="3" s="1"/>
  <c r="L120" i="3"/>
  <c r="O120" i="3" s="1"/>
  <c r="R59" i="3"/>
  <c r="U59" i="3" s="1"/>
  <c r="L19" i="3"/>
  <c r="O19" i="3" s="1"/>
  <c r="U695" i="3"/>
  <c r="S692" i="3"/>
  <c r="S690" i="3" s="1"/>
  <c r="T695" i="3"/>
  <c r="S693" i="3"/>
  <c r="U693" i="3" s="1"/>
  <c r="R555" i="3"/>
  <c r="U555" i="3" s="1"/>
  <c r="U556" i="3"/>
  <c r="R305" i="1"/>
  <c r="R303" i="1" s="1"/>
  <c r="Q176" i="2"/>
  <c r="T176" i="2" s="1"/>
  <c r="T178" i="2"/>
  <c r="U715" i="3"/>
  <c r="R714" i="3"/>
  <c r="U714" i="3" s="1"/>
  <c r="N601" i="3"/>
  <c r="N599" i="3" s="1"/>
  <c r="P600" i="3"/>
  <c r="L62" i="1"/>
  <c r="O63" i="1"/>
  <c r="K772" i="3"/>
  <c r="I758" i="3"/>
  <c r="K758" i="3" s="1"/>
  <c r="Q728" i="3"/>
  <c r="N495" i="3"/>
  <c r="N493" i="3" s="1"/>
  <c r="N496" i="3"/>
  <c r="M142" i="3"/>
  <c r="P144" i="3"/>
  <c r="M141" i="3"/>
  <c r="K154" i="1"/>
  <c r="I136" i="1"/>
  <c r="K136" i="1" s="1"/>
  <c r="Q305" i="1"/>
  <c r="U308" i="1"/>
  <c r="M540" i="2"/>
  <c r="P540" i="2" s="1"/>
  <c r="P542" i="2"/>
  <c r="Q192" i="2"/>
  <c r="T192" i="2" s="1"/>
  <c r="T194" i="2"/>
  <c r="R96" i="2"/>
  <c r="U96" i="2" s="1"/>
  <c r="R97" i="2"/>
  <c r="U97" i="2" s="1"/>
  <c r="U99" i="2"/>
  <c r="O762" i="3"/>
  <c r="L760" i="3"/>
  <c r="O760" i="3" s="1"/>
  <c r="U729" i="3"/>
  <c r="T310" i="1"/>
  <c r="Q309" i="1"/>
  <c r="T309" i="1" s="1"/>
  <c r="K127" i="1"/>
  <c r="I116" i="1"/>
  <c r="K116" i="1" s="1"/>
  <c r="P193" i="1"/>
  <c r="M192" i="1"/>
  <c r="P192" i="1" s="1"/>
  <c r="M326" i="2"/>
  <c r="P326" i="2" s="1"/>
  <c r="P328" i="2"/>
  <c r="Q145" i="2"/>
  <c r="T145" i="2" s="1"/>
  <c r="T147" i="2"/>
  <c r="U762" i="3"/>
  <c r="R760" i="3"/>
  <c r="U760" i="3" s="1"/>
  <c r="U66" i="1"/>
  <c r="R65" i="1"/>
  <c r="U65" i="1" s="1"/>
  <c r="O420" i="1"/>
  <c r="L419" i="1"/>
  <c r="O419" i="1" s="1"/>
  <c r="L494" i="1"/>
  <c r="O494" i="1" s="1"/>
  <c r="K167" i="1"/>
  <c r="I156" i="1"/>
  <c r="K156" i="1" s="1"/>
  <c r="P49" i="1"/>
  <c r="R100" i="1"/>
  <c r="U100" i="1" s="1"/>
  <c r="L535" i="1"/>
  <c r="O535" i="1" s="1"/>
  <c r="O538" i="1"/>
  <c r="S644" i="3"/>
  <c r="S642" i="3" s="1"/>
  <c r="S645" i="3"/>
  <c r="M536" i="2"/>
  <c r="P536" i="2" s="1"/>
  <c r="J351" i="2"/>
  <c r="O323" i="2"/>
  <c r="P269" i="2"/>
  <c r="L214" i="2"/>
  <c r="O214" i="2" s="1"/>
  <c r="T762" i="3"/>
  <c r="O600" i="3"/>
  <c r="Q555" i="3"/>
  <c r="T555" i="3" s="1"/>
  <c r="T556" i="3"/>
  <c r="M495" i="3"/>
  <c r="P498" i="3"/>
  <c r="O418" i="3"/>
  <c r="N416" i="3"/>
  <c r="P416" i="3" s="1"/>
  <c r="N415" i="3"/>
  <c r="N413" i="3" s="1"/>
  <c r="M335" i="3"/>
  <c r="P338" i="3"/>
  <c r="M336" i="3"/>
  <c r="P336" i="3" s="1"/>
  <c r="S305" i="1"/>
  <c r="K346" i="1"/>
  <c r="N357" i="1"/>
  <c r="R645" i="1"/>
  <c r="N762" i="1"/>
  <c r="K785" i="2"/>
  <c r="K779" i="2"/>
  <c r="R730" i="2"/>
  <c r="U730" i="2" s="1"/>
  <c r="S728" i="2"/>
  <c r="N578" i="2"/>
  <c r="N576" i="2" s="1"/>
  <c r="L536" i="2"/>
  <c r="O536" i="2" s="1"/>
  <c r="J332" i="2"/>
  <c r="K332" i="2" s="1"/>
  <c r="L203" i="2"/>
  <c r="O203" i="2" s="1"/>
  <c r="P542" i="3"/>
  <c r="M540" i="3"/>
  <c r="P540" i="3" s="1"/>
  <c r="R513" i="3"/>
  <c r="U513" i="3" s="1"/>
  <c r="M419" i="3"/>
  <c r="P419" i="3" s="1"/>
  <c r="M415" i="3"/>
  <c r="P421" i="3"/>
  <c r="P357" i="3"/>
  <c r="P311" i="3"/>
  <c r="M309" i="3"/>
  <c r="P309" i="3" s="1"/>
  <c r="M305" i="3"/>
  <c r="I280" i="3"/>
  <c r="K280" i="3" s="1"/>
  <c r="K293" i="3"/>
  <c r="M62" i="1"/>
  <c r="Q187" i="1"/>
  <c r="T187" i="1" s="1"/>
  <c r="J199" i="1"/>
  <c r="R393" i="1"/>
  <c r="U393" i="1" s="1"/>
  <c r="N556" i="1"/>
  <c r="S692" i="1"/>
  <c r="R761" i="1"/>
  <c r="K772" i="1"/>
  <c r="K780" i="1"/>
  <c r="K783" i="1"/>
  <c r="S644" i="2"/>
  <c r="S642" i="2" s="1"/>
  <c r="M578" i="2"/>
  <c r="M576" i="2" s="1"/>
  <c r="L540" i="2"/>
  <c r="O540" i="2" s="1"/>
  <c r="O521" i="2"/>
  <c r="K249" i="2"/>
  <c r="P64" i="2"/>
  <c r="L46" i="2"/>
  <c r="L44" i="2" s="1"/>
  <c r="K774" i="3"/>
  <c r="T765" i="3"/>
  <c r="S763" i="3"/>
  <c r="N728" i="3"/>
  <c r="N714" i="3"/>
  <c r="U600" i="3"/>
  <c r="M578" i="3"/>
  <c r="P560" i="3"/>
  <c r="M558" i="3"/>
  <c r="P558" i="3" s="1"/>
  <c r="N557" i="3"/>
  <c r="N555" i="3" s="1"/>
  <c r="P521" i="3"/>
  <c r="M519" i="3"/>
  <c r="P519" i="3" s="1"/>
  <c r="O501" i="3"/>
  <c r="L499" i="3"/>
  <c r="O499" i="3" s="1"/>
  <c r="M496" i="3"/>
  <c r="R392" i="3"/>
  <c r="U392" i="3" s="1"/>
  <c r="U393" i="3"/>
  <c r="O383" i="3"/>
  <c r="L381" i="3"/>
  <c r="O381" i="3" s="1"/>
  <c r="L377" i="3"/>
  <c r="U380" i="3"/>
  <c r="R378" i="3"/>
  <c r="R377" i="3"/>
  <c r="N61" i="1"/>
  <c r="O67" i="1"/>
  <c r="R73" i="1"/>
  <c r="U73" i="1" s="1"/>
  <c r="R75" i="1"/>
  <c r="S188" i="1"/>
  <c r="K238" i="1"/>
  <c r="O308" i="1"/>
  <c r="S322" i="1"/>
  <c r="S339" i="1"/>
  <c r="O378" i="1"/>
  <c r="O418" i="1"/>
  <c r="J468" i="1"/>
  <c r="L495" i="1"/>
  <c r="R515" i="1"/>
  <c r="U515" i="1" s="1"/>
  <c r="R578" i="1"/>
  <c r="U578" i="1" s="1"/>
  <c r="L618" i="1"/>
  <c r="O618" i="1" s="1"/>
  <c r="M715" i="1"/>
  <c r="P715" i="1" s="1"/>
  <c r="J727" i="1"/>
  <c r="K727" i="1" s="1"/>
  <c r="R763" i="2"/>
  <c r="U763" i="2" s="1"/>
  <c r="S731" i="2"/>
  <c r="U731" i="2" s="1"/>
  <c r="J702" i="2"/>
  <c r="R645" i="2"/>
  <c r="U645" i="2" s="1"/>
  <c r="R416" i="2"/>
  <c r="U416" i="2" s="1"/>
  <c r="J374" i="2"/>
  <c r="N358" i="2"/>
  <c r="N356" i="2" s="1"/>
  <c r="O328" i="2"/>
  <c r="M159" i="2"/>
  <c r="P159" i="2" s="1"/>
  <c r="U144" i="2"/>
  <c r="Q142" i="2"/>
  <c r="T142" i="2" s="1"/>
  <c r="M119" i="2"/>
  <c r="M117" i="2" s="1"/>
  <c r="P117" i="2" s="1"/>
  <c r="T99" i="2"/>
  <c r="P80" i="2"/>
  <c r="O64" i="2"/>
  <c r="R730" i="3"/>
  <c r="U733" i="3"/>
  <c r="M728" i="3"/>
  <c r="P728" i="3" s="1"/>
  <c r="M714" i="3"/>
  <c r="P714" i="3" s="1"/>
  <c r="J702" i="3"/>
  <c r="J674" i="3"/>
  <c r="P584" i="3"/>
  <c r="M582" i="3"/>
  <c r="P582" i="3" s="1"/>
  <c r="O556" i="3"/>
  <c r="Q534" i="3"/>
  <c r="T534" i="3" s="1"/>
  <c r="O521" i="3"/>
  <c r="L519" i="3"/>
  <c r="O519" i="3" s="1"/>
  <c r="L515" i="3"/>
  <c r="I492" i="3"/>
  <c r="K492" i="3" s="1"/>
  <c r="K503" i="3"/>
  <c r="T393" i="3"/>
  <c r="P364" i="3"/>
  <c r="M362" i="3"/>
  <c r="P362" i="3" s="1"/>
  <c r="T267" i="3"/>
  <c r="S561" i="1"/>
  <c r="J632" i="1"/>
  <c r="J626" i="1" s="1"/>
  <c r="J615" i="1" s="1"/>
  <c r="S175" i="1"/>
  <c r="N65" i="1"/>
  <c r="P67" i="1"/>
  <c r="S74" i="1"/>
  <c r="R96" i="1"/>
  <c r="T143" i="1"/>
  <c r="S145" i="1"/>
  <c r="K150" i="1"/>
  <c r="N189" i="1"/>
  <c r="L189" i="1"/>
  <c r="K219" i="1"/>
  <c r="J185" i="1"/>
  <c r="K369" i="1"/>
  <c r="M414" i="1"/>
  <c r="P414" i="1" s="1"/>
  <c r="P418" i="1"/>
  <c r="S419" i="1"/>
  <c r="M494" i="1"/>
  <c r="P494" i="1" s="1"/>
  <c r="M499" i="1"/>
  <c r="P499" i="1" s="1"/>
  <c r="Q516" i="1"/>
  <c r="T516" i="1" s="1"/>
  <c r="R582" i="1"/>
  <c r="U582" i="1" s="1"/>
  <c r="S577" i="1"/>
  <c r="N619" i="1"/>
  <c r="N617" i="1"/>
  <c r="J654" i="1"/>
  <c r="R715" i="1"/>
  <c r="U715" i="1" s="1"/>
  <c r="K774" i="1"/>
  <c r="K709" i="2"/>
  <c r="J701" i="2"/>
  <c r="L605" i="2"/>
  <c r="O605" i="2" s="1"/>
  <c r="T498" i="2"/>
  <c r="Q416" i="2"/>
  <c r="T416" i="2" s="1"/>
  <c r="K369" i="2"/>
  <c r="L236" i="2"/>
  <c r="T162" i="2"/>
  <c r="L119" i="2"/>
  <c r="O119" i="2" s="1"/>
  <c r="S555" i="3"/>
  <c r="O414" i="3"/>
  <c r="L322" i="3"/>
  <c r="O325" i="3"/>
  <c r="L323" i="3"/>
  <c r="O323" i="3" s="1"/>
  <c r="K631" i="3"/>
  <c r="T617" i="3"/>
  <c r="O581" i="3"/>
  <c r="P556" i="3"/>
  <c r="O539" i="3"/>
  <c r="N515" i="3"/>
  <c r="N513" i="3" s="1"/>
  <c r="N516" i="3"/>
  <c r="T498" i="3"/>
  <c r="O498" i="3"/>
  <c r="L496" i="3"/>
  <c r="K457" i="3"/>
  <c r="T418" i="3"/>
  <c r="T380" i="3"/>
  <c r="Q378" i="3"/>
  <c r="O364" i="3"/>
  <c r="L362" i="3"/>
  <c r="O362" i="3" s="1"/>
  <c r="L358" i="3"/>
  <c r="O338" i="3"/>
  <c r="L336" i="3"/>
  <c r="O336" i="3" s="1"/>
  <c r="U308" i="3"/>
  <c r="R305" i="3"/>
  <c r="U305" i="3" s="1"/>
  <c r="R306" i="3"/>
  <c r="M268" i="3"/>
  <c r="O194" i="3"/>
  <c r="L192" i="3"/>
  <c r="O192" i="3" s="1"/>
  <c r="O191" i="3"/>
  <c r="L189" i="3"/>
  <c r="K707" i="3"/>
  <c r="K630" i="3"/>
  <c r="K626" i="3"/>
  <c r="M515" i="3"/>
  <c r="M516" i="3"/>
  <c r="P516" i="3" s="1"/>
  <c r="S496" i="3"/>
  <c r="T496" i="3" s="1"/>
  <c r="U418" i="3"/>
  <c r="S416" i="3"/>
  <c r="Q375" i="3"/>
  <c r="K365" i="3"/>
  <c r="U335" i="3"/>
  <c r="R333" i="3"/>
  <c r="U333" i="3" s="1"/>
  <c r="P323" i="3"/>
  <c r="P321" i="3"/>
  <c r="Q282" i="3"/>
  <c r="T282" i="3" s="1"/>
  <c r="T283" i="3"/>
  <c r="L516" i="3"/>
  <c r="O516" i="3" s="1"/>
  <c r="U498" i="3"/>
  <c r="R496" i="3"/>
  <c r="R495" i="3"/>
  <c r="U495" i="3" s="1"/>
  <c r="Q395" i="3"/>
  <c r="T395" i="3" s="1"/>
  <c r="Q394" i="3"/>
  <c r="T394" i="3" s="1"/>
  <c r="T397" i="3"/>
  <c r="J332" i="3"/>
  <c r="K332" i="3" s="1"/>
  <c r="J343" i="3"/>
  <c r="O304" i="3"/>
  <c r="Q495" i="3"/>
  <c r="T495" i="3" s="1"/>
  <c r="L392" i="3"/>
  <c r="O392" i="3" s="1"/>
  <c r="O393" i="3"/>
  <c r="O380" i="3"/>
  <c r="L378" i="3"/>
  <c r="U304" i="3"/>
  <c r="T494" i="3"/>
  <c r="I456" i="3"/>
  <c r="K456" i="3" s="1"/>
  <c r="P414" i="3"/>
  <c r="P380" i="3"/>
  <c r="L284" i="3"/>
  <c r="O284" i="3" s="1"/>
  <c r="L269" i="3"/>
  <c r="L268" i="3"/>
  <c r="L233" i="3"/>
  <c r="I242" i="3"/>
  <c r="L203" i="3"/>
  <c r="O203" i="3" s="1"/>
  <c r="S189" i="3"/>
  <c r="T189" i="3" s="1"/>
  <c r="T144" i="3"/>
  <c r="U144" i="3"/>
  <c r="S141" i="3"/>
  <c r="S139" i="3" s="1"/>
  <c r="S142" i="3"/>
  <c r="U142" i="3" s="1"/>
  <c r="Q415" i="3"/>
  <c r="T415" i="3" s="1"/>
  <c r="K371" i="3"/>
  <c r="M358" i="3"/>
  <c r="Q333" i="3"/>
  <c r="T333" i="3" s="1"/>
  <c r="T322" i="3"/>
  <c r="N322" i="3"/>
  <c r="L305" i="3"/>
  <c r="O305" i="3" s="1"/>
  <c r="U283" i="3"/>
  <c r="U271" i="3"/>
  <c r="S269" i="3"/>
  <c r="U269" i="3" s="1"/>
  <c r="K249" i="3"/>
  <c r="U194" i="3"/>
  <c r="R192" i="3"/>
  <c r="U192" i="3" s="1"/>
  <c r="U191" i="3"/>
  <c r="R189" i="3"/>
  <c r="R188" i="3"/>
  <c r="U178" i="3"/>
  <c r="N175" i="3"/>
  <c r="N173" i="3" s="1"/>
  <c r="N176" i="3"/>
  <c r="P174" i="3"/>
  <c r="O160" i="3"/>
  <c r="S19" i="3"/>
  <c r="T271" i="3"/>
  <c r="Q269" i="3"/>
  <c r="I265" i="3"/>
  <c r="K265" i="3" s="1"/>
  <c r="Q188" i="3"/>
  <c r="M176" i="3"/>
  <c r="P176" i="3" s="1"/>
  <c r="M175" i="3"/>
  <c r="P175" i="3" s="1"/>
  <c r="P178" i="3"/>
  <c r="Q26" i="3"/>
  <c r="N335" i="3"/>
  <c r="U321" i="3"/>
  <c r="T308" i="3"/>
  <c r="Q305" i="3"/>
  <c r="T305" i="3" s="1"/>
  <c r="T304" i="3"/>
  <c r="Q268" i="3"/>
  <c r="T268" i="3" s="1"/>
  <c r="N189" i="3"/>
  <c r="T187" i="3"/>
  <c r="S175" i="3"/>
  <c r="S173" i="3" s="1"/>
  <c r="M163" i="3"/>
  <c r="P163" i="3" s="1"/>
  <c r="M159" i="3"/>
  <c r="O99" i="3"/>
  <c r="L97" i="3"/>
  <c r="O97" i="3" s="1"/>
  <c r="L96" i="3"/>
  <c r="O96" i="3" s="1"/>
  <c r="M192" i="3"/>
  <c r="P192" i="3" s="1"/>
  <c r="M189" i="3"/>
  <c r="M188" i="3"/>
  <c r="R175" i="3"/>
  <c r="U175" i="3" s="1"/>
  <c r="U174" i="3"/>
  <c r="I169" i="3"/>
  <c r="K169" i="3" s="1"/>
  <c r="K167" i="3"/>
  <c r="I156" i="3"/>
  <c r="K156" i="3" s="1"/>
  <c r="I168" i="3"/>
  <c r="K168" i="3" s="1"/>
  <c r="L163" i="3"/>
  <c r="O163" i="3" s="1"/>
  <c r="O165" i="3"/>
  <c r="U19" i="3"/>
  <c r="R159" i="3"/>
  <c r="U159" i="3" s="1"/>
  <c r="T147" i="3"/>
  <c r="L123" i="3"/>
  <c r="O123" i="3" s="1"/>
  <c r="U99" i="3"/>
  <c r="R97" i="3"/>
  <c r="P47" i="3"/>
  <c r="U122" i="3"/>
  <c r="N120" i="3"/>
  <c r="N97" i="3"/>
  <c r="I82" i="3"/>
  <c r="N26" i="3"/>
  <c r="N24" i="3" s="1"/>
  <c r="Q141" i="3"/>
  <c r="Q139" i="3" s="1"/>
  <c r="O95" i="3"/>
  <c r="P52" i="3"/>
  <c r="M26" i="3"/>
  <c r="M50" i="3"/>
  <c r="P50" i="3" s="1"/>
  <c r="L100" i="3"/>
  <c r="O100" i="3" s="1"/>
  <c r="R94" i="3"/>
  <c r="U95" i="3"/>
  <c r="I83" i="3"/>
  <c r="L26" i="3"/>
  <c r="P22" i="3"/>
  <c r="M19" i="3"/>
  <c r="I116" i="3"/>
  <c r="K116" i="3" s="1"/>
  <c r="K127" i="3"/>
  <c r="U96" i="3"/>
  <c r="R26" i="3"/>
  <c r="P75" i="3"/>
  <c r="P67" i="3"/>
  <c r="M65" i="3"/>
  <c r="P65" i="3" s="1"/>
  <c r="P25" i="3"/>
  <c r="N142" i="3"/>
  <c r="S120" i="3"/>
  <c r="M120" i="3"/>
  <c r="P120" i="3" s="1"/>
  <c r="U80" i="3"/>
  <c r="O80" i="3"/>
  <c r="Q78" i="3"/>
  <c r="T78" i="3" s="1"/>
  <c r="U77" i="3"/>
  <c r="O77" i="3"/>
  <c r="Q75" i="3"/>
  <c r="O64" i="3"/>
  <c r="N50" i="3"/>
  <c r="O49" i="3"/>
  <c r="N23" i="3"/>
  <c r="N74" i="3"/>
  <c r="N72" i="3" s="1"/>
  <c r="N61" i="3"/>
  <c r="N59" i="3" s="1"/>
  <c r="N46" i="3"/>
  <c r="S26" i="3"/>
  <c r="S24" i="3" s="1"/>
  <c r="S23" i="3"/>
  <c r="M23" i="3"/>
  <c r="M21" i="3" s="1"/>
  <c r="Q19" i="3"/>
  <c r="Q96" i="3"/>
  <c r="K85" i="3"/>
  <c r="S74" i="3"/>
  <c r="S72" i="3" s="1"/>
  <c r="M74" i="3"/>
  <c r="M61" i="3"/>
  <c r="M46" i="3"/>
  <c r="R23" i="3"/>
  <c r="L23" i="3"/>
  <c r="Q23" i="3"/>
  <c r="U377" i="1"/>
  <c r="L214" i="1"/>
  <c r="O214" i="1" s="1"/>
  <c r="L222" i="1"/>
  <c r="K265" i="1"/>
  <c r="R762" i="1"/>
  <c r="U765" i="1"/>
  <c r="R414" i="1"/>
  <c r="U414" i="1" s="1"/>
  <c r="L515" i="1"/>
  <c r="Q540" i="1"/>
  <c r="T540" i="1" s="1"/>
  <c r="Q578" i="1"/>
  <c r="T578" i="1" s="1"/>
  <c r="L720" i="1"/>
  <c r="O720" i="1" s="1"/>
  <c r="O721" i="1"/>
  <c r="L74" i="1"/>
  <c r="J82" i="1"/>
  <c r="J70" i="1" s="1"/>
  <c r="L96" i="1"/>
  <c r="O96" i="1" s="1"/>
  <c r="K108" i="1"/>
  <c r="R25" i="1"/>
  <c r="U25" i="1" s="1"/>
  <c r="Q145" i="1"/>
  <c r="T145" i="1" s="1"/>
  <c r="K138" i="1"/>
  <c r="R176" i="1"/>
  <c r="U176" i="1" s="1"/>
  <c r="P178" i="1"/>
  <c r="K172" i="1"/>
  <c r="L305" i="1"/>
  <c r="R322" i="1"/>
  <c r="U322" i="1" s="1"/>
  <c r="N336" i="1"/>
  <c r="O336" i="1" s="1"/>
  <c r="U380" i="1"/>
  <c r="S414" i="1"/>
  <c r="P497" i="1"/>
  <c r="N495" i="1"/>
  <c r="N515" i="1"/>
  <c r="Q536" i="1"/>
  <c r="T536" i="1" s="1"/>
  <c r="R557" i="1"/>
  <c r="U557" i="1" s="1"/>
  <c r="M601" i="2"/>
  <c r="P601" i="2" s="1"/>
  <c r="P604" i="2"/>
  <c r="M602" i="2"/>
  <c r="P602" i="2" s="1"/>
  <c r="M416" i="2"/>
  <c r="P416" i="2" s="1"/>
  <c r="P418" i="2"/>
  <c r="O383" i="2"/>
  <c r="L381" i="2"/>
  <c r="O381" i="2" s="1"/>
  <c r="L285" i="2"/>
  <c r="O285" i="2" s="1"/>
  <c r="O287" i="2"/>
  <c r="L222" i="2"/>
  <c r="O222" i="2" s="1"/>
  <c r="L189" i="2"/>
  <c r="L100" i="2"/>
  <c r="O100" i="2" s="1"/>
  <c r="O102" i="2"/>
  <c r="L334" i="1"/>
  <c r="O334" i="1" s="1"/>
  <c r="O181" i="2"/>
  <c r="L179" i="2"/>
  <c r="O179" i="2" s="1"/>
  <c r="O178" i="1"/>
  <c r="Q601" i="1"/>
  <c r="T601" i="1" s="1"/>
  <c r="U162" i="2"/>
  <c r="R160" i="2"/>
  <c r="U160" i="2" s="1"/>
  <c r="I82" i="1"/>
  <c r="I70" i="1" s="1"/>
  <c r="S96" i="1"/>
  <c r="T96" i="1" s="1"/>
  <c r="Q140" i="1"/>
  <c r="T140" i="1" s="1"/>
  <c r="L145" i="1"/>
  <c r="O145" i="1" s="1"/>
  <c r="I168" i="1"/>
  <c r="K168" i="1" s="1"/>
  <c r="L174" i="1"/>
  <c r="M179" i="1"/>
  <c r="P179" i="1" s="1"/>
  <c r="S192" i="1"/>
  <c r="Q267" i="1"/>
  <c r="T267" i="1" s="1"/>
  <c r="U271" i="1"/>
  <c r="U324" i="1"/>
  <c r="P328" i="1"/>
  <c r="O337" i="1"/>
  <c r="U337" i="1"/>
  <c r="S336" i="1"/>
  <c r="P341" i="1"/>
  <c r="J351" i="1"/>
  <c r="O361" i="1"/>
  <c r="T361" i="1"/>
  <c r="M377" i="1"/>
  <c r="M375" i="1" s="1"/>
  <c r="Q381" i="1"/>
  <c r="T381" i="1" s="1"/>
  <c r="S381" i="1"/>
  <c r="N395" i="1"/>
  <c r="S393" i="1"/>
  <c r="L415" i="1"/>
  <c r="O415" i="1" s="1"/>
  <c r="Q415" i="1"/>
  <c r="Q495" i="1"/>
  <c r="T498" i="1"/>
  <c r="S514" i="1"/>
  <c r="Q537" i="1"/>
  <c r="T537" i="1" s="1"/>
  <c r="N536" i="1"/>
  <c r="L540" i="1"/>
  <c r="O540" i="1" s="1"/>
  <c r="M561" i="1"/>
  <c r="P561" i="1" s="1"/>
  <c r="N578" i="1"/>
  <c r="R605" i="1"/>
  <c r="U605" i="1" s="1"/>
  <c r="S619" i="1"/>
  <c r="U621" i="1"/>
  <c r="T647" i="1"/>
  <c r="L763" i="1"/>
  <c r="O763" i="1" s="1"/>
  <c r="O764" i="1"/>
  <c r="L761" i="1"/>
  <c r="O761" i="1" s="1"/>
  <c r="Q555" i="2"/>
  <c r="T555" i="2" s="1"/>
  <c r="Q303" i="2"/>
  <c r="T303" i="2" s="1"/>
  <c r="T304" i="2"/>
  <c r="O178" i="2"/>
  <c r="L176" i="2"/>
  <c r="O176" i="2" s="1"/>
  <c r="N142" i="2"/>
  <c r="N141" i="2"/>
  <c r="N139" i="2" s="1"/>
  <c r="I92" i="2"/>
  <c r="K92" i="2" s="1"/>
  <c r="K108" i="2"/>
  <c r="N46" i="2"/>
  <c r="N44" i="2" s="1"/>
  <c r="N47" i="2"/>
  <c r="P47" i="2" s="1"/>
  <c r="M73" i="1"/>
  <c r="P73" i="1" s="1"/>
  <c r="K198" i="1"/>
  <c r="Q619" i="2"/>
  <c r="Q618" i="2"/>
  <c r="T618" i="2" s="1"/>
  <c r="T621" i="2"/>
  <c r="J503" i="2"/>
  <c r="J492" i="2" s="1"/>
  <c r="I492" i="2"/>
  <c r="M419" i="2"/>
  <c r="P419" i="2" s="1"/>
  <c r="P421" i="2"/>
  <c r="M23" i="1"/>
  <c r="R74" i="1"/>
  <c r="P79" i="1"/>
  <c r="M46" i="1"/>
  <c r="M44" i="1" s="1"/>
  <c r="U63" i="1"/>
  <c r="S61" i="1"/>
  <c r="Q25" i="1"/>
  <c r="T25" i="1" s="1"/>
  <c r="L73" i="1"/>
  <c r="L75" i="1"/>
  <c r="T99" i="1"/>
  <c r="L119" i="1"/>
  <c r="P144" i="1"/>
  <c r="M174" i="1"/>
  <c r="P174" i="1" s="1"/>
  <c r="L175" i="1"/>
  <c r="M189" i="1"/>
  <c r="Q188" i="1"/>
  <c r="L268" i="1"/>
  <c r="N267" i="1"/>
  <c r="N268" i="1"/>
  <c r="Q284" i="1"/>
  <c r="N288" i="1"/>
  <c r="K296" i="1"/>
  <c r="N322" i="1"/>
  <c r="P322" i="1" s="1"/>
  <c r="L322" i="1"/>
  <c r="L326" i="1"/>
  <c r="S335" i="1"/>
  <c r="N377" i="1"/>
  <c r="O377" i="1" s="1"/>
  <c r="R415" i="1"/>
  <c r="J432" i="1"/>
  <c r="K432" i="1" s="1"/>
  <c r="J446" i="1"/>
  <c r="J440" i="1" s="1"/>
  <c r="K492" i="1"/>
  <c r="T521" i="1"/>
  <c r="M577" i="1"/>
  <c r="P577" i="1" s="1"/>
  <c r="L578" i="1"/>
  <c r="R617" i="1"/>
  <c r="U617" i="1" s="1"/>
  <c r="O715" i="2"/>
  <c r="L714" i="2"/>
  <c r="O714" i="2" s="1"/>
  <c r="N120" i="2"/>
  <c r="N119" i="2"/>
  <c r="N117" i="2" s="1"/>
  <c r="M232" i="1"/>
  <c r="L414" i="1"/>
  <c r="O414" i="1" s="1"/>
  <c r="L499" i="2"/>
  <c r="O499" i="2" s="1"/>
  <c r="O501" i="2"/>
  <c r="S269" i="1"/>
  <c r="R378" i="1"/>
  <c r="N62" i="1"/>
  <c r="O64" i="1"/>
  <c r="N73" i="1"/>
  <c r="S75" i="1"/>
  <c r="T77" i="1"/>
  <c r="K85" i="1"/>
  <c r="M96" i="1"/>
  <c r="U99" i="1"/>
  <c r="K109" i="1"/>
  <c r="Q118" i="1"/>
  <c r="T118" i="1" s="1"/>
  <c r="N119" i="1"/>
  <c r="N117" i="1" s="1"/>
  <c r="P125" i="1"/>
  <c r="R141" i="1"/>
  <c r="Q141" i="1"/>
  <c r="M158" i="1"/>
  <c r="P158" i="1" s="1"/>
  <c r="S158" i="1"/>
  <c r="R174" i="1"/>
  <c r="U174" i="1" s="1"/>
  <c r="Q175" i="1"/>
  <c r="T175" i="1" s="1"/>
  <c r="L187" i="1"/>
  <c r="O187" i="1" s="1"/>
  <c r="S189" i="1"/>
  <c r="R189" i="1"/>
  <c r="J195" i="1"/>
  <c r="K195" i="1" s="1"/>
  <c r="R288" i="1"/>
  <c r="U288" i="1" s="1"/>
  <c r="R326" i="1"/>
  <c r="U326" i="1" s="1"/>
  <c r="M336" i="1"/>
  <c r="Q419" i="1"/>
  <c r="T419" i="1" s="1"/>
  <c r="N499" i="1"/>
  <c r="R537" i="1"/>
  <c r="U537" i="1" s="1"/>
  <c r="N558" i="1"/>
  <c r="M600" i="1"/>
  <c r="P600" i="1" s="1"/>
  <c r="N600" i="1"/>
  <c r="L622" i="1"/>
  <c r="O622" i="1" s="1"/>
  <c r="R622" i="1"/>
  <c r="U622" i="1" s="1"/>
  <c r="U623" i="1"/>
  <c r="N305" i="2"/>
  <c r="N303" i="2" s="1"/>
  <c r="N306" i="2"/>
  <c r="I265" i="2"/>
  <c r="K265" i="2" s="1"/>
  <c r="K276" i="2"/>
  <c r="O269" i="2"/>
  <c r="K631" i="1"/>
  <c r="J675" i="1"/>
  <c r="J682" i="1"/>
  <c r="L692" i="1"/>
  <c r="O692" i="1" s="1"/>
  <c r="L696" i="1"/>
  <c r="O696" i="1" s="1"/>
  <c r="U764" i="1"/>
  <c r="S762" i="2"/>
  <c r="S760" i="2" s="1"/>
  <c r="I759" i="2"/>
  <c r="K759" i="2" s="1"/>
  <c r="T733" i="2"/>
  <c r="S692" i="2"/>
  <c r="S690" i="2" s="1"/>
  <c r="S601" i="2"/>
  <c r="S599" i="2" s="1"/>
  <c r="L601" i="2"/>
  <c r="O601" i="2" s="1"/>
  <c r="K575" i="2"/>
  <c r="N515" i="2"/>
  <c r="N513" i="2" s="1"/>
  <c r="N516" i="2"/>
  <c r="L415" i="2"/>
  <c r="Q395" i="2"/>
  <c r="T395" i="2" s="1"/>
  <c r="M392" i="2"/>
  <c r="P392" i="2" s="1"/>
  <c r="O336" i="2"/>
  <c r="Q333" i="2"/>
  <c r="T333" i="2" s="1"/>
  <c r="M305" i="2"/>
  <c r="P305" i="2" s="1"/>
  <c r="S306" i="2"/>
  <c r="U271" i="2"/>
  <c r="S269" i="2"/>
  <c r="L234" i="2"/>
  <c r="T203" i="2"/>
  <c r="U194" i="2"/>
  <c r="S142" i="2"/>
  <c r="L123" i="2"/>
  <c r="O123" i="2" s="1"/>
  <c r="I116" i="2"/>
  <c r="K116" i="2" s="1"/>
  <c r="L96" i="2"/>
  <c r="O96" i="2" s="1"/>
  <c r="N74" i="2"/>
  <c r="N72" i="2" s="1"/>
  <c r="O62" i="2"/>
  <c r="R44" i="2"/>
  <c r="U44" i="2" s="1"/>
  <c r="Q19" i="2"/>
  <c r="T19" i="2" s="1"/>
  <c r="S643" i="1"/>
  <c r="J702" i="1"/>
  <c r="K709" i="1"/>
  <c r="S715" i="1"/>
  <c r="I701" i="2"/>
  <c r="J674" i="2"/>
  <c r="U647" i="2"/>
  <c r="S619" i="2"/>
  <c r="U619" i="2" s="1"/>
  <c r="R601" i="2"/>
  <c r="U601" i="2" s="1"/>
  <c r="O584" i="2"/>
  <c r="O560" i="2"/>
  <c r="T556" i="2"/>
  <c r="M515" i="2"/>
  <c r="M513" i="2" s="1"/>
  <c r="M516" i="2"/>
  <c r="P516" i="2" s="1"/>
  <c r="R513" i="2"/>
  <c r="U513" i="2" s="1"/>
  <c r="J343" i="2"/>
  <c r="I319" i="2"/>
  <c r="K319" i="2" s="1"/>
  <c r="L305" i="2"/>
  <c r="R306" i="2"/>
  <c r="U306" i="2" s="1"/>
  <c r="P287" i="2"/>
  <c r="T271" i="2"/>
  <c r="L268" i="2"/>
  <c r="L266" i="2" s="1"/>
  <c r="R269" i="2"/>
  <c r="R188" i="2"/>
  <c r="R186" i="2" s="1"/>
  <c r="R75" i="2"/>
  <c r="U75" i="2" s="1"/>
  <c r="N61" i="2"/>
  <c r="N59" i="2" s="1"/>
  <c r="Q44" i="2"/>
  <c r="T44" i="2" s="1"/>
  <c r="N19" i="2"/>
  <c r="L617" i="1"/>
  <c r="O617" i="1" s="1"/>
  <c r="K627" i="1"/>
  <c r="J674" i="1"/>
  <c r="N696" i="1"/>
  <c r="K772" i="2"/>
  <c r="P729" i="2"/>
  <c r="M616" i="2"/>
  <c r="P616" i="2" s="1"/>
  <c r="L602" i="2"/>
  <c r="O602" i="2" s="1"/>
  <c r="N557" i="2"/>
  <c r="N555" i="2" s="1"/>
  <c r="N536" i="2"/>
  <c r="N534" i="2" s="1"/>
  <c r="N537" i="2"/>
  <c r="L416" i="2"/>
  <c r="O416" i="2" s="1"/>
  <c r="Q306" i="2"/>
  <c r="T306" i="2" s="1"/>
  <c r="Q269" i="2"/>
  <c r="L254" i="2"/>
  <c r="O254" i="2" s="1"/>
  <c r="L163" i="2"/>
  <c r="O163" i="2" s="1"/>
  <c r="L120" i="2"/>
  <c r="O120" i="2" s="1"/>
  <c r="P62" i="2"/>
  <c r="Q644" i="1"/>
  <c r="Q729" i="1"/>
  <c r="T729" i="1" s="1"/>
  <c r="N730" i="1"/>
  <c r="K749" i="1"/>
  <c r="N714" i="2"/>
  <c r="R605" i="2"/>
  <c r="U605" i="2" s="1"/>
  <c r="P514" i="2"/>
  <c r="R496" i="2"/>
  <c r="O421" i="2"/>
  <c r="O418" i="2"/>
  <c r="M358" i="2"/>
  <c r="M356" i="2" s="1"/>
  <c r="P308" i="2"/>
  <c r="R303" i="2"/>
  <c r="U303" i="2" s="1"/>
  <c r="N284" i="2"/>
  <c r="N282" i="2" s="1"/>
  <c r="I280" i="2"/>
  <c r="K280" i="2" s="1"/>
  <c r="U268" i="2"/>
  <c r="K209" i="2"/>
  <c r="I156" i="2"/>
  <c r="K156" i="2" s="1"/>
  <c r="Q141" i="2"/>
  <c r="Q139" i="2" s="1"/>
  <c r="T139" i="2" s="1"/>
  <c r="M142" i="2"/>
  <c r="P142" i="2" s="1"/>
  <c r="O99" i="2"/>
  <c r="S96" i="2"/>
  <c r="S94" i="2" s="1"/>
  <c r="R26" i="2"/>
  <c r="U26" i="2" s="1"/>
  <c r="Q74" i="2"/>
  <c r="T74" i="2" s="1"/>
  <c r="N75" i="2"/>
  <c r="P49" i="2"/>
  <c r="L19" i="2"/>
  <c r="K628" i="1"/>
  <c r="L716" i="1"/>
  <c r="O716" i="1" s="1"/>
  <c r="O718" i="1"/>
  <c r="N734" i="1"/>
  <c r="N766" i="1"/>
  <c r="K778" i="1"/>
  <c r="K781" i="1"/>
  <c r="K784" i="1"/>
  <c r="J675" i="2"/>
  <c r="N579" i="2"/>
  <c r="L495" i="2"/>
  <c r="L496" i="2"/>
  <c r="U418" i="2"/>
  <c r="N415" i="2"/>
  <c r="N413" i="2" s="1"/>
  <c r="M362" i="2"/>
  <c r="P362" i="2" s="1"/>
  <c r="N322" i="2"/>
  <c r="N320" i="2" s="1"/>
  <c r="U308" i="2"/>
  <c r="O308" i="2"/>
  <c r="M272" i="2"/>
  <c r="P272" i="2" s="1"/>
  <c r="R189" i="2"/>
  <c r="M145" i="2"/>
  <c r="P145" i="2" s="1"/>
  <c r="O144" i="2"/>
  <c r="T125" i="2"/>
  <c r="R123" i="2"/>
  <c r="U123" i="2" s="1"/>
  <c r="O122" i="2"/>
  <c r="N96" i="2"/>
  <c r="N94" i="2" s="1"/>
  <c r="P77" i="2"/>
  <c r="L75" i="2"/>
  <c r="O75" i="2" s="1"/>
  <c r="O49" i="2"/>
  <c r="L47" i="2"/>
  <c r="K302" i="1"/>
  <c r="T95" i="1"/>
  <c r="Q94" i="1"/>
  <c r="R516" i="1"/>
  <c r="U516" i="1" s="1"/>
  <c r="U517" i="1"/>
  <c r="M643" i="1"/>
  <c r="P643" i="1" s="1"/>
  <c r="P646" i="1"/>
  <c r="P735" i="1"/>
  <c r="M734" i="1"/>
  <c r="P734" i="1" s="1"/>
  <c r="P498" i="2"/>
  <c r="M496" i="2"/>
  <c r="M495" i="2"/>
  <c r="K440" i="2"/>
  <c r="I423" i="2"/>
  <c r="M75" i="1"/>
  <c r="P99" i="1"/>
  <c r="R118" i="1"/>
  <c r="U118" i="1" s="1"/>
  <c r="R145" i="1"/>
  <c r="U145" i="1" s="1"/>
  <c r="K276" i="1"/>
  <c r="L283" i="1"/>
  <c r="O283" i="1" s="1"/>
  <c r="N284" i="1"/>
  <c r="P284" i="1" s="1"/>
  <c r="L323" i="1"/>
  <c r="N376" i="1"/>
  <c r="S395" i="1"/>
  <c r="M415" i="1"/>
  <c r="P415" i="1" s="1"/>
  <c r="P559" i="1"/>
  <c r="M556" i="1"/>
  <c r="L728" i="2"/>
  <c r="O728" i="2" s="1"/>
  <c r="O729" i="2"/>
  <c r="L616" i="2"/>
  <c r="O616" i="2" s="1"/>
  <c r="O617" i="2"/>
  <c r="Q46" i="1"/>
  <c r="T46" i="1" s="1"/>
  <c r="Q47" i="1"/>
  <c r="T47" i="1" s="1"/>
  <c r="R50" i="1"/>
  <c r="U50" i="1" s="1"/>
  <c r="R60" i="1"/>
  <c r="U60" i="1" s="1"/>
  <c r="M61" i="1"/>
  <c r="M65" i="1"/>
  <c r="U77" i="1"/>
  <c r="K87" i="1"/>
  <c r="J93" i="1"/>
  <c r="K93" i="1" s="1"/>
  <c r="Q100" i="1"/>
  <c r="T100" i="1" s="1"/>
  <c r="K113" i="1"/>
  <c r="L118" i="1"/>
  <c r="O118" i="1" s="1"/>
  <c r="T122" i="1"/>
  <c r="U124" i="1"/>
  <c r="S119" i="1"/>
  <c r="S117" i="1" s="1"/>
  <c r="I137" i="1"/>
  <c r="K137" i="1" s="1"/>
  <c r="N142" i="1"/>
  <c r="N163" i="1"/>
  <c r="L176" i="1"/>
  <c r="N176" i="1"/>
  <c r="M187" i="1"/>
  <c r="S187" i="1"/>
  <c r="P191" i="1"/>
  <c r="U191" i="1"/>
  <c r="Q272" i="1"/>
  <c r="T272" i="1" s="1"/>
  <c r="S272" i="1"/>
  <c r="M283" i="1"/>
  <c r="S283" i="1"/>
  <c r="K293" i="1"/>
  <c r="Q306" i="1"/>
  <c r="S306" i="1"/>
  <c r="M323" i="1"/>
  <c r="L339" i="1"/>
  <c r="O339" i="1" s="1"/>
  <c r="O341" i="1"/>
  <c r="R358" i="1"/>
  <c r="U358" i="1" s="1"/>
  <c r="P380" i="1"/>
  <c r="R381" i="1"/>
  <c r="U381" i="1" s="1"/>
  <c r="M393" i="1"/>
  <c r="P393" i="1" s="1"/>
  <c r="L416" i="1"/>
  <c r="O416" i="1" s="1"/>
  <c r="U417" i="1"/>
  <c r="R416" i="1"/>
  <c r="R419" i="1"/>
  <c r="U419" i="1" s="1"/>
  <c r="L519" i="1"/>
  <c r="O520" i="1"/>
  <c r="L557" i="1"/>
  <c r="O557" i="1" s="1"/>
  <c r="P580" i="1"/>
  <c r="O624" i="1"/>
  <c r="J636" i="1"/>
  <c r="J635" i="1" s="1"/>
  <c r="L644" i="1"/>
  <c r="O644" i="1" s="1"/>
  <c r="N648" i="1"/>
  <c r="R696" i="1"/>
  <c r="U696" i="1" s="1"/>
  <c r="U697" i="1"/>
  <c r="L730" i="1"/>
  <c r="O730" i="1" s="1"/>
  <c r="S731" i="1"/>
  <c r="S729" i="1"/>
  <c r="J758" i="1"/>
  <c r="K758" i="1" s="1"/>
  <c r="N761" i="1"/>
  <c r="Q763" i="2"/>
  <c r="T763" i="2" s="1"/>
  <c r="Q762" i="2"/>
  <c r="T765" i="2"/>
  <c r="P762" i="2"/>
  <c r="M760" i="2"/>
  <c r="P760" i="2" s="1"/>
  <c r="U729" i="2"/>
  <c r="O643" i="2"/>
  <c r="L642" i="2"/>
  <c r="O642" i="2" s="1"/>
  <c r="P539" i="2"/>
  <c r="M537" i="2"/>
  <c r="P537" i="2" s="1"/>
  <c r="O393" i="2"/>
  <c r="L392" i="2"/>
  <c r="O392" i="2" s="1"/>
  <c r="O158" i="2"/>
  <c r="P52" i="2"/>
  <c r="M26" i="2"/>
  <c r="M24" i="2" s="1"/>
  <c r="M50" i="2"/>
  <c r="P50" i="2" s="1"/>
  <c r="M120" i="1"/>
  <c r="P120" i="1" s="1"/>
  <c r="N323" i="1"/>
  <c r="N321" i="1"/>
  <c r="S557" i="1"/>
  <c r="S558" i="1"/>
  <c r="Q50" i="1"/>
  <c r="T50" i="1" s="1"/>
  <c r="N22" i="1"/>
  <c r="R140" i="1"/>
  <c r="R283" i="1"/>
  <c r="U283" i="1" s="1"/>
  <c r="K524" i="1"/>
  <c r="Q605" i="1"/>
  <c r="T605" i="1" s="1"/>
  <c r="U695" i="1"/>
  <c r="S693" i="1"/>
  <c r="P501" i="2"/>
  <c r="M499" i="2"/>
  <c r="P499" i="2" s="1"/>
  <c r="L22" i="1"/>
  <c r="O22" i="1" s="1"/>
  <c r="S60" i="1"/>
  <c r="P76" i="1"/>
  <c r="K84" i="1"/>
  <c r="Q97" i="1"/>
  <c r="T97" i="1" s="1"/>
  <c r="S100" i="1"/>
  <c r="M118" i="1"/>
  <c r="P118" i="1" s="1"/>
  <c r="R119" i="1"/>
  <c r="L141" i="1"/>
  <c r="T144" i="1"/>
  <c r="L159" i="1"/>
  <c r="S159" i="1"/>
  <c r="Q174" i="1"/>
  <c r="T174" i="1" s="1"/>
  <c r="M175" i="1"/>
  <c r="M176" i="1"/>
  <c r="O177" i="1"/>
  <c r="P181" i="1"/>
  <c r="K183" i="1"/>
  <c r="N187" i="1"/>
  <c r="N186" i="1" s="1"/>
  <c r="R188" i="1"/>
  <c r="R192" i="1"/>
  <c r="U192" i="1" s="1"/>
  <c r="K280" i="1"/>
  <c r="M285" i="1"/>
  <c r="O286" i="1"/>
  <c r="O289" i="1"/>
  <c r="U289" i="1"/>
  <c r="N309" i="1"/>
  <c r="U311" i="1"/>
  <c r="R323" i="1"/>
  <c r="U323" i="1" s="1"/>
  <c r="U325" i="1"/>
  <c r="T327" i="1"/>
  <c r="P338" i="1"/>
  <c r="Q339" i="1"/>
  <c r="T339" i="1" s="1"/>
  <c r="N362" i="1"/>
  <c r="K371" i="1"/>
  <c r="Q376" i="1"/>
  <c r="O382" i="1"/>
  <c r="L381" i="1"/>
  <c r="O381" i="1" s="1"/>
  <c r="Q414" i="1"/>
  <c r="Q416" i="1"/>
  <c r="T420" i="1"/>
  <c r="J424" i="1"/>
  <c r="K424" i="1" s="1"/>
  <c r="J476" i="1"/>
  <c r="J475" i="1"/>
  <c r="N494" i="1"/>
  <c r="K512" i="1"/>
  <c r="N516" i="1"/>
  <c r="N514" i="1"/>
  <c r="R535" i="1"/>
  <c r="U535" i="1" s="1"/>
  <c r="T559" i="1"/>
  <c r="Q556" i="1"/>
  <c r="T556" i="1" s="1"/>
  <c r="T607" i="1"/>
  <c r="S696" i="1"/>
  <c r="S691" i="1"/>
  <c r="L731" i="1"/>
  <c r="O731" i="1" s="1"/>
  <c r="L729" i="1"/>
  <c r="O732" i="1"/>
  <c r="R730" i="1"/>
  <c r="K742" i="1"/>
  <c r="K746" i="1"/>
  <c r="P765" i="1"/>
  <c r="M762" i="1"/>
  <c r="P762" i="1" s="1"/>
  <c r="M766" i="1"/>
  <c r="P766" i="1" s="1"/>
  <c r="L760" i="2"/>
  <c r="O760" i="2" s="1"/>
  <c r="O761" i="2"/>
  <c r="K707" i="2"/>
  <c r="I689" i="2"/>
  <c r="K689" i="2" s="1"/>
  <c r="R693" i="2"/>
  <c r="U693" i="2" s="1"/>
  <c r="U695" i="2"/>
  <c r="R692" i="2"/>
  <c r="U643" i="2"/>
  <c r="R642" i="2"/>
  <c r="U642" i="2" s="1"/>
  <c r="O581" i="2"/>
  <c r="L579" i="2"/>
  <c r="L578" i="2"/>
  <c r="L179" i="1"/>
  <c r="O179" i="1" s="1"/>
  <c r="T325" i="1"/>
  <c r="Q322" i="1"/>
  <c r="T322" i="1" s="1"/>
  <c r="Q605" i="2"/>
  <c r="T605" i="2" s="1"/>
  <c r="Q601" i="2"/>
  <c r="T601" i="2" s="1"/>
  <c r="T607" i="2"/>
  <c r="R413" i="2"/>
  <c r="M74" i="1"/>
  <c r="N120" i="1"/>
  <c r="N269" i="1"/>
  <c r="Q321" i="1"/>
  <c r="T321" i="1" s="1"/>
  <c r="T538" i="1"/>
  <c r="Q535" i="1"/>
  <c r="Q561" i="1"/>
  <c r="T561" i="1" s="1"/>
  <c r="U49" i="1"/>
  <c r="S73" i="1"/>
  <c r="Q73" i="1"/>
  <c r="T73" i="1" s="1"/>
  <c r="S78" i="1"/>
  <c r="K90" i="1"/>
  <c r="T98" i="1"/>
  <c r="M119" i="1"/>
  <c r="S120" i="1"/>
  <c r="M159" i="1"/>
  <c r="T162" i="1"/>
  <c r="L188" i="1"/>
  <c r="O191" i="1"/>
  <c r="L192" i="1"/>
  <c r="O192" i="1" s="1"/>
  <c r="T274" i="1"/>
  <c r="M288" i="1"/>
  <c r="P288" i="1" s="1"/>
  <c r="T308" i="1"/>
  <c r="O325" i="1"/>
  <c r="N326" i="1"/>
  <c r="R339" i="1"/>
  <c r="U339" i="1" s="1"/>
  <c r="J332" i="1"/>
  <c r="K332" i="1" s="1"/>
  <c r="J343" i="1"/>
  <c r="R376" i="1"/>
  <c r="O379" i="1"/>
  <c r="L376" i="1"/>
  <c r="T379" i="1"/>
  <c r="S394" i="1"/>
  <c r="S398" i="1"/>
  <c r="J425" i="1"/>
  <c r="K425" i="1" s="1"/>
  <c r="J477" i="1"/>
  <c r="J484" i="1"/>
  <c r="N535" i="1"/>
  <c r="R558" i="1"/>
  <c r="U558" i="1" s="1"/>
  <c r="U559" i="1"/>
  <c r="M579" i="1"/>
  <c r="T603" i="1"/>
  <c r="Q600" i="1"/>
  <c r="M617" i="1"/>
  <c r="P617" i="1" s="1"/>
  <c r="R619" i="1"/>
  <c r="R618" i="1"/>
  <c r="O695" i="1"/>
  <c r="M729" i="1"/>
  <c r="P729" i="1" s="1"/>
  <c r="S762" i="1"/>
  <c r="S766" i="1"/>
  <c r="R714" i="2"/>
  <c r="U714" i="2" s="1"/>
  <c r="Q692" i="2"/>
  <c r="T695" i="2"/>
  <c r="Q693" i="2"/>
  <c r="T693" i="2" s="1"/>
  <c r="K626" i="2"/>
  <c r="K630" i="2"/>
  <c r="K631" i="2"/>
  <c r="K632" i="2"/>
  <c r="I615" i="2"/>
  <c r="K615" i="2" s="1"/>
  <c r="O518" i="2"/>
  <c r="L516" i="2"/>
  <c r="O516" i="2" s="1"/>
  <c r="L515" i="2"/>
  <c r="P267" i="2"/>
  <c r="R514" i="1"/>
  <c r="P539" i="1"/>
  <c r="M536" i="1"/>
  <c r="P536" i="1" s="1"/>
  <c r="O649" i="1"/>
  <c r="L648" i="1"/>
  <c r="O648" i="1" s="1"/>
  <c r="T761" i="2"/>
  <c r="S23" i="1"/>
  <c r="L393" i="1"/>
  <c r="O393" i="1" s="1"/>
  <c r="K630" i="1"/>
  <c r="I615" i="1"/>
  <c r="N760" i="2"/>
  <c r="R46" i="1"/>
  <c r="U46" i="1" s="1"/>
  <c r="M22" i="1"/>
  <c r="P22" i="1" s="1"/>
  <c r="M26" i="1"/>
  <c r="N26" i="1"/>
  <c r="Q22" i="1"/>
  <c r="T22" i="1" s="1"/>
  <c r="N46" i="1"/>
  <c r="L60" i="1"/>
  <c r="O60" i="1" s="1"/>
  <c r="I92" i="1"/>
  <c r="K92" i="1" s="1"/>
  <c r="M95" i="1"/>
  <c r="K114" i="1"/>
  <c r="R142" i="1"/>
  <c r="U142" i="1" s="1"/>
  <c r="N141" i="1"/>
  <c r="K151" i="1"/>
  <c r="N160" i="1"/>
  <c r="S163" i="1"/>
  <c r="S174" i="1"/>
  <c r="I185" i="1"/>
  <c r="K185" i="1" s="1"/>
  <c r="U194" i="1"/>
  <c r="N272" i="1"/>
  <c r="L284" i="1"/>
  <c r="Q304" i="1"/>
  <c r="N306" i="1"/>
  <c r="N305" i="1"/>
  <c r="N303" i="1" s="1"/>
  <c r="K314" i="1"/>
  <c r="M321" i="1"/>
  <c r="M326" i="1"/>
  <c r="O328" i="1"/>
  <c r="T338" i="1"/>
  <c r="Q335" i="1"/>
  <c r="T335" i="1" s="1"/>
  <c r="S358" i="1"/>
  <c r="S356" i="1" s="1"/>
  <c r="O380" i="1"/>
  <c r="T380" i="1"/>
  <c r="T397" i="1"/>
  <c r="Q394" i="1"/>
  <c r="T394" i="1" s="1"/>
  <c r="T418" i="1"/>
  <c r="N419" i="1"/>
  <c r="O498" i="1"/>
  <c r="U500" i="1"/>
  <c r="L514" i="1"/>
  <c r="O514" i="1" s="1"/>
  <c r="M519" i="1"/>
  <c r="T520" i="1"/>
  <c r="Q519" i="1"/>
  <c r="T519" i="1" s="1"/>
  <c r="M558" i="1"/>
  <c r="P558" i="1" s="1"/>
  <c r="S579" i="1"/>
  <c r="R693" i="1"/>
  <c r="U694" i="1"/>
  <c r="M717" i="1"/>
  <c r="P717" i="1" s="1"/>
  <c r="Q715" i="1"/>
  <c r="T715" i="1" s="1"/>
  <c r="N716" i="1"/>
  <c r="N729" i="1"/>
  <c r="Q761" i="1"/>
  <c r="T761" i="1" s="1"/>
  <c r="Q763" i="1"/>
  <c r="T763" i="1" s="1"/>
  <c r="L762" i="1"/>
  <c r="O762" i="1" s="1"/>
  <c r="O768" i="1"/>
  <c r="R760" i="2"/>
  <c r="U761" i="2"/>
  <c r="N728" i="2"/>
  <c r="U380" i="2"/>
  <c r="R377" i="2"/>
  <c r="R378" i="2"/>
  <c r="U378" i="2" s="1"/>
  <c r="P287" i="1"/>
  <c r="Q323" i="1"/>
  <c r="T323" i="1" s="1"/>
  <c r="M334" i="1"/>
  <c r="P334" i="1" s="1"/>
  <c r="S334" i="1"/>
  <c r="N359" i="1"/>
  <c r="S362" i="1"/>
  <c r="K368" i="1"/>
  <c r="S416" i="1"/>
  <c r="J460" i="1"/>
  <c r="J467" i="1"/>
  <c r="J485" i="1"/>
  <c r="Q499" i="1"/>
  <c r="T499" i="1" s="1"/>
  <c r="K503" i="1"/>
  <c r="L516" i="1"/>
  <c r="O516" i="1" s="1"/>
  <c r="N519" i="1"/>
  <c r="P521" i="1"/>
  <c r="M557" i="1"/>
  <c r="P557" i="1" s="1"/>
  <c r="R579" i="1"/>
  <c r="U579" i="1" s="1"/>
  <c r="Q579" i="1"/>
  <c r="T579" i="1" s="1"/>
  <c r="S601" i="1"/>
  <c r="N605" i="1"/>
  <c r="M618" i="1"/>
  <c r="P618" i="1" s="1"/>
  <c r="N645" i="1"/>
  <c r="J661" i="1"/>
  <c r="T695" i="1"/>
  <c r="R717" i="1"/>
  <c r="U717" i="1" s="1"/>
  <c r="R720" i="1"/>
  <c r="U720" i="1" s="1"/>
  <c r="N731" i="1"/>
  <c r="U733" i="1"/>
  <c r="S761" i="1"/>
  <c r="Q762" i="1"/>
  <c r="R763" i="1"/>
  <c r="U763" i="1" s="1"/>
  <c r="U765" i="2"/>
  <c r="P716" i="2"/>
  <c r="K703" i="2"/>
  <c r="M690" i="2"/>
  <c r="P690" i="2" s="1"/>
  <c r="U578" i="2"/>
  <c r="R576" i="2"/>
  <c r="U576" i="2" s="1"/>
  <c r="Q576" i="2"/>
  <c r="T576" i="2" s="1"/>
  <c r="T577" i="2"/>
  <c r="O539" i="2"/>
  <c r="L537" i="2"/>
  <c r="O537" i="2" s="1"/>
  <c r="S534" i="2"/>
  <c r="P521" i="2"/>
  <c r="N519" i="2"/>
  <c r="P519" i="2" s="1"/>
  <c r="T515" i="2"/>
  <c r="Q513" i="2"/>
  <c r="T513" i="2" s="1"/>
  <c r="U498" i="2"/>
  <c r="S496" i="2"/>
  <c r="O494" i="2"/>
  <c r="K457" i="2"/>
  <c r="I456" i="2"/>
  <c r="K456" i="2" s="1"/>
  <c r="P414" i="2"/>
  <c r="K386" i="2"/>
  <c r="I374" i="2"/>
  <c r="M381" i="2"/>
  <c r="P381" i="2" s="1"/>
  <c r="P383" i="2"/>
  <c r="N377" i="2"/>
  <c r="N268" i="2"/>
  <c r="O267" i="2"/>
  <c r="P73" i="2"/>
  <c r="O521" i="1"/>
  <c r="M537" i="1"/>
  <c r="P537" i="1" s="1"/>
  <c r="S537" i="1"/>
  <c r="L579" i="1"/>
  <c r="N582" i="1"/>
  <c r="K586" i="1"/>
  <c r="N644" i="1"/>
  <c r="N642" i="1" s="1"/>
  <c r="K653" i="1"/>
  <c r="L693" i="1"/>
  <c r="O693" i="1" s="1"/>
  <c r="K755" i="1"/>
  <c r="T617" i="2"/>
  <c r="T604" i="2"/>
  <c r="Q602" i="2"/>
  <c r="T602" i="2" s="1"/>
  <c r="U495" i="2"/>
  <c r="S394" i="2"/>
  <c r="S392" i="2" s="1"/>
  <c r="S395" i="2"/>
  <c r="U393" i="2"/>
  <c r="O341" i="2"/>
  <c r="L339" i="2"/>
  <c r="O339" i="2" s="1"/>
  <c r="I213" i="2"/>
  <c r="K213" i="2" s="1"/>
  <c r="K220" i="2"/>
  <c r="P19" i="2"/>
  <c r="R734" i="1"/>
  <c r="U734" i="1" s="1"/>
  <c r="L766" i="1"/>
  <c r="O766" i="1" s="1"/>
  <c r="Q714" i="2"/>
  <c r="T714" i="2" s="1"/>
  <c r="Q644" i="2"/>
  <c r="T647" i="2"/>
  <c r="P563" i="2"/>
  <c r="M561" i="2"/>
  <c r="P561" i="2" s="1"/>
  <c r="P556" i="2"/>
  <c r="U536" i="2"/>
  <c r="R534" i="2"/>
  <c r="U534" i="2" s="1"/>
  <c r="Q534" i="2"/>
  <c r="T534" i="2" s="1"/>
  <c r="T535" i="2"/>
  <c r="R493" i="2"/>
  <c r="U493" i="2" s="1"/>
  <c r="U494" i="2"/>
  <c r="U397" i="2"/>
  <c r="R394" i="2"/>
  <c r="U394" i="2" s="1"/>
  <c r="P325" i="2"/>
  <c r="M323" i="2"/>
  <c r="P323" i="2" s="1"/>
  <c r="M322" i="2"/>
  <c r="S303" i="2"/>
  <c r="L243" i="2"/>
  <c r="L233" i="2"/>
  <c r="U191" i="2"/>
  <c r="S188" i="2"/>
  <c r="S186" i="2" s="1"/>
  <c r="S189" i="2"/>
  <c r="T191" i="2"/>
  <c r="O118" i="2"/>
  <c r="U25" i="2"/>
  <c r="O19" i="2"/>
  <c r="U539" i="1"/>
  <c r="O581" i="1"/>
  <c r="P604" i="1"/>
  <c r="R643" i="1"/>
  <c r="U643" i="1" s="1"/>
  <c r="U647" i="1"/>
  <c r="M648" i="1"/>
  <c r="P648" i="1" s="1"/>
  <c r="L691" i="1"/>
  <c r="O691" i="1" s="1"/>
  <c r="L715" i="1"/>
  <c r="N717" i="1"/>
  <c r="N720" i="1"/>
  <c r="R731" i="1"/>
  <c r="L734" i="1"/>
  <c r="O734" i="1" s="1"/>
  <c r="U767" i="1"/>
  <c r="K779" i="1"/>
  <c r="K782" i="1"/>
  <c r="K785" i="1"/>
  <c r="Q730" i="2"/>
  <c r="T730" i="2" s="1"/>
  <c r="L690" i="2"/>
  <c r="O690" i="2" s="1"/>
  <c r="M642" i="2"/>
  <c r="P642" i="2" s="1"/>
  <c r="N616" i="2"/>
  <c r="P581" i="2"/>
  <c r="M579" i="2"/>
  <c r="O563" i="2"/>
  <c r="L561" i="2"/>
  <c r="O561" i="2" s="1"/>
  <c r="L557" i="2"/>
  <c r="O498" i="2"/>
  <c r="N496" i="2"/>
  <c r="T494" i="2"/>
  <c r="P359" i="2"/>
  <c r="R333" i="2"/>
  <c r="U333" i="2" s="1"/>
  <c r="U334" i="2"/>
  <c r="T268" i="2"/>
  <c r="Q266" i="2"/>
  <c r="U140" i="2"/>
  <c r="U621" i="2"/>
  <c r="R618" i="2"/>
  <c r="U618" i="2" s="1"/>
  <c r="U604" i="2"/>
  <c r="O604" i="2"/>
  <c r="P518" i="2"/>
  <c r="T418" i="2"/>
  <c r="P380" i="2"/>
  <c r="O338" i="2"/>
  <c r="P336" i="2"/>
  <c r="O325" i="2"/>
  <c r="O271" i="2"/>
  <c r="S266" i="2"/>
  <c r="I238" i="2"/>
  <c r="K238" i="2" s="1"/>
  <c r="I253" i="2"/>
  <c r="K260" i="2"/>
  <c r="N232" i="2"/>
  <c r="O174" i="2"/>
  <c r="P99" i="2"/>
  <c r="M97" i="2"/>
  <c r="P97" i="2" s="1"/>
  <c r="M96" i="2"/>
  <c r="Q26" i="2"/>
  <c r="O52" i="2"/>
  <c r="L26" i="2"/>
  <c r="L50" i="2"/>
  <c r="O50" i="2" s="1"/>
  <c r="N601" i="2"/>
  <c r="N599" i="2" s="1"/>
  <c r="M557" i="2"/>
  <c r="P557" i="2" s="1"/>
  <c r="Q495" i="2"/>
  <c r="T495" i="2" s="1"/>
  <c r="S415" i="2"/>
  <c r="T415" i="2" s="1"/>
  <c r="M415" i="2"/>
  <c r="M413" i="2" s="1"/>
  <c r="O361" i="2"/>
  <c r="L359" i="2"/>
  <c r="O359" i="2" s="1"/>
  <c r="R356" i="2"/>
  <c r="U356" i="2" s="1"/>
  <c r="O321" i="2"/>
  <c r="P290" i="2"/>
  <c r="M288" i="2"/>
  <c r="P288" i="2" s="1"/>
  <c r="M284" i="2"/>
  <c r="P284" i="2" s="1"/>
  <c r="R266" i="2"/>
  <c r="U267" i="2"/>
  <c r="S160" i="2"/>
  <c r="S159" i="2"/>
  <c r="S157" i="2" s="1"/>
  <c r="S120" i="2"/>
  <c r="U120" i="2" s="1"/>
  <c r="S119" i="2"/>
  <c r="S117" i="2" s="1"/>
  <c r="T122" i="2"/>
  <c r="U22" i="2"/>
  <c r="N378" i="2"/>
  <c r="P378" i="2" s="1"/>
  <c r="Q375" i="2"/>
  <c r="K371" i="2"/>
  <c r="I365" i="2"/>
  <c r="K365" i="2" s="1"/>
  <c r="Q356" i="2"/>
  <c r="T356" i="2" s="1"/>
  <c r="P338" i="2"/>
  <c r="P334" i="2"/>
  <c r="R320" i="2"/>
  <c r="U320" i="2" s="1"/>
  <c r="U321" i="2"/>
  <c r="P304" i="2"/>
  <c r="O290" i="2"/>
  <c r="L288" i="2"/>
  <c r="O288" i="2" s="1"/>
  <c r="L284" i="2"/>
  <c r="P283" i="2"/>
  <c r="P271" i="2"/>
  <c r="M188" i="2"/>
  <c r="M189" i="2"/>
  <c r="P191" i="2"/>
  <c r="S176" i="2"/>
  <c r="S175" i="2"/>
  <c r="S173" i="2" s="1"/>
  <c r="U122" i="2"/>
  <c r="P45" i="2"/>
  <c r="O380" i="2"/>
  <c r="L378" i="2"/>
  <c r="M377" i="2"/>
  <c r="L358" i="2"/>
  <c r="K346" i="2"/>
  <c r="L335" i="2"/>
  <c r="L333" i="2" s="1"/>
  <c r="N335" i="2"/>
  <c r="N333" i="2" s="1"/>
  <c r="O334" i="2"/>
  <c r="Q320" i="2"/>
  <c r="T320" i="2" s="1"/>
  <c r="T321" i="2"/>
  <c r="K292" i="2"/>
  <c r="I281" i="2"/>
  <c r="K281" i="2" s="1"/>
  <c r="P125" i="2"/>
  <c r="M123" i="2"/>
  <c r="P123" i="2" s="1"/>
  <c r="R19" i="2"/>
  <c r="P361" i="2"/>
  <c r="K344" i="2"/>
  <c r="M335" i="2"/>
  <c r="L322" i="2"/>
  <c r="M268" i="2"/>
  <c r="M266" i="2" s="1"/>
  <c r="U174" i="2"/>
  <c r="U158" i="2"/>
  <c r="O95" i="2"/>
  <c r="K229" i="2"/>
  <c r="Q188" i="2"/>
  <c r="Q186" i="2" s="1"/>
  <c r="P181" i="2"/>
  <c r="M179" i="2"/>
  <c r="P179" i="2" s="1"/>
  <c r="T174" i="2"/>
  <c r="P165" i="2"/>
  <c r="M163" i="2"/>
  <c r="P163" i="2" s="1"/>
  <c r="T158" i="2"/>
  <c r="P140" i="2"/>
  <c r="U118" i="2"/>
  <c r="I82" i="2"/>
  <c r="N26" i="2"/>
  <c r="N24" i="2" s="1"/>
  <c r="P25" i="2"/>
  <c r="P178" i="2"/>
  <c r="M176" i="2"/>
  <c r="P176" i="2" s="1"/>
  <c r="P162" i="2"/>
  <c r="M160" i="2"/>
  <c r="P160" i="2" s="1"/>
  <c r="O140" i="2"/>
  <c r="T118" i="2"/>
  <c r="P102" i="2"/>
  <c r="M100" i="2"/>
  <c r="P100" i="2" s="1"/>
  <c r="U95" i="2"/>
  <c r="I83" i="2"/>
  <c r="P67" i="2"/>
  <c r="M65" i="2"/>
  <c r="P65" i="2" s="1"/>
  <c r="P60" i="2"/>
  <c r="O25" i="2"/>
  <c r="N23" i="2"/>
  <c r="P22" i="2"/>
  <c r="N189" i="2"/>
  <c r="O191" i="2"/>
  <c r="N188" i="2"/>
  <c r="N186" i="2" s="1"/>
  <c r="N175" i="2"/>
  <c r="N173" i="2" s="1"/>
  <c r="N159" i="2"/>
  <c r="N157" i="2" s="1"/>
  <c r="P122" i="2"/>
  <c r="M120" i="2"/>
  <c r="P120" i="2" s="1"/>
  <c r="T95" i="2"/>
  <c r="O67" i="2"/>
  <c r="L65" i="2"/>
  <c r="O65" i="2" s="1"/>
  <c r="L61" i="2"/>
  <c r="O22" i="2"/>
  <c r="R175" i="2"/>
  <c r="U175" i="2" s="1"/>
  <c r="L175" i="2"/>
  <c r="R159" i="2"/>
  <c r="U159" i="2" s="1"/>
  <c r="L159" i="2"/>
  <c r="O159" i="2" s="1"/>
  <c r="K154" i="2"/>
  <c r="M141" i="2"/>
  <c r="P141" i="2" s="1"/>
  <c r="R119" i="2"/>
  <c r="R117" i="2" s="1"/>
  <c r="T80" i="2"/>
  <c r="T77" i="2"/>
  <c r="S26" i="2"/>
  <c r="S24" i="2" s="1"/>
  <c r="S23" i="2"/>
  <c r="M23" i="2"/>
  <c r="M21" i="2" s="1"/>
  <c r="Q175" i="2"/>
  <c r="T175" i="2" s="1"/>
  <c r="Q159" i="2"/>
  <c r="T159" i="2" s="1"/>
  <c r="R141" i="2"/>
  <c r="U141" i="2" s="1"/>
  <c r="L141" i="2"/>
  <c r="O141" i="2" s="1"/>
  <c r="Q119" i="2"/>
  <c r="Q96" i="2"/>
  <c r="T96" i="2" s="1"/>
  <c r="K85" i="2"/>
  <c r="S74" i="2"/>
  <c r="S72" i="2" s="1"/>
  <c r="M74" i="2"/>
  <c r="P74" i="2" s="1"/>
  <c r="M61" i="2"/>
  <c r="M46" i="2"/>
  <c r="R23" i="2"/>
  <c r="L23" i="2"/>
  <c r="L21" i="2" s="1"/>
  <c r="Q23" i="2"/>
  <c r="T79" i="1"/>
  <c r="Q78" i="1"/>
  <c r="T78" i="1" s="1"/>
  <c r="T360" i="1"/>
  <c r="Q357" i="1"/>
  <c r="Q359" i="1"/>
  <c r="T359" i="1" s="1"/>
  <c r="N23" i="1"/>
  <c r="L25" i="1"/>
  <c r="S123" i="1"/>
  <c r="Q160" i="1"/>
  <c r="T160" i="1" s="1"/>
  <c r="U287" i="1"/>
  <c r="R284" i="1"/>
  <c r="U284" i="1" s="1"/>
  <c r="K292" i="1"/>
  <c r="O49" i="1"/>
  <c r="N60" i="1"/>
  <c r="Q61" i="1"/>
  <c r="T61" i="1" s="1"/>
  <c r="N25" i="1"/>
  <c r="T45" i="1"/>
  <c r="P52" i="1"/>
  <c r="R61" i="1"/>
  <c r="U61" i="1" s="1"/>
  <c r="L65" i="1"/>
  <c r="R78" i="1"/>
  <c r="U78" i="1" s="1"/>
  <c r="N96" i="1"/>
  <c r="T124" i="1"/>
  <c r="Q123" i="1"/>
  <c r="S140" i="1"/>
  <c r="L142" i="1"/>
  <c r="K153" i="1"/>
  <c r="L160" i="1"/>
  <c r="O161" i="1"/>
  <c r="Q176" i="1"/>
  <c r="T176" i="1" s="1"/>
  <c r="T178" i="1"/>
  <c r="P310" i="1"/>
  <c r="M309" i="1"/>
  <c r="P309" i="1" s="1"/>
  <c r="M304" i="1"/>
  <c r="M578" i="1"/>
  <c r="P584" i="1"/>
  <c r="M582" i="1"/>
  <c r="P582" i="1" s="1"/>
  <c r="L95" i="1"/>
  <c r="U360" i="1"/>
  <c r="R359" i="1"/>
  <c r="U359" i="1" s="1"/>
  <c r="R357" i="1"/>
  <c r="S25" i="1"/>
  <c r="Q23" i="1"/>
  <c r="Q26" i="1"/>
  <c r="M47" i="1"/>
  <c r="L61" i="1"/>
  <c r="P64" i="1"/>
  <c r="Q65" i="1"/>
  <c r="T65" i="1" s="1"/>
  <c r="K86" i="1"/>
  <c r="R95" i="1"/>
  <c r="M97" i="1"/>
  <c r="P98" i="1"/>
  <c r="Q119" i="1"/>
  <c r="L120" i="1"/>
  <c r="O120" i="1" s="1"/>
  <c r="O122" i="1"/>
  <c r="M123" i="1"/>
  <c r="T125" i="1"/>
  <c r="L140" i="1"/>
  <c r="N159" i="1"/>
  <c r="P161" i="1"/>
  <c r="M160" i="1"/>
  <c r="P162" i="1"/>
  <c r="L163" i="1"/>
  <c r="O163" i="1" s="1"/>
  <c r="O164" i="1"/>
  <c r="U304" i="1"/>
  <c r="L306" i="1"/>
  <c r="O307" i="1"/>
  <c r="L304" i="1"/>
  <c r="R269" i="1"/>
  <c r="U270" i="1"/>
  <c r="R267" i="1"/>
  <c r="L123" i="1"/>
  <c r="O125" i="1"/>
  <c r="U181" i="1"/>
  <c r="R175" i="1"/>
  <c r="S734" i="1"/>
  <c r="S730" i="1"/>
  <c r="S22" i="1"/>
  <c r="L23" i="1"/>
  <c r="R23" i="1"/>
  <c r="L26" i="1"/>
  <c r="R26" i="1"/>
  <c r="N47" i="1"/>
  <c r="N50" i="1"/>
  <c r="Q60" i="1"/>
  <c r="T63" i="1"/>
  <c r="Q75" i="1"/>
  <c r="S95" i="1"/>
  <c r="L97" i="1"/>
  <c r="O97" i="1" s="1"/>
  <c r="N97" i="1"/>
  <c r="R123" i="1"/>
  <c r="U125" i="1"/>
  <c r="T142" i="1"/>
  <c r="M145" i="1"/>
  <c r="P145" i="1" s="1"/>
  <c r="P146" i="1"/>
  <c r="Q158" i="1"/>
  <c r="P164" i="1"/>
  <c r="M163" i="1"/>
  <c r="P163" i="1" s="1"/>
  <c r="T190" i="1"/>
  <c r="Q189" i="1"/>
  <c r="R272" i="1"/>
  <c r="U272" i="1" s="1"/>
  <c r="U273" i="1"/>
  <c r="S304" i="1"/>
  <c r="R395" i="1"/>
  <c r="U395" i="1" s="1"/>
  <c r="U397" i="1"/>
  <c r="R394" i="1"/>
  <c r="T121" i="1"/>
  <c r="Q120" i="1"/>
  <c r="I83" i="1"/>
  <c r="R160" i="1"/>
  <c r="U160" i="1" s="1"/>
  <c r="U161" i="1"/>
  <c r="R601" i="1"/>
  <c r="U601" i="1" s="1"/>
  <c r="U604" i="1"/>
  <c r="N140" i="1"/>
  <c r="Q179" i="1"/>
  <c r="T179" i="1" s="1"/>
  <c r="T181" i="1"/>
  <c r="T733" i="1"/>
  <c r="Q730" i="1"/>
  <c r="R22" i="1"/>
  <c r="Q74" i="1"/>
  <c r="M100" i="1"/>
  <c r="P100" i="1" s="1"/>
  <c r="P101" i="1"/>
  <c r="N174" i="1"/>
  <c r="M25" i="1"/>
  <c r="R97" i="1"/>
  <c r="U97" i="1" s="1"/>
  <c r="L100" i="1"/>
  <c r="O100" i="1" s="1"/>
  <c r="N100" i="1"/>
  <c r="R120" i="1"/>
  <c r="U122" i="1"/>
  <c r="M142" i="1"/>
  <c r="P143" i="1"/>
  <c r="L158" i="1"/>
  <c r="S160" i="1"/>
  <c r="Q163" i="1"/>
  <c r="T163" i="1" s="1"/>
  <c r="R163" i="1"/>
  <c r="U163" i="1" s="1"/>
  <c r="U164" i="1"/>
  <c r="T193" i="1"/>
  <c r="Q192" i="1"/>
  <c r="T192" i="1" s="1"/>
  <c r="L309" i="1"/>
  <c r="O309" i="1" s="1"/>
  <c r="O310" i="1"/>
  <c r="K330" i="1"/>
  <c r="I319" i="1"/>
  <c r="K319" i="1" s="1"/>
  <c r="O196" i="1"/>
  <c r="K209" i="1"/>
  <c r="I202" i="1"/>
  <c r="K202" i="1" s="1"/>
  <c r="S267" i="1"/>
  <c r="L269" i="1"/>
  <c r="O270" i="1"/>
  <c r="P273" i="1"/>
  <c r="M272" i="1"/>
  <c r="P272" i="1" s="1"/>
  <c r="L335" i="1"/>
  <c r="O338" i="1"/>
  <c r="T399" i="1"/>
  <c r="Q398" i="1"/>
  <c r="T398" i="1" s="1"/>
  <c r="N561" i="1"/>
  <c r="N557" i="1"/>
  <c r="P270" i="1"/>
  <c r="M269" i="1"/>
  <c r="P271" i="1"/>
  <c r="R285" i="1"/>
  <c r="U285" i="1" s="1"/>
  <c r="R309" i="1"/>
  <c r="U309" i="1" s="1"/>
  <c r="U310" i="1"/>
  <c r="Q393" i="1"/>
  <c r="K229" i="1"/>
  <c r="I221" i="1"/>
  <c r="K221" i="1" s="1"/>
  <c r="P267" i="1"/>
  <c r="Q285" i="1"/>
  <c r="T285" i="1" s="1"/>
  <c r="T287" i="1"/>
  <c r="K281" i="1"/>
  <c r="R306" i="1"/>
  <c r="U307" i="1"/>
  <c r="T363" i="1"/>
  <c r="Q362" i="1"/>
  <c r="T362" i="1" s="1"/>
  <c r="O606" i="1"/>
  <c r="L600" i="1"/>
  <c r="L605" i="1"/>
  <c r="O605" i="1" s="1"/>
  <c r="S605" i="1"/>
  <c r="S600" i="1"/>
  <c r="T191" i="1"/>
  <c r="L272" i="1"/>
  <c r="O272" i="1" s="1"/>
  <c r="O273" i="1"/>
  <c r="Q288" i="1"/>
  <c r="T288" i="1" s="1"/>
  <c r="T290" i="1"/>
  <c r="P307" i="1"/>
  <c r="M306" i="1"/>
  <c r="P308" i="1"/>
  <c r="N334" i="1"/>
  <c r="N333" i="1" s="1"/>
  <c r="U338" i="1"/>
  <c r="R335" i="1"/>
  <c r="R336" i="1"/>
  <c r="U336" i="1" s="1"/>
  <c r="S378" i="1"/>
  <c r="S376" i="1"/>
  <c r="S375" i="1" s="1"/>
  <c r="I374" i="1"/>
  <c r="K374" i="1" s="1"/>
  <c r="K385" i="1"/>
  <c r="P498" i="1"/>
  <c r="M496" i="1"/>
  <c r="P496" i="1" s="1"/>
  <c r="M495" i="1"/>
  <c r="U501" i="1"/>
  <c r="R495" i="1"/>
  <c r="P357" i="1"/>
  <c r="O360" i="1"/>
  <c r="L359" i="1"/>
  <c r="M378" i="1"/>
  <c r="P378" i="1" s="1"/>
  <c r="P379" i="1"/>
  <c r="P394" i="1"/>
  <c r="L395" i="1"/>
  <c r="O395" i="1" s="1"/>
  <c r="O397" i="1"/>
  <c r="T497" i="1"/>
  <c r="Q496" i="1"/>
  <c r="T496" i="1" s="1"/>
  <c r="S515" i="1"/>
  <c r="S516" i="1"/>
  <c r="M540" i="1"/>
  <c r="P540" i="1" s="1"/>
  <c r="M535" i="1"/>
  <c r="P541" i="1"/>
  <c r="R561" i="1"/>
  <c r="U561" i="1" s="1"/>
  <c r="U562" i="1"/>
  <c r="R556" i="1"/>
  <c r="L602" i="1"/>
  <c r="O602" i="1" s="1"/>
  <c r="L601" i="1"/>
  <c r="O604" i="1"/>
  <c r="P698" i="1"/>
  <c r="M696" i="1"/>
  <c r="P696" i="1" s="1"/>
  <c r="K703" i="1"/>
  <c r="J701" i="1"/>
  <c r="K220" i="1"/>
  <c r="Q336" i="1"/>
  <c r="T336" i="1" s="1"/>
  <c r="M339" i="1"/>
  <c r="P339" i="1" s="1"/>
  <c r="K344" i="1"/>
  <c r="N358" i="1"/>
  <c r="P360" i="1"/>
  <c r="M359" i="1"/>
  <c r="P361" i="1"/>
  <c r="O363" i="1"/>
  <c r="L362" i="1"/>
  <c r="O362" i="1" s="1"/>
  <c r="K365" i="1"/>
  <c r="M381" i="1"/>
  <c r="P381" i="1" s="1"/>
  <c r="P382" i="1"/>
  <c r="M395" i="1"/>
  <c r="P395" i="1" s="1"/>
  <c r="P397" i="1"/>
  <c r="L398" i="1"/>
  <c r="O398" i="1" s="1"/>
  <c r="O400" i="1"/>
  <c r="N414" i="1"/>
  <c r="N413" i="1" s="1"/>
  <c r="M416" i="1"/>
  <c r="P416" i="1" s="1"/>
  <c r="P417" i="1"/>
  <c r="J433" i="1"/>
  <c r="K433" i="1" s="1"/>
  <c r="Q494" i="1"/>
  <c r="Q557" i="1"/>
  <c r="T557" i="1" s="1"/>
  <c r="T560" i="1"/>
  <c r="P363" i="1"/>
  <c r="M362" i="1"/>
  <c r="P362" i="1" s="1"/>
  <c r="T396" i="1"/>
  <c r="Q395" i="1"/>
  <c r="T395" i="1" s="1"/>
  <c r="M398" i="1"/>
  <c r="P398" i="1" s="1"/>
  <c r="P400" i="1"/>
  <c r="M419" i="1"/>
  <c r="P419" i="1" s="1"/>
  <c r="P420" i="1"/>
  <c r="J447" i="1"/>
  <c r="J441" i="1" s="1"/>
  <c r="K441" i="1" s="1"/>
  <c r="J459" i="1"/>
  <c r="L536" i="1"/>
  <c r="O536" i="1" s="1"/>
  <c r="O539" i="1"/>
  <c r="L558" i="1"/>
  <c r="O558" i="1" s="1"/>
  <c r="L556" i="1"/>
  <c r="O559" i="1"/>
  <c r="S578" i="1"/>
  <c r="S582" i="1"/>
  <c r="M644" i="1"/>
  <c r="P644" i="1" s="1"/>
  <c r="P647" i="1"/>
  <c r="Q648" i="1"/>
  <c r="T648" i="1" s="1"/>
  <c r="T649" i="1"/>
  <c r="L357" i="1"/>
  <c r="S359" i="1"/>
  <c r="U363" i="1"/>
  <c r="R362" i="1"/>
  <c r="U362" i="1" s="1"/>
  <c r="L394" i="1"/>
  <c r="R398" i="1"/>
  <c r="U398" i="1" s="1"/>
  <c r="U400" i="1"/>
  <c r="I412" i="1"/>
  <c r="P517" i="1"/>
  <c r="M516" i="1"/>
  <c r="P516" i="1" s="1"/>
  <c r="S540" i="1"/>
  <c r="S535" i="1"/>
  <c r="R540" i="1"/>
  <c r="U540" i="1" s="1"/>
  <c r="U542" i="1"/>
  <c r="R536" i="1"/>
  <c r="U536" i="1" s="1"/>
  <c r="M515" i="1"/>
  <c r="L537" i="1"/>
  <c r="O537" i="1" s="1"/>
  <c r="P733" i="1"/>
  <c r="M731" i="1"/>
  <c r="P731" i="1" s="1"/>
  <c r="M730" i="1"/>
  <c r="L496" i="1"/>
  <c r="O496" i="1" s="1"/>
  <c r="R496" i="1"/>
  <c r="U496" i="1" s="1"/>
  <c r="L499" i="1"/>
  <c r="O499" i="1" s="1"/>
  <c r="R499" i="1"/>
  <c r="U499" i="1" s="1"/>
  <c r="Q514" i="1"/>
  <c r="R577" i="1"/>
  <c r="K587" i="1"/>
  <c r="I575" i="1"/>
  <c r="K575" i="1" s="1"/>
  <c r="N622" i="1"/>
  <c r="O646" i="1"/>
  <c r="L645" i="1"/>
  <c r="O645" i="1" s="1"/>
  <c r="L643" i="1"/>
  <c r="U650" i="1"/>
  <c r="R648" i="1"/>
  <c r="U648" i="1" s="1"/>
  <c r="P722" i="1"/>
  <c r="M720" i="1"/>
  <c r="P720" i="1" s="1"/>
  <c r="P764" i="1"/>
  <c r="M761" i="1"/>
  <c r="M763" i="1"/>
  <c r="P763" i="1" s="1"/>
  <c r="U520" i="1"/>
  <c r="O542" i="1"/>
  <c r="O562" i="1"/>
  <c r="T563" i="1"/>
  <c r="L577" i="1"/>
  <c r="O580" i="1"/>
  <c r="U580" i="1"/>
  <c r="O583" i="1"/>
  <c r="L582" i="1"/>
  <c r="O582" i="1" s="1"/>
  <c r="U603" i="1"/>
  <c r="R602" i="1"/>
  <c r="U602" i="1" s="1"/>
  <c r="R600" i="1"/>
  <c r="T621" i="1"/>
  <c r="Q618" i="1"/>
  <c r="Q619" i="1"/>
  <c r="Q622" i="1"/>
  <c r="T622" i="1" s="1"/>
  <c r="Q617" i="1"/>
  <c r="S622" i="1"/>
  <c r="S618" i="1"/>
  <c r="R644" i="1"/>
  <c r="O694" i="1"/>
  <c r="P695" i="1"/>
  <c r="M693" i="1"/>
  <c r="P693" i="1" s="1"/>
  <c r="P581" i="1"/>
  <c r="N579" i="1"/>
  <c r="M601" i="1"/>
  <c r="Q692" i="1"/>
  <c r="S716" i="1"/>
  <c r="S717" i="1"/>
  <c r="Q558" i="1"/>
  <c r="T558" i="1" s="1"/>
  <c r="Q693" i="1"/>
  <c r="T694" i="1"/>
  <c r="Q577" i="1"/>
  <c r="M602" i="1"/>
  <c r="P602" i="1" s="1"/>
  <c r="M622" i="1"/>
  <c r="P622" i="1" s="1"/>
  <c r="S648" i="1"/>
  <c r="N690" i="1"/>
  <c r="Q716" i="1"/>
  <c r="T716" i="1" s="1"/>
  <c r="Q717" i="1"/>
  <c r="T717" i="1" s="1"/>
  <c r="T718" i="1"/>
  <c r="K752" i="1"/>
  <c r="Q582" i="1"/>
  <c r="T582" i="1" s="1"/>
  <c r="M605" i="1"/>
  <c r="P605" i="1" s="1"/>
  <c r="M619" i="1"/>
  <c r="P619" i="1" s="1"/>
  <c r="M645" i="1"/>
  <c r="P645" i="1" s="1"/>
  <c r="T646" i="1"/>
  <c r="Q691" i="1"/>
  <c r="Q696" i="1"/>
  <c r="T696" i="1" s="1"/>
  <c r="T697" i="1"/>
  <c r="Q720" i="1"/>
  <c r="T720" i="1" s="1"/>
  <c r="T721" i="1"/>
  <c r="Q731" i="1"/>
  <c r="T732" i="1"/>
  <c r="K629" i="1"/>
  <c r="Q643" i="1"/>
  <c r="K689" i="1"/>
  <c r="R691" i="1"/>
  <c r="N693" i="1"/>
  <c r="K707" i="1"/>
  <c r="M716" i="1"/>
  <c r="Q734" i="1"/>
  <c r="T734" i="1" s="1"/>
  <c r="T735" i="1"/>
  <c r="K740" i="1"/>
  <c r="Q766" i="1"/>
  <c r="T766" i="1" s="1"/>
  <c r="J759" i="1"/>
  <c r="K759" i="1" s="1"/>
  <c r="P141" i="5" l="1"/>
  <c r="U645" i="1"/>
  <c r="P322" i="15"/>
  <c r="T645" i="1"/>
  <c r="T760" i="15"/>
  <c r="O74" i="13"/>
  <c r="T120" i="13"/>
  <c r="M534" i="15"/>
  <c r="P534" i="15" s="1"/>
  <c r="N714" i="1"/>
  <c r="R599" i="13"/>
  <c r="U599" i="13" s="1"/>
  <c r="T378" i="1"/>
  <c r="K492" i="15"/>
  <c r="T415" i="14"/>
  <c r="O284" i="15"/>
  <c r="Q303" i="12"/>
  <c r="T303" i="12" s="1"/>
  <c r="M94" i="11"/>
  <c r="P94" i="11" s="1"/>
  <c r="P599" i="12"/>
  <c r="T303" i="13"/>
  <c r="T616" i="14"/>
  <c r="P96" i="15"/>
  <c r="L139" i="14"/>
  <c r="O139" i="14" s="1"/>
  <c r="T619" i="13"/>
  <c r="U268" i="1"/>
  <c r="T188" i="14"/>
  <c r="K374" i="15"/>
  <c r="O139" i="15"/>
  <c r="U96" i="13"/>
  <c r="P284" i="15"/>
  <c r="P495" i="15"/>
  <c r="T142" i="15"/>
  <c r="U378" i="15"/>
  <c r="L576" i="14"/>
  <c r="O576" i="14" s="1"/>
  <c r="M555" i="15"/>
  <c r="P555" i="15" s="1"/>
  <c r="P176" i="13"/>
  <c r="T416" i="13"/>
  <c r="K701" i="15"/>
  <c r="T496" i="15"/>
  <c r="L576" i="13"/>
  <c r="O576" i="13" s="1"/>
  <c r="P75" i="1"/>
  <c r="O75" i="1"/>
  <c r="M534" i="13"/>
  <c r="P534" i="13" s="1"/>
  <c r="P175" i="14"/>
  <c r="R392" i="9"/>
  <c r="U392" i="9" s="1"/>
  <c r="P323" i="13"/>
  <c r="T618" i="15"/>
  <c r="O119" i="14"/>
  <c r="O141" i="15"/>
  <c r="P282" i="15"/>
  <c r="O46" i="13"/>
  <c r="U619" i="13"/>
  <c r="M139" i="14"/>
  <c r="P139" i="14" s="1"/>
  <c r="O59" i="15"/>
  <c r="U413" i="15"/>
  <c r="K701" i="14"/>
  <c r="T416" i="15"/>
  <c r="K83" i="10"/>
  <c r="P356" i="15"/>
  <c r="P96" i="12"/>
  <c r="P74" i="15"/>
  <c r="L413" i="12"/>
  <c r="O413" i="12" s="1"/>
  <c r="Q117" i="13"/>
  <c r="T117" i="13" s="1"/>
  <c r="U188" i="8"/>
  <c r="U268" i="8"/>
  <c r="P335" i="7"/>
  <c r="L282" i="11"/>
  <c r="O282" i="11" s="1"/>
  <c r="U188" i="12"/>
  <c r="P160" i="15"/>
  <c r="L94" i="15"/>
  <c r="O94" i="15" s="1"/>
  <c r="M375" i="15"/>
  <c r="P375" i="15" s="1"/>
  <c r="M493" i="12"/>
  <c r="P493" i="12" s="1"/>
  <c r="T96" i="14"/>
  <c r="U306" i="14"/>
  <c r="T141" i="15"/>
  <c r="L117" i="15"/>
  <c r="O117" i="15" s="1"/>
  <c r="M72" i="15"/>
  <c r="P72" i="15" s="1"/>
  <c r="L24" i="14"/>
  <c r="O24" i="14" s="1"/>
  <c r="P47" i="15"/>
  <c r="O320" i="15"/>
  <c r="P378" i="10"/>
  <c r="K83" i="11"/>
  <c r="T119" i="14"/>
  <c r="U378" i="12"/>
  <c r="K82" i="15"/>
  <c r="U159" i="13"/>
  <c r="U188" i="15"/>
  <c r="O322" i="13"/>
  <c r="O189" i="13"/>
  <c r="T692" i="14"/>
  <c r="T119" i="15"/>
  <c r="U142" i="12"/>
  <c r="L320" i="14"/>
  <c r="O320" i="14" s="1"/>
  <c r="O188" i="15"/>
  <c r="T268" i="15"/>
  <c r="Q392" i="15"/>
  <c r="T392" i="15" s="1"/>
  <c r="U415" i="6"/>
  <c r="R72" i="11"/>
  <c r="U72" i="11" s="1"/>
  <c r="P268" i="12"/>
  <c r="O356" i="13"/>
  <c r="U120" i="12"/>
  <c r="U268" i="13"/>
  <c r="P333" i="12"/>
  <c r="Q599" i="13"/>
  <c r="T599" i="13" s="1"/>
  <c r="T762" i="10"/>
  <c r="T74" i="15"/>
  <c r="U266" i="8"/>
  <c r="U117" i="14"/>
  <c r="P269" i="14"/>
  <c r="I71" i="15"/>
  <c r="K71" i="15" s="1"/>
  <c r="O322" i="15"/>
  <c r="O74" i="15"/>
  <c r="O157" i="15"/>
  <c r="L303" i="10"/>
  <c r="O303" i="10" s="1"/>
  <c r="U74" i="15"/>
  <c r="S117" i="15"/>
  <c r="U117" i="15" s="1"/>
  <c r="U94" i="15"/>
  <c r="O358" i="8"/>
  <c r="O323" i="13"/>
  <c r="P61" i="14"/>
  <c r="Q72" i="15"/>
  <c r="T72" i="15" s="1"/>
  <c r="P358" i="15"/>
  <c r="P269" i="15"/>
  <c r="L375" i="12"/>
  <c r="O375" i="12" s="1"/>
  <c r="O268" i="13"/>
  <c r="P97" i="13"/>
  <c r="P322" i="13"/>
  <c r="Q173" i="14"/>
  <c r="T173" i="14" s="1"/>
  <c r="K615" i="14"/>
  <c r="O356" i="15"/>
  <c r="U72" i="15"/>
  <c r="O268" i="12"/>
  <c r="M117" i="13"/>
  <c r="P117" i="13" s="1"/>
  <c r="T186" i="14"/>
  <c r="O189" i="14"/>
  <c r="O61" i="14"/>
  <c r="O303" i="15"/>
  <c r="U692" i="15"/>
  <c r="P268" i="14"/>
  <c r="M576" i="11"/>
  <c r="P576" i="11" s="1"/>
  <c r="L513" i="14"/>
  <c r="O513" i="14" s="1"/>
  <c r="R173" i="15"/>
  <c r="U173" i="15" s="1"/>
  <c r="M117" i="15"/>
  <c r="P117" i="15" s="1"/>
  <c r="P335" i="15"/>
  <c r="O159" i="15"/>
  <c r="T493" i="13"/>
  <c r="Q303" i="5"/>
  <c r="T303" i="5" s="1"/>
  <c r="T269" i="10"/>
  <c r="Q186" i="10"/>
  <c r="T186" i="10" s="1"/>
  <c r="L139" i="11"/>
  <c r="O139" i="11" s="1"/>
  <c r="M375" i="12"/>
  <c r="P375" i="12" s="1"/>
  <c r="L555" i="12"/>
  <c r="O555" i="12" s="1"/>
  <c r="U495" i="13"/>
  <c r="P335" i="13"/>
  <c r="M117" i="14"/>
  <c r="P117" i="14" s="1"/>
  <c r="P333" i="14"/>
  <c r="U141" i="15"/>
  <c r="L72" i="15"/>
  <c r="O72" i="15" s="1"/>
  <c r="S139" i="15"/>
  <c r="T139" i="15" s="1"/>
  <c r="I231" i="15"/>
  <c r="U496" i="15"/>
  <c r="O335" i="15"/>
  <c r="M513" i="9"/>
  <c r="P513" i="9" s="1"/>
  <c r="O336" i="10"/>
  <c r="P336" i="10"/>
  <c r="R186" i="10"/>
  <c r="U186" i="10" s="1"/>
  <c r="O74" i="11"/>
  <c r="M303" i="12"/>
  <c r="P303" i="12" s="1"/>
  <c r="S186" i="12"/>
  <c r="U186" i="12" s="1"/>
  <c r="N266" i="14"/>
  <c r="P266" i="14" s="1"/>
  <c r="R599" i="14"/>
  <c r="U599" i="14" s="1"/>
  <c r="O46" i="15"/>
  <c r="P157" i="15"/>
  <c r="T762" i="15"/>
  <c r="U96" i="15"/>
  <c r="R599" i="11"/>
  <c r="U599" i="11" s="1"/>
  <c r="I231" i="12"/>
  <c r="K231" i="12" s="1"/>
  <c r="O601" i="12"/>
  <c r="P601" i="12"/>
  <c r="P175" i="13"/>
  <c r="M333" i="13"/>
  <c r="P333" i="13" s="1"/>
  <c r="K701" i="13"/>
  <c r="K332" i="13"/>
  <c r="O176" i="14"/>
  <c r="L59" i="14"/>
  <c r="O59" i="14" s="1"/>
  <c r="T616" i="13"/>
  <c r="L232" i="15"/>
  <c r="M333" i="15"/>
  <c r="P333" i="15" s="1"/>
  <c r="P305" i="15"/>
  <c r="U730" i="15"/>
  <c r="U415" i="15"/>
  <c r="P159" i="15"/>
  <c r="T74" i="11"/>
  <c r="L555" i="11"/>
  <c r="O555" i="11" s="1"/>
  <c r="L513" i="12"/>
  <c r="O513" i="12" s="1"/>
  <c r="K701" i="12"/>
  <c r="P601" i="13"/>
  <c r="T495" i="13"/>
  <c r="M513" i="14"/>
  <c r="P513" i="14" s="1"/>
  <c r="O44" i="15"/>
  <c r="T493" i="15"/>
  <c r="T188" i="15"/>
  <c r="P61" i="11"/>
  <c r="M72" i="11"/>
  <c r="P72" i="11" s="1"/>
  <c r="U413" i="13"/>
  <c r="Q599" i="14"/>
  <c r="T599" i="14" s="1"/>
  <c r="L282" i="15"/>
  <c r="O282" i="15" s="1"/>
  <c r="P186" i="15"/>
  <c r="O336" i="15"/>
  <c r="R642" i="15"/>
  <c r="U642" i="15" s="1"/>
  <c r="L375" i="15"/>
  <c r="O375" i="15" s="1"/>
  <c r="N493" i="15"/>
  <c r="P493" i="15" s="1"/>
  <c r="P601" i="15"/>
  <c r="L555" i="15"/>
  <c r="O555" i="15" s="1"/>
  <c r="O47" i="15"/>
  <c r="U97" i="15"/>
  <c r="T378" i="12"/>
  <c r="P557" i="14"/>
  <c r="R760" i="14"/>
  <c r="U760" i="14" s="1"/>
  <c r="M576" i="14"/>
  <c r="P576" i="14" s="1"/>
  <c r="P188" i="15"/>
  <c r="P61" i="15"/>
  <c r="T377" i="15"/>
  <c r="S728" i="15"/>
  <c r="U728" i="15" s="1"/>
  <c r="L186" i="15"/>
  <c r="O186" i="15" s="1"/>
  <c r="P579" i="15"/>
  <c r="P141" i="15"/>
  <c r="Q117" i="14"/>
  <c r="T117" i="14" s="1"/>
  <c r="L413" i="15"/>
  <c r="O413" i="15" s="1"/>
  <c r="O415" i="15"/>
  <c r="P415" i="15"/>
  <c r="P413" i="15"/>
  <c r="P139" i="15"/>
  <c r="U120" i="15"/>
  <c r="P96" i="14"/>
  <c r="U493" i="15"/>
  <c r="J456" i="15"/>
  <c r="K456" i="15" s="1"/>
  <c r="K457" i="15"/>
  <c r="Q94" i="15"/>
  <c r="T94" i="15" s="1"/>
  <c r="T96" i="15"/>
  <c r="U305" i="8"/>
  <c r="Q24" i="10"/>
  <c r="T24" i="10" s="1"/>
  <c r="L513" i="11"/>
  <c r="O513" i="11" s="1"/>
  <c r="K332" i="12"/>
  <c r="L117" i="12"/>
  <c r="O117" i="12" s="1"/>
  <c r="P188" i="12"/>
  <c r="Q413" i="14"/>
  <c r="T413" i="14" s="1"/>
  <c r="L534" i="14"/>
  <c r="O534" i="14" s="1"/>
  <c r="L555" i="14"/>
  <c r="O555" i="14" s="1"/>
  <c r="P413" i="14"/>
  <c r="O61" i="15"/>
  <c r="R157" i="15"/>
  <c r="U157" i="15" s="1"/>
  <c r="U142" i="15"/>
  <c r="Q186" i="15"/>
  <c r="M303" i="15"/>
  <c r="P303" i="15" s="1"/>
  <c r="T266" i="15"/>
  <c r="T731" i="15"/>
  <c r="O601" i="15"/>
  <c r="L599" i="15"/>
  <c r="O599" i="15" s="1"/>
  <c r="M94" i="14"/>
  <c r="P94" i="14" s="1"/>
  <c r="P188" i="14"/>
  <c r="N20" i="14"/>
  <c r="N18" i="14" s="1"/>
  <c r="P186" i="14"/>
  <c r="T159" i="15"/>
  <c r="Q157" i="15"/>
  <c r="T157" i="15" s="1"/>
  <c r="T26" i="15"/>
  <c r="Q24" i="15"/>
  <c r="T24" i="15" s="1"/>
  <c r="M44" i="15"/>
  <c r="P46" i="15"/>
  <c r="R24" i="15"/>
  <c r="U24" i="15" s="1"/>
  <c r="U26" i="15"/>
  <c r="T186" i="15"/>
  <c r="T305" i="15"/>
  <c r="T378" i="15"/>
  <c r="L513" i="15"/>
  <c r="O513" i="15" s="1"/>
  <c r="R616" i="15"/>
  <c r="U616" i="15" s="1"/>
  <c r="U495" i="15"/>
  <c r="T495" i="15"/>
  <c r="O188" i="8"/>
  <c r="M375" i="11"/>
  <c r="P375" i="11" s="1"/>
  <c r="P358" i="12"/>
  <c r="L534" i="12"/>
  <c r="O534" i="12" s="1"/>
  <c r="L534" i="13"/>
  <c r="O534" i="13" s="1"/>
  <c r="U269" i="14"/>
  <c r="O335" i="14"/>
  <c r="T378" i="14"/>
  <c r="M534" i="14"/>
  <c r="P534" i="14" s="1"/>
  <c r="U730" i="14"/>
  <c r="T730" i="14"/>
  <c r="T75" i="15"/>
  <c r="P94" i="15"/>
  <c r="U119" i="15"/>
  <c r="L21" i="15"/>
  <c r="L20" i="15"/>
  <c r="O23" i="15"/>
  <c r="U268" i="15"/>
  <c r="R266" i="15"/>
  <c r="U266" i="15" s="1"/>
  <c r="U375" i="15"/>
  <c r="L534" i="15"/>
  <c r="O534" i="15" s="1"/>
  <c r="U690" i="15"/>
  <c r="T303" i="15"/>
  <c r="U377" i="15"/>
  <c r="U305" i="15"/>
  <c r="O495" i="15"/>
  <c r="O333" i="15"/>
  <c r="O358" i="15"/>
  <c r="T644" i="15"/>
  <c r="Q642" i="15"/>
  <c r="T642" i="15" s="1"/>
  <c r="P268" i="1"/>
  <c r="U117" i="6"/>
  <c r="R690" i="8"/>
  <c r="U690" i="8" s="1"/>
  <c r="P61" i="9"/>
  <c r="U618" i="11"/>
  <c r="L320" i="13"/>
  <c r="O320" i="13" s="1"/>
  <c r="P599" i="13"/>
  <c r="U266" i="14"/>
  <c r="O173" i="15"/>
  <c r="P59" i="15"/>
  <c r="O142" i="15"/>
  <c r="P142" i="15"/>
  <c r="U269" i="15"/>
  <c r="P576" i="15"/>
  <c r="R186" i="15"/>
  <c r="U186" i="15" s="1"/>
  <c r="T415" i="15"/>
  <c r="Q413" i="15"/>
  <c r="T413" i="15" s="1"/>
  <c r="P268" i="15"/>
  <c r="M266" i="15"/>
  <c r="P266" i="15" s="1"/>
  <c r="I412" i="15"/>
  <c r="K412" i="15" s="1"/>
  <c r="K423" i="15"/>
  <c r="O578" i="15"/>
  <c r="O601" i="10"/>
  <c r="T189" i="11"/>
  <c r="M282" i="12"/>
  <c r="P282" i="12" s="1"/>
  <c r="Q157" i="13"/>
  <c r="T157" i="13" s="1"/>
  <c r="U141" i="13"/>
  <c r="L303" i="13"/>
  <c r="O303" i="13" s="1"/>
  <c r="P359" i="13"/>
  <c r="I70" i="13"/>
  <c r="K70" i="13" s="1"/>
  <c r="R21" i="15"/>
  <c r="U21" i="15" s="1"/>
  <c r="R20" i="15"/>
  <c r="U23" i="15"/>
  <c r="Q20" i="15"/>
  <c r="T23" i="15"/>
  <c r="Q21" i="15"/>
  <c r="T21" i="15" s="1"/>
  <c r="P173" i="15"/>
  <c r="O26" i="15"/>
  <c r="L24" i="15"/>
  <c r="O24" i="15" s="1"/>
  <c r="T269" i="15"/>
  <c r="O175" i="15"/>
  <c r="U303" i="15"/>
  <c r="P515" i="15"/>
  <c r="M513" i="15"/>
  <c r="P513" i="15" s="1"/>
  <c r="Q599" i="15"/>
  <c r="T599" i="15" s="1"/>
  <c r="M320" i="15"/>
  <c r="P320" i="15" s="1"/>
  <c r="R760" i="15"/>
  <c r="U760" i="15" s="1"/>
  <c r="U762" i="15"/>
  <c r="T375" i="15"/>
  <c r="N40" i="15"/>
  <c r="M20" i="15"/>
  <c r="P23" i="15"/>
  <c r="R392" i="15"/>
  <c r="U392" i="15" s="1"/>
  <c r="U394" i="15"/>
  <c r="Q690" i="15"/>
  <c r="T690" i="15" s="1"/>
  <c r="T692" i="15"/>
  <c r="U96" i="9"/>
  <c r="P173" i="10"/>
  <c r="S20" i="12"/>
  <c r="S18" i="12" s="1"/>
  <c r="L232" i="12"/>
  <c r="O335" i="13"/>
  <c r="Q157" i="14"/>
  <c r="T157" i="14" s="1"/>
  <c r="P335" i="14"/>
  <c r="M599" i="14"/>
  <c r="P599" i="14" s="1"/>
  <c r="P336" i="14"/>
  <c r="N20" i="15"/>
  <c r="N18" i="15" s="1"/>
  <c r="N21" i="15"/>
  <c r="P21" i="15" s="1"/>
  <c r="T175" i="15"/>
  <c r="Q173" i="15"/>
  <c r="T173" i="15" s="1"/>
  <c r="M24" i="15"/>
  <c r="P24" i="15" s="1"/>
  <c r="S20" i="15"/>
  <c r="S18" i="15" s="1"/>
  <c r="P175" i="15"/>
  <c r="T306" i="15"/>
  <c r="U306" i="15"/>
  <c r="O576" i="15"/>
  <c r="O305" i="15"/>
  <c r="O268" i="15"/>
  <c r="L266" i="15"/>
  <c r="O266" i="15" s="1"/>
  <c r="P323" i="15"/>
  <c r="Q616" i="15"/>
  <c r="T616" i="15" s="1"/>
  <c r="U601" i="15"/>
  <c r="R599" i="15"/>
  <c r="U599" i="15" s="1"/>
  <c r="P578" i="15"/>
  <c r="M282" i="13"/>
  <c r="P282" i="13" s="1"/>
  <c r="Q303" i="14"/>
  <c r="T303" i="14" s="1"/>
  <c r="T618" i="14"/>
  <c r="P74" i="14"/>
  <c r="M72" i="14"/>
  <c r="P72" i="14" s="1"/>
  <c r="L493" i="14"/>
  <c r="O493" i="14" s="1"/>
  <c r="O495" i="14"/>
  <c r="P176" i="14"/>
  <c r="I231" i="14"/>
  <c r="K231" i="14" s="1"/>
  <c r="U119" i="14"/>
  <c r="P415" i="14"/>
  <c r="R157" i="12"/>
  <c r="U157" i="12" s="1"/>
  <c r="U119" i="12"/>
  <c r="U416" i="13"/>
  <c r="O141" i="13"/>
  <c r="P320" i="13"/>
  <c r="S20" i="14"/>
  <c r="S18" i="14" s="1"/>
  <c r="U618" i="14"/>
  <c r="L303" i="14"/>
  <c r="O303" i="14" s="1"/>
  <c r="O415" i="14"/>
  <c r="T644" i="14"/>
  <c r="Q642" i="14"/>
  <c r="T642" i="14" s="1"/>
  <c r="N173" i="14"/>
  <c r="P173" i="14" s="1"/>
  <c r="U616" i="14"/>
  <c r="O142" i="9"/>
  <c r="P189" i="12"/>
  <c r="M555" i="13"/>
  <c r="P555" i="13" s="1"/>
  <c r="T266" i="14"/>
  <c r="P358" i="14"/>
  <c r="L266" i="14"/>
  <c r="O268" i="14"/>
  <c r="L20" i="14"/>
  <c r="O23" i="14"/>
  <c r="U159" i="14"/>
  <c r="R157" i="14"/>
  <c r="U157" i="14" s="1"/>
  <c r="I71" i="14"/>
  <c r="K71" i="14" s="1"/>
  <c r="K83" i="14"/>
  <c r="L72" i="14"/>
  <c r="O72" i="14" s="1"/>
  <c r="O74" i="14"/>
  <c r="L44" i="14"/>
  <c r="O46" i="14"/>
  <c r="U377" i="14"/>
  <c r="R375" i="14"/>
  <c r="U375" i="14" s="1"/>
  <c r="M303" i="14"/>
  <c r="P303" i="14" s="1"/>
  <c r="P305" i="14"/>
  <c r="M375" i="14"/>
  <c r="P375" i="14" s="1"/>
  <c r="P377" i="14"/>
  <c r="U644" i="14"/>
  <c r="R642" i="14"/>
  <c r="U642" i="14" s="1"/>
  <c r="O74" i="10"/>
  <c r="M555" i="12"/>
  <c r="P555" i="12" s="1"/>
  <c r="Q72" i="13"/>
  <c r="T72" i="13" s="1"/>
  <c r="N44" i="13"/>
  <c r="O44" i="13" s="1"/>
  <c r="P268" i="13"/>
  <c r="O139" i="13"/>
  <c r="P23" i="14"/>
  <c r="M20" i="14"/>
  <c r="Q24" i="14"/>
  <c r="T24" i="14" s="1"/>
  <c r="T26" i="14"/>
  <c r="M282" i="14"/>
  <c r="P282" i="14" s="1"/>
  <c r="P284" i="14"/>
  <c r="T375" i="14"/>
  <c r="U188" i="14"/>
  <c r="R186" i="14"/>
  <c r="U186" i="14" s="1"/>
  <c r="O377" i="14"/>
  <c r="L375" i="14"/>
  <c r="O375" i="14" s="1"/>
  <c r="K456" i="14"/>
  <c r="S690" i="14"/>
  <c r="T690" i="14" s="1"/>
  <c r="T618" i="11"/>
  <c r="O173" i="12"/>
  <c r="O333" i="12"/>
  <c r="O495" i="12"/>
  <c r="T762" i="12"/>
  <c r="O188" i="13"/>
  <c r="M576" i="13"/>
  <c r="P576" i="13" s="1"/>
  <c r="U731" i="13"/>
  <c r="T268" i="13"/>
  <c r="T74" i="14"/>
  <c r="Q72" i="14"/>
  <c r="T72" i="14" s="1"/>
  <c r="R139" i="14"/>
  <c r="U139" i="14" s="1"/>
  <c r="R24" i="14"/>
  <c r="U24" i="14" s="1"/>
  <c r="P44" i="14"/>
  <c r="L333" i="14"/>
  <c r="O333" i="14" s="1"/>
  <c r="O336" i="14"/>
  <c r="S21" i="14"/>
  <c r="T268" i="14"/>
  <c r="K626" i="14"/>
  <c r="O96" i="14"/>
  <c r="L94" i="14"/>
  <c r="O94" i="14" s="1"/>
  <c r="R186" i="7"/>
  <c r="U186" i="7" s="1"/>
  <c r="M157" i="9"/>
  <c r="P157" i="9" s="1"/>
  <c r="P46" i="11"/>
  <c r="L493" i="11"/>
  <c r="O493" i="11" s="1"/>
  <c r="P61" i="12"/>
  <c r="S21" i="12"/>
  <c r="U21" i="12" s="1"/>
  <c r="U141" i="12"/>
  <c r="O335" i="12"/>
  <c r="R642" i="12"/>
  <c r="U642" i="12" s="1"/>
  <c r="U619" i="12"/>
  <c r="T760" i="12"/>
  <c r="M157" i="13"/>
  <c r="P157" i="13" s="1"/>
  <c r="P94" i="13"/>
  <c r="T186" i="13"/>
  <c r="P495" i="13"/>
  <c r="Q20" i="14"/>
  <c r="T23" i="14"/>
  <c r="Q21" i="14"/>
  <c r="M24" i="14"/>
  <c r="P24" i="14" s="1"/>
  <c r="R20" i="14"/>
  <c r="U23" i="14"/>
  <c r="P46" i="14"/>
  <c r="P322" i="14"/>
  <c r="M320" i="14"/>
  <c r="P320" i="14" s="1"/>
  <c r="U268" i="14"/>
  <c r="U415" i="14"/>
  <c r="R413" i="14"/>
  <c r="U413" i="14" s="1"/>
  <c r="L599" i="14"/>
  <c r="O599" i="14" s="1"/>
  <c r="T377" i="14"/>
  <c r="K457" i="14"/>
  <c r="U692" i="14"/>
  <c r="R690" i="14"/>
  <c r="O602" i="5"/>
  <c r="L534" i="9"/>
  <c r="O534" i="9" s="1"/>
  <c r="O268" i="9"/>
  <c r="I231" i="10"/>
  <c r="K231" i="10" s="1"/>
  <c r="L266" i="12"/>
  <c r="O266" i="12" s="1"/>
  <c r="P96" i="13"/>
  <c r="M303" i="13"/>
  <c r="P303" i="13" s="1"/>
  <c r="L375" i="13"/>
  <c r="O375" i="13" s="1"/>
  <c r="O359" i="13"/>
  <c r="U378" i="13"/>
  <c r="I70" i="14"/>
  <c r="K70" i="14" s="1"/>
  <c r="K82" i="14"/>
  <c r="O175" i="14"/>
  <c r="O358" i="14"/>
  <c r="L356" i="14"/>
  <c r="O356" i="14" s="1"/>
  <c r="O284" i="14"/>
  <c r="L282" i="14"/>
  <c r="O282" i="14" s="1"/>
  <c r="Q392" i="14"/>
  <c r="T392" i="14" s="1"/>
  <c r="R728" i="14"/>
  <c r="U728" i="14" s="1"/>
  <c r="Q728" i="14"/>
  <c r="T728" i="14" s="1"/>
  <c r="Q139" i="14"/>
  <c r="T139" i="14" s="1"/>
  <c r="T413" i="5"/>
  <c r="T96" i="9"/>
  <c r="P336" i="9"/>
  <c r="O416" i="9"/>
  <c r="M139" i="11"/>
  <c r="P139" i="11" s="1"/>
  <c r="R642" i="11"/>
  <c r="U642" i="11" s="1"/>
  <c r="Q493" i="12"/>
  <c r="T493" i="12" s="1"/>
  <c r="O186" i="12"/>
  <c r="U97" i="13"/>
  <c r="N186" i="13"/>
  <c r="O186" i="13" s="1"/>
  <c r="M375" i="13"/>
  <c r="P375" i="13" s="1"/>
  <c r="O601" i="13"/>
  <c r="U375" i="12"/>
  <c r="R173" i="13"/>
  <c r="U173" i="13" s="1"/>
  <c r="U493" i="13"/>
  <c r="N21" i="14"/>
  <c r="L21" i="14"/>
  <c r="M21" i="14"/>
  <c r="S94" i="14"/>
  <c r="U94" i="14" s="1"/>
  <c r="R72" i="14"/>
  <c r="U72" i="14" s="1"/>
  <c r="U74" i="14"/>
  <c r="L157" i="14"/>
  <c r="O157" i="14" s="1"/>
  <c r="M59" i="14"/>
  <c r="P59" i="14" s="1"/>
  <c r="M157" i="14"/>
  <c r="P157" i="14" s="1"/>
  <c r="P159" i="14"/>
  <c r="L232" i="14"/>
  <c r="O243" i="14"/>
  <c r="R21" i="14"/>
  <c r="O188" i="14"/>
  <c r="L186" i="14"/>
  <c r="O186" i="14" s="1"/>
  <c r="M493" i="14"/>
  <c r="P493" i="14" s="1"/>
  <c r="P356" i="14"/>
  <c r="U693" i="14"/>
  <c r="U96" i="14"/>
  <c r="Q392" i="13"/>
  <c r="T392" i="13" s="1"/>
  <c r="Q760" i="14"/>
  <c r="T760" i="14" s="1"/>
  <c r="T762" i="14"/>
  <c r="R303" i="12"/>
  <c r="U303" i="12" s="1"/>
  <c r="S20" i="13"/>
  <c r="S18" i="13" s="1"/>
  <c r="K374" i="13"/>
  <c r="O495" i="13"/>
  <c r="U377" i="12"/>
  <c r="L555" i="13"/>
  <c r="O555" i="13" s="1"/>
  <c r="O557" i="13"/>
  <c r="O74" i="12"/>
  <c r="T139" i="12"/>
  <c r="P142" i="13"/>
  <c r="P188" i="13"/>
  <c r="O336" i="13"/>
  <c r="R72" i="13"/>
  <c r="U72" i="13" s="1"/>
  <c r="P415" i="13"/>
  <c r="M413" i="13"/>
  <c r="P413" i="13" s="1"/>
  <c r="T268" i="7"/>
  <c r="R760" i="8"/>
  <c r="U760" i="8" s="1"/>
  <c r="P142" i="9"/>
  <c r="Q599" i="11"/>
  <c r="T599" i="11" s="1"/>
  <c r="O173" i="11"/>
  <c r="T119" i="12"/>
  <c r="P336" i="12"/>
  <c r="U730" i="12"/>
  <c r="I231" i="13"/>
  <c r="K231" i="13" s="1"/>
  <c r="L599" i="13"/>
  <c r="O599" i="13" s="1"/>
  <c r="R760" i="13"/>
  <c r="U760" i="13" s="1"/>
  <c r="P26" i="13"/>
  <c r="J615" i="13"/>
  <c r="K615" i="13" s="1"/>
  <c r="K626" i="13"/>
  <c r="L599" i="8"/>
  <c r="O599" i="8" s="1"/>
  <c r="Q642" i="9"/>
  <c r="T642" i="9" s="1"/>
  <c r="K374" i="12"/>
  <c r="L413" i="13"/>
  <c r="O413" i="13" s="1"/>
  <c r="O415" i="13"/>
  <c r="P141" i="13"/>
  <c r="M139" i="13"/>
  <c r="P139" i="13" s="1"/>
  <c r="L513" i="8"/>
  <c r="O513" i="8" s="1"/>
  <c r="U306" i="11"/>
  <c r="U728" i="12"/>
  <c r="O358" i="13"/>
  <c r="M59" i="13"/>
  <c r="P59" i="13" s="1"/>
  <c r="P61" i="13"/>
  <c r="S21" i="13"/>
  <c r="R94" i="13"/>
  <c r="U94" i="13" s="1"/>
  <c r="T26" i="13"/>
  <c r="Q24" i="13"/>
  <c r="T24" i="13" s="1"/>
  <c r="T141" i="13"/>
  <c r="Q139" i="13"/>
  <c r="T139" i="13" s="1"/>
  <c r="N576" i="1"/>
  <c r="N333" i="7"/>
  <c r="P333" i="7" s="1"/>
  <c r="R392" i="7"/>
  <c r="U392" i="7" s="1"/>
  <c r="L157" i="9"/>
  <c r="O157" i="9" s="1"/>
  <c r="P305" i="9"/>
  <c r="O74" i="9"/>
  <c r="P176" i="10"/>
  <c r="Q599" i="10"/>
  <c r="T599" i="10" s="1"/>
  <c r="L117" i="11"/>
  <c r="O117" i="11" s="1"/>
  <c r="O188" i="10"/>
  <c r="M493" i="11"/>
  <c r="P493" i="11" s="1"/>
  <c r="P415" i="11"/>
  <c r="O26" i="12"/>
  <c r="N20" i="12"/>
  <c r="N18" i="12" s="1"/>
  <c r="O139" i="12"/>
  <c r="R173" i="12"/>
  <c r="U173" i="12" s="1"/>
  <c r="Q413" i="12"/>
  <c r="T413" i="12" s="1"/>
  <c r="U731" i="12"/>
  <c r="M72" i="13"/>
  <c r="P72" i="13" s="1"/>
  <c r="P74" i="13"/>
  <c r="N21" i="13"/>
  <c r="P21" i="13" s="1"/>
  <c r="N20" i="13"/>
  <c r="N18" i="13" s="1"/>
  <c r="R24" i="13"/>
  <c r="U24" i="13" s="1"/>
  <c r="U26" i="13"/>
  <c r="L94" i="13"/>
  <c r="U120" i="13"/>
  <c r="T305" i="13"/>
  <c r="U139" i="13"/>
  <c r="N173" i="13"/>
  <c r="P173" i="13" s="1"/>
  <c r="R266" i="13"/>
  <c r="U266" i="13" s="1"/>
  <c r="I412" i="13"/>
  <c r="K412" i="13" s="1"/>
  <c r="K423" i="13"/>
  <c r="R642" i="13"/>
  <c r="U642" i="13" s="1"/>
  <c r="U644" i="13"/>
  <c r="P189" i="13"/>
  <c r="L513" i="13"/>
  <c r="O513" i="13" s="1"/>
  <c r="T644" i="13"/>
  <c r="Q642" i="13"/>
  <c r="T642" i="13" s="1"/>
  <c r="U692" i="13"/>
  <c r="U119" i="13"/>
  <c r="R117" i="13"/>
  <c r="U117" i="13" s="1"/>
  <c r="I71" i="13"/>
  <c r="K71" i="13" s="1"/>
  <c r="K83" i="13"/>
  <c r="U618" i="13"/>
  <c r="R616" i="13"/>
  <c r="U616" i="13" s="1"/>
  <c r="U306" i="7"/>
  <c r="Q72" i="8"/>
  <c r="T72" i="8" s="1"/>
  <c r="T616" i="9"/>
  <c r="M282" i="10"/>
  <c r="P282" i="10" s="1"/>
  <c r="L513" i="10"/>
  <c r="O513" i="10" s="1"/>
  <c r="T119" i="11"/>
  <c r="P24" i="12"/>
  <c r="Q24" i="12"/>
  <c r="T24" i="12" s="1"/>
  <c r="P141" i="12"/>
  <c r="O176" i="12"/>
  <c r="M266" i="12"/>
  <c r="P266" i="12" s="1"/>
  <c r="O358" i="12"/>
  <c r="M24" i="13"/>
  <c r="P24" i="13" s="1"/>
  <c r="O59" i="13"/>
  <c r="L266" i="13"/>
  <c r="O266" i="13" s="1"/>
  <c r="M186" i="13"/>
  <c r="L282" i="13"/>
  <c r="O282" i="13" s="1"/>
  <c r="O176" i="13"/>
  <c r="O175" i="13"/>
  <c r="P496" i="13"/>
  <c r="U305" i="13"/>
  <c r="T415" i="13"/>
  <c r="Q413" i="13"/>
  <c r="T413" i="13" s="1"/>
  <c r="O493" i="13"/>
  <c r="R728" i="13"/>
  <c r="U728" i="13" s="1"/>
  <c r="P268" i="11"/>
  <c r="T306" i="11"/>
  <c r="T413" i="11"/>
  <c r="P142" i="12"/>
  <c r="L21" i="13"/>
  <c r="L20" i="13"/>
  <c r="O23" i="13"/>
  <c r="Q94" i="13"/>
  <c r="T94" i="13" s="1"/>
  <c r="T96" i="13"/>
  <c r="O61" i="13"/>
  <c r="T188" i="13"/>
  <c r="U188" i="13"/>
  <c r="O159" i="13"/>
  <c r="L157" i="13"/>
  <c r="O157" i="13" s="1"/>
  <c r="L232" i="13"/>
  <c r="O243" i="13"/>
  <c r="U303" i="13"/>
  <c r="U394" i="13"/>
  <c r="R392" i="13"/>
  <c r="U392" i="13" s="1"/>
  <c r="Q728" i="13"/>
  <c r="T728" i="13" s="1"/>
  <c r="S555" i="1"/>
  <c r="P96" i="10"/>
  <c r="L375" i="11"/>
  <c r="O375" i="11" s="1"/>
  <c r="M555" i="11"/>
  <c r="P555" i="11" s="1"/>
  <c r="L599" i="12"/>
  <c r="O599" i="12" s="1"/>
  <c r="M320" i="12"/>
  <c r="P320" i="12" s="1"/>
  <c r="U268" i="12"/>
  <c r="R21" i="13"/>
  <c r="R20" i="13"/>
  <c r="U23" i="13"/>
  <c r="T19" i="13"/>
  <c r="P19" i="13"/>
  <c r="L24" i="13"/>
  <c r="O24" i="13" s="1"/>
  <c r="O26" i="13"/>
  <c r="M266" i="13"/>
  <c r="P266" i="13" s="1"/>
  <c r="P269" i="13"/>
  <c r="P515" i="13"/>
  <c r="M513" i="13"/>
  <c r="P513" i="13" s="1"/>
  <c r="O119" i="13"/>
  <c r="L117" i="13"/>
  <c r="O117" i="13" s="1"/>
  <c r="P358" i="13"/>
  <c r="M356" i="13"/>
  <c r="P356" i="13" s="1"/>
  <c r="T378" i="13"/>
  <c r="M493" i="13"/>
  <c r="P493" i="13" s="1"/>
  <c r="S690" i="13"/>
  <c r="U690" i="13" s="1"/>
  <c r="O62" i="9"/>
  <c r="L94" i="11"/>
  <c r="O94" i="11" s="1"/>
  <c r="L576" i="11"/>
  <c r="O576" i="11" s="1"/>
  <c r="U616" i="11"/>
  <c r="K701" i="11"/>
  <c r="L576" i="12"/>
  <c r="O576" i="12" s="1"/>
  <c r="Q20" i="13"/>
  <c r="T23" i="13"/>
  <c r="Q21" i="13"/>
  <c r="M44" i="13"/>
  <c r="P46" i="13"/>
  <c r="P23" i="13"/>
  <c r="M20" i="13"/>
  <c r="M18" i="13" s="1"/>
  <c r="L333" i="13"/>
  <c r="O333" i="13" s="1"/>
  <c r="U375" i="13"/>
  <c r="U186" i="13"/>
  <c r="T375" i="13"/>
  <c r="L94" i="8"/>
  <c r="O94" i="8" s="1"/>
  <c r="L186" i="10"/>
  <c r="O186" i="10" s="1"/>
  <c r="K701" i="9"/>
  <c r="M117" i="11"/>
  <c r="P117" i="11" s="1"/>
  <c r="Q117" i="12"/>
  <c r="T117" i="12" s="1"/>
  <c r="T74" i="12"/>
  <c r="N356" i="12"/>
  <c r="O356" i="12" s="1"/>
  <c r="P515" i="12"/>
  <c r="M513" i="12"/>
  <c r="P513" i="12" s="1"/>
  <c r="O188" i="12"/>
  <c r="P359" i="10"/>
  <c r="P46" i="12"/>
  <c r="R72" i="12"/>
  <c r="U72" i="12" s="1"/>
  <c r="S266" i="12"/>
  <c r="T266" i="12" s="1"/>
  <c r="L320" i="12"/>
  <c r="O320" i="12" s="1"/>
  <c r="M356" i="12"/>
  <c r="M534" i="12"/>
  <c r="P534" i="12" s="1"/>
  <c r="O359" i="12"/>
  <c r="U619" i="11"/>
  <c r="Q728" i="12"/>
  <c r="T728" i="12" s="1"/>
  <c r="T730" i="12"/>
  <c r="L320" i="10"/>
  <c r="O320" i="10" s="1"/>
  <c r="M282" i="11"/>
  <c r="P282" i="11" s="1"/>
  <c r="O336" i="12"/>
  <c r="R599" i="12"/>
  <c r="U599" i="12" s="1"/>
  <c r="R139" i="12"/>
  <c r="U139" i="12" s="1"/>
  <c r="T268" i="12"/>
  <c r="P266" i="10"/>
  <c r="O61" i="11"/>
  <c r="I70" i="11"/>
  <c r="K70" i="11" s="1"/>
  <c r="L157" i="12"/>
  <c r="O157" i="12" s="1"/>
  <c r="M139" i="12"/>
  <c r="P139" i="12" s="1"/>
  <c r="Q642" i="12"/>
  <c r="T642" i="12" s="1"/>
  <c r="P335" i="12"/>
  <c r="O222" i="1"/>
  <c r="O335" i="7"/>
  <c r="O46" i="10"/>
  <c r="N21" i="12"/>
  <c r="O21" i="12" s="1"/>
  <c r="R24" i="12"/>
  <c r="U24" i="12" s="1"/>
  <c r="O141" i="12"/>
  <c r="T141" i="12"/>
  <c r="R392" i="12"/>
  <c r="U392" i="12" s="1"/>
  <c r="P269" i="12"/>
  <c r="O269" i="12"/>
  <c r="L24" i="12"/>
  <c r="O24" i="12" s="1"/>
  <c r="T377" i="12"/>
  <c r="Q375" i="12"/>
  <c r="T375" i="12" s="1"/>
  <c r="O175" i="1"/>
  <c r="M413" i="7"/>
  <c r="P413" i="7" s="1"/>
  <c r="T305" i="9"/>
  <c r="Q375" i="9"/>
  <c r="T375" i="9" s="1"/>
  <c r="T619" i="9"/>
  <c r="P377" i="10"/>
  <c r="M513" i="10"/>
  <c r="P513" i="10" s="1"/>
  <c r="L555" i="10"/>
  <c r="O555" i="10" s="1"/>
  <c r="T21" i="11"/>
  <c r="M24" i="11"/>
  <c r="P24" i="11" s="1"/>
  <c r="R139" i="11"/>
  <c r="U139" i="11" s="1"/>
  <c r="M599" i="11"/>
  <c r="P599" i="11" s="1"/>
  <c r="K374" i="11"/>
  <c r="S375" i="11"/>
  <c r="U375" i="11" s="1"/>
  <c r="L20" i="12"/>
  <c r="O23" i="12"/>
  <c r="P23" i="12"/>
  <c r="M20" i="12"/>
  <c r="M21" i="12"/>
  <c r="P159" i="12"/>
  <c r="M157" i="12"/>
  <c r="P157" i="12" s="1"/>
  <c r="Q173" i="12"/>
  <c r="T173" i="12" s="1"/>
  <c r="P415" i="12"/>
  <c r="M413" i="12"/>
  <c r="P413" i="12" s="1"/>
  <c r="T690" i="12"/>
  <c r="P26" i="12"/>
  <c r="Q599" i="12"/>
  <c r="T599" i="12" s="1"/>
  <c r="T601" i="12"/>
  <c r="T763" i="8"/>
  <c r="K332" i="10"/>
  <c r="Q303" i="10"/>
  <c r="T303" i="10" s="1"/>
  <c r="R599" i="10"/>
  <c r="U599" i="10" s="1"/>
  <c r="M413" i="11"/>
  <c r="P413" i="11" s="1"/>
  <c r="T416" i="11"/>
  <c r="M303" i="11"/>
  <c r="P303" i="11" s="1"/>
  <c r="U416" i="11"/>
  <c r="R20" i="12"/>
  <c r="U23" i="12"/>
  <c r="M44" i="12"/>
  <c r="O62" i="12"/>
  <c r="R117" i="12"/>
  <c r="U117" i="12" s="1"/>
  <c r="O61" i="12"/>
  <c r="L59" i="12"/>
  <c r="O59" i="12" s="1"/>
  <c r="L94" i="12"/>
  <c r="O94" i="12" s="1"/>
  <c r="O175" i="12"/>
  <c r="P186" i="12"/>
  <c r="R616" i="12"/>
  <c r="U616" i="12" s="1"/>
  <c r="O46" i="12"/>
  <c r="Q94" i="12"/>
  <c r="T94" i="12" s="1"/>
  <c r="T692" i="12"/>
  <c r="R760" i="12"/>
  <c r="U760" i="12" s="1"/>
  <c r="U762" i="12"/>
  <c r="U119" i="10"/>
  <c r="U618" i="10"/>
  <c r="T19" i="12"/>
  <c r="P119" i="12"/>
  <c r="M117" i="12"/>
  <c r="P117" i="12" s="1"/>
  <c r="O44" i="12"/>
  <c r="T188" i="12"/>
  <c r="Q186" i="12"/>
  <c r="Q616" i="12"/>
  <c r="T616" i="12" s="1"/>
  <c r="U692" i="12"/>
  <c r="Q392" i="12"/>
  <c r="T392" i="12" s="1"/>
  <c r="U690" i="12"/>
  <c r="P305" i="8"/>
  <c r="T74" i="9"/>
  <c r="P159" i="10"/>
  <c r="R72" i="10"/>
  <c r="U72" i="10" s="1"/>
  <c r="L157" i="11"/>
  <c r="O157" i="11" s="1"/>
  <c r="I71" i="12"/>
  <c r="K71" i="12" s="1"/>
  <c r="K83" i="12"/>
  <c r="M59" i="12"/>
  <c r="P59" i="12" s="1"/>
  <c r="M72" i="12"/>
  <c r="P72" i="12" s="1"/>
  <c r="U19" i="12"/>
  <c r="L282" i="12"/>
  <c r="O282" i="12" s="1"/>
  <c r="P578" i="12"/>
  <c r="M576" i="12"/>
  <c r="P576" i="12" s="1"/>
  <c r="Q157" i="12"/>
  <c r="T157" i="12" s="1"/>
  <c r="L303" i="12"/>
  <c r="O303" i="12" s="1"/>
  <c r="R493" i="12"/>
  <c r="U493" i="12" s="1"/>
  <c r="U495" i="12"/>
  <c r="Q493" i="9"/>
  <c r="T493" i="9" s="1"/>
  <c r="M157" i="11"/>
  <c r="P157" i="11" s="1"/>
  <c r="P416" i="11"/>
  <c r="U377" i="11"/>
  <c r="Q20" i="12"/>
  <c r="Q21" i="12"/>
  <c r="T23" i="12"/>
  <c r="K82" i="12"/>
  <c r="I70" i="12"/>
  <c r="K70" i="12" s="1"/>
  <c r="M173" i="12"/>
  <c r="P173" i="12" s="1"/>
  <c r="P175" i="12"/>
  <c r="U413" i="11"/>
  <c r="L117" i="10"/>
  <c r="O117" i="10" s="1"/>
  <c r="T375" i="10"/>
  <c r="O378" i="10"/>
  <c r="S117" i="11"/>
  <c r="U117" i="11" s="1"/>
  <c r="O186" i="11"/>
  <c r="M320" i="8"/>
  <c r="P320" i="8" s="1"/>
  <c r="M320" i="9"/>
  <c r="P320" i="9" s="1"/>
  <c r="N44" i="10"/>
  <c r="O44" i="10" s="1"/>
  <c r="Q72" i="10"/>
  <c r="T72" i="10" s="1"/>
  <c r="Q173" i="11"/>
  <c r="T173" i="11" s="1"/>
  <c r="O175" i="11"/>
  <c r="U268" i="11"/>
  <c r="L534" i="11"/>
  <c r="O534" i="11" s="1"/>
  <c r="L599" i="11"/>
  <c r="O599" i="11" s="1"/>
  <c r="T730" i="11"/>
  <c r="Q139" i="11"/>
  <c r="T139" i="11" s="1"/>
  <c r="T141" i="11"/>
  <c r="S728" i="10"/>
  <c r="U728" i="10" s="1"/>
  <c r="P333" i="11"/>
  <c r="M266" i="11"/>
  <c r="P266" i="11" s="1"/>
  <c r="R186" i="11"/>
  <c r="U186" i="11" s="1"/>
  <c r="U188" i="11"/>
  <c r="L303" i="11"/>
  <c r="O303" i="11" s="1"/>
  <c r="O305" i="11"/>
  <c r="K332" i="8"/>
  <c r="U74" i="9"/>
  <c r="L232" i="11"/>
  <c r="P335" i="11"/>
  <c r="O415" i="11"/>
  <c r="L413" i="11"/>
  <c r="O413" i="11" s="1"/>
  <c r="L266" i="11"/>
  <c r="O266" i="11" s="1"/>
  <c r="O268" i="11"/>
  <c r="L20" i="11"/>
  <c r="O23" i="11"/>
  <c r="N173" i="1"/>
  <c r="P175" i="1"/>
  <c r="P94" i="8"/>
  <c r="M493" i="8"/>
  <c r="P493" i="8" s="1"/>
  <c r="M282" i="9"/>
  <c r="P282" i="9" s="1"/>
  <c r="U618" i="9"/>
  <c r="L493" i="9"/>
  <c r="O493" i="9" s="1"/>
  <c r="U75" i="9"/>
  <c r="U377" i="10"/>
  <c r="L534" i="10"/>
  <c r="O534" i="10" s="1"/>
  <c r="T730" i="10"/>
  <c r="T731" i="10"/>
  <c r="T377" i="10"/>
  <c r="Q392" i="10"/>
  <c r="T392" i="10" s="1"/>
  <c r="R20" i="11"/>
  <c r="R18" i="11" s="1"/>
  <c r="U23" i="11"/>
  <c r="N44" i="11"/>
  <c r="N40" i="11" s="1"/>
  <c r="S266" i="11"/>
  <c r="T266" i="11" s="1"/>
  <c r="L24" i="11"/>
  <c r="O24" i="11" s="1"/>
  <c r="T305" i="11"/>
  <c r="Q303" i="11"/>
  <c r="T303" i="11" s="1"/>
  <c r="U763" i="10"/>
  <c r="U119" i="11"/>
  <c r="M534" i="11"/>
  <c r="P534" i="11" s="1"/>
  <c r="T616" i="11"/>
  <c r="T693" i="11"/>
  <c r="P23" i="11"/>
  <c r="M20" i="11"/>
  <c r="P186" i="11"/>
  <c r="R392" i="11"/>
  <c r="U392" i="11" s="1"/>
  <c r="U394" i="11"/>
  <c r="U692" i="11"/>
  <c r="R690" i="11"/>
  <c r="U690" i="11" s="1"/>
  <c r="T728" i="11"/>
  <c r="O189" i="7"/>
  <c r="T19" i="11"/>
  <c r="O176" i="11"/>
  <c r="T188" i="11"/>
  <c r="Q186" i="11"/>
  <c r="T186" i="11" s="1"/>
  <c r="P123" i="1"/>
  <c r="I412" i="7"/>
  <c r="K412" i="7" s="1"/>
  <c r="M493" i="10"/>
  <c r="P493" i="10" s="1"/>
  <c r="P266" i="9"/>
  <c r="P176" i="11"/>
  <c r="M21" i="11"/>
  <c r="P21" i="11" s="1"/>
  <c r="U19" i="11"/>
  <c r="S20" i="11"/>
  <c r="S18" i="11" s="1"/>
  <c r="L333" i="11"/>
  <c r="O333" i="11" s="1"/>
  <c r="O335" i="11"/>
  <c r="M320" i="11"/>
  <c r="P320" i="11" s="1"/>
  <c r="I412" i="11"/>
  <c r="K412" i="11" s="1"/>
  <c r="K423" i="11"/>
  <c r="O188" i="11"/>
  <c r="P188" i="11"/>
  <c r="O59" i="11"/>
  <c r="P515" i="11"/>
  <c r="M513" i="11"/>
  <c r="P513" i="11" s="1"/>
  <c r="L266" i="1"/>
  <c r="K615" i="9"/>
  <c r="M555" i="9"/>
  <c r="P555" i="9" s="1"/>
  <c r="O141" i="10"/>
  <c r="R493" i="10"/>
  <c r="U493" i="10" s="1"/>
  <c r="R94" i="11"/>
  <c r="U94" i="11" s="1"/>
  <c r="N20" i="11"/>
  <c r="N18" i="11" s="1"/>
  <c r="R24" i="11"/>
  <c r="U24" i="11" s="1"/>
  <c r="P175" i="11"/>
  <c r="M173" i="11"/>
  <c r="P173" i="11" s="1"/>
  <c r="K253" i="11"/>
  <c r="I231" i="11"/>
  <c r="P358" i="11"/>
  <c r="M356" i="11"/>
  <c r="P356" i="11" s="1"/>
  <c r="T692" i="11"/>
  <c r="Q690" i="11"/>
  <c r="T690" i="11" s="1"/>
  <c r="U730" i="11"/>
  <c r="O358" i="11"/>
  <c r="T269" i="1"/>
  <c r="U117" i="9"/>
  <c r="U619" i="9"/>
  <c r="Q642" i="10"/>
  <c r="T642" i="10" s="1"/>
  <c r="Q20" i="11"/>
  <c r="T23" i="11"/>
  <c r="O46" i="11"/>
  <c r="L21" i="11"/>
  <c r="O21" i="11" s="1"/>
  <c r="Q24" i="11"/>
  <c r="T24" i="11" s="1"/>
  <c r="T26" i="11"/>
  <c r="R21" i="11"/>
  <c r="U21" i="11" s="1"/>
  <c r="L320" i="11"/>
  <c r="O320" i="11" s="1"/>
  <c r="M59" i="11"/>
  <c r="P59" i="11" s="1"/>
  <c r="O356" i="11"/>
  <c r="U728" i="11"/>
  <c r="P268" i="9"/>
  <c r="T268" i="9"/>
  <c r="M375" i="9"/>
  <c r="P375" i="9" s="1"/>
  <c r="R117" i="10"/>
  <c r="U117" i="10" s="1"/>
  <c r="M117" i="10"/>
  <c r="P117" i="10" s="1"/>
  <c r="L413" i="10"/>
  <c r="O413" i="10" s="1"/>
  <c r="N599" i="10"/>
  <c r="O599" i="10" s="1"/>
  <c r="M413" i="10"/>
  <c r="P413" i="10" s="1"/>
  <c r="P415" i="10"/>
  <c r="K374" i="8"/>
  <c r="T266" i="9"/>
  <c r="O578" i="9"/>
  <c r="R94" i="10"/>
  <c r="U94" i="10" s="1"/>
  <c r="L282" i="10"/>
  <c r="O282" i="10" s="1"/>
  <c r="O335" i="10"/>
  <c r="O188" i="5"/>
  <c r="U645" i="7"/>
  <c r="Q690" i="9"/>
  <c r="T690" i="9" s="1"/>
  <c r="Q392" i="9"/>
  <c r="T392" i="9" s="1"/>
  <c r="T75" i="9"/>
  <c r="Q72" i="9"/>
  <c r="T72" i="9" s="1"/>
  <c r="T616" i="10"/>
  <c r="O333" i="10"/>
  <c r="M555" i="10"/>
  <c r="P555" i="10" s="1"/>
  <c r="O188" i="9"/>
  <c r="T416" i="6"/>
  <c r="L413" i="7"/>
  <c r="O413" i="7" s="1"/>
  <c r="L117" i="8"/>
  <c r="O117" i="8" s="1"/>
  <c r="O415" i="9"/>
  <c r="P415" i="9"/>
  <c r="U616" i="9"/>
  <c r="U120" i="10"/>
  <c r="P175" i="10"/>
  <c r="P188" i="10"/>
  <c r="O268" i="10"/>
  <c r="U394" i="10"/>
  <c r="R392" i="10"/>
  <c r="U392" i="10" s="1"/>
  <c r="I231" i="7"/>
  <c r="I185" i="7" s="1"/>
  <c r="K185" i="7" s="1"/>
  <c r="P269" i="8"/>
  <c r="K82" i="9"/>
  <c r="P188" i="9"/>
  <c r="P335" i="10"/>
  <c r="L493" i="10"/>
  <c r="O493" i="10" s="1"/>
  <c r="P268" i="10"/>
  <c r="T186" i="8"/>
  <c r="N21" i="10"/>
  <c r="N20" i="10"/>
  <c r="N18" i="10" s="1"/>
  <c r="Q157" i="10"/>
  <c r="T157" i="10" s="1"/>
  <c r="T159" i="10"/>
  <c r="L493" i="8"/>
  <c r="O493" i="8" s="1"/>
  <c r="U375" i="8"/>
  <c r="T117" i="9"/>
  <c r="O46" i="9"/>
  <c r="O72" i="9"/>
  <c r="M59" i="10"/>
  <c r="P59" i="10" s="1"/>
  <c r="P61" i="10"/>
  <c r="T19" i="10"/>
  <c r="P141" i="10"/>
  <c r="M139" i="10"/>
  <c r="P139" i="10" s="1"/>
  <c r="O59" i="10"/>
  <c r="O377" i="10"/>
  <c r="P189" i="10"/>
  <c r="O358" i="10"/>
  <c r="L356" i="10"/>
  <c r="O356" i="10" s="1"/>
  <c r="O578" i="10"/>
  <c r="L576" i="10"/>
  <c r="O576" i="10" s="1"/>
  <c r="P322" i="10"/>
  <c r="M320" i="10"/>
  <c r="P320" i="10" s="1"/>
  <c r="R24" i="10"/>
  <c r="U24" i="10" s="1"/>
  <c r="U26" i="10"/>
  <c r="Q186" i="1"/>
  <c r="T269" i="4"/>
  <c r="O375" i="8"/>
  <c r="U378" i="8"/>
  <c r="P188" i="8"/>
  <c r="U377" i="8"/>
  <c r="P72" i="9"/>
  <c r="O141" i="9"/>
  <c r="Q173" i="9"/>
  <c r="T173" i="9" s="1"/>
  <c r="T119" i="9"/>
  <c r="U762" i="9"/>
  <c r="L186" i="9"/>
  <c r="O186" i="9" s="1"/>
  <c r="M72" i="10"/>
  <c r="P72" i="10" s="1"/>
  <c r="P74" i="10"/>
  <c r="P23" i="10"/>
  <c r="M20" i="10"/>
  <c r="P24" i="10"/>
  <c r="L94" i="10"/>
  <c r="O94" i="10" s="1"/>
  <c r="O61" i="10"/>
  <c r="K82" i="10"/>
  <c r="I70" i="10"/>
  <c r="K70" i="10" s="1"/>
  <c r="P186" i="10"/>
  <c r="U159" i="10"/>
  <c r="R157" i="10"/>
  <c r="U157" i="10" s="1"/>
  <c r="M576" i="10"/>
  <c r="P576" i="10" s="1"/>
  <c r="P601" i="10"/>
  <c r="M599" i="10"/>
  <c r="R642" i="10"/>
  <c r="U642" i="10" s="1"/>
  <c r="U644" i="10"/>
  <c r="T266" i="10"/>
  <c r="M333" i="10"/>
  <c r="P333" i="10" s="1"/>
  <c r="K374" i="10"/>
  <c r="U619" i="10"/>
  <c r="P141" i="9"/>
  <c r="U731" i="10"/>
  <c r="M44" i="10"/>
  <c r="P46" i="10"/>
  <c r="Q117" i="10"/>
  <c r="T117" i="10" s="1"/>
  <c r="T119" i="10"/>
  <c r="O175" i="10"/>
  <c r="L173" i="10"/>
  <c r="O173" i="10" s="1"/>
  <c r="R139" i="10"/>
  <c r="U139" i="10" s="1"/>
  <c r="U141" i="10"/>
  <c r="P358" i="10"/>
  <c r="M356" i="10"/>
  <c r="P356" i="10" s="1"/>
  <c r="K374" i="3"/>
  <c r="R392" i="5"/>
  <c r="U392" i="5" s="1"/>
  <c r="Q728" i="6"/>
  <c r="T728" i="6" s="1"/>
  <c r="T378" i="7"/>
  <c r="P175" i="8"/>
  <c r="Q139" i="8"/>
  <c r="T139" i="8" s="1"/>
  <c r="N186" i="8"/>
  <c r="P186" i="8" s="1"/>
  <c r="T377" i="8"/>
  <c r="O377" i="8"/>
  <c r="L534" i="8"/>
  <c r="O534" i="8" s="1"/>
  <c r="O415" i="8"/>
  <c r="P46" i="9"/>
  <c r="T306" i="9"/>
  <c r="P96" i="9"/>
  <c r="L173" i="9"/>
  <c r="O173" i="9" s="1"/>
  <c r="P139" i="9"/>
  <c r="M413" i="9"/>
  <c r="P413" i="9" s="1"/>
  <c r="R728" i="9"/>
  <c r="U728" i="9" s="1"/>
  <c r="L413" i="9"/>
  <c r="O413" i="9" s="1"/>
  <c r="P495" i="9"/>
  <c r="Q20" i="10"/>
  <c r="Q18" i="10" s="1"/>
  <c r="T23" i="10"/>
  <c r="Q21" i="10"/>
  <c r="T21" i="10" s="1"/>
  <c r="S20" i="10"/>
  <c r="S18" i="10" s="1"/>
  <c r="M18" i="10"/>
  <c r="P19" i="10"/>
  <c r="L24" i="10"/>
  <c r="O24" i="10" s="1"/>
  <c r="O26" i="10"/>
  <c r="U266" i="10"/>
  <c r="T141" i="10"/>
  <c r="Q139" i="10"/>
  <c r="T139" i="10" s="1"/>
  <c r="L266" i="10"/>
  <c r="O266" i="10" s="1"/>
  <c r="O322" i="9"/>
  <c r="L320" i="9"/>
  <c r="O320" i="9" s="1"/>
  <c r="L375" i="10"/>
  <c r="L157" i="10"/>
  <c r="O157" i="10" s="1"/>
  <c r="N375" i="10"/>
  <c r="P375" i="10" s="1"/>
  <c r="U378" i="7"/>
  <c r="U269" i="9"/>
  <c r="M534" i="9"/>
  <c r="P534" i="9" s="1"/>
  <c r="Q599" i="9"/>
  <c r="T599" i="9" s="1"/>
  <c r="P333" i="9"/>
  <c r="L21" i="10"/>
  <c r="L20" i="10"/>
  <c r="O23" i="10"/>
  <c r="P26" i="10"/>
  <c r="O243" i="10"/>
  <c r="L232" i="10"/>
  <c r="M534" i="10"/>
  <c r="P534" i="10" s="1"/>
  <c r="U616" i="10"/>
  <c r="R375" i="10"/>
  <c r="U375" i="10" s="1"/>
  <c r="T306" i="5"/>
  <c r="T416" i="5"/>
  <c r="P176" i="6"/>
  <c r="R72" i="8"/>
  <c r="U72" i="8" s="1"/>
  <c r="U731" i="8"/>
  <c r="N20" i="9"/>
  <c r="N18" i="9" s="1"/>
  <c r="O335" i="9"/>
  <c r="M24" i="9"/>
  <c r="P24" i="9" s="1"/>
  <c r="L117" i="9"/>
  <c r="O117" i="9" s="1"/>
  <c r="U305" i="9"/>
  <c r="R493" i="9"/>
  <c r="U493" i="9" s="1"/>
  <c r="T731" i="9"/>
  <c r="R642" i="9"/>
  <c r="U642" i="9" s="1"/>
  <c r="T188" i="8"/>
  <c r="P269" i="9"/>
  <c r="R21" i="10"/>
  <c r="U21" i="10" s="1"/>
  <c r="R20" i="10"/>
  <c r="U23" i="10"/>
  <c r="Q94" i="10"/>
  <c r="T94" i="10" s="1"/>
  <c r="T96" i="10"/>
  <c r="M21" i="10"/>
  <c r="U269" i="10"/>
  <c r="P305" i="10"/>
  <c r="M303" i="10"/>
  <c r="P303" i="10" s="1"/>
  <c r="U175" i="10"/>
  <c r="R173" i="10"/>
  <c r="U173" i="10" s="1"/>
  <c r="I412" i="10"/>
  <c r="K412" i="10" s="1"/>
  <c r="K423" i="10"/>
  <c r="T618" i="10"/>
  <c r="Q413" i="10"/>
  <c r="T413" i="10" s="1"/>
  <c r="L72" i="7"/>
  <c r="O72" i="7" s="1"/>
  <c r="P359" i="7"/>
  <c r="T619" i="7"/>
  <c r="P189" i="8"/>
  <c r="U189" i="8"/>
  <c r="U72" i="9"/>
  <c r="S303" i="9"/>
  <c r="U303" i="9" s="1"/>
  <c r="U26" i="9"/>
  <c r="Q642" i="4"/>
  <c r="T642" i="4" s="1"/>
  <c r="O268" i="7"/>
  <c r="O47" i="8"/>
  <c r="Q24" i="8"/>
  <c r="T24" i="8" s="1"/>
  <c r="M44" i="9"/>
  <c r="P44" i="9" s="1"/>
  <c r="M599" i="9"/>
  <c r="P599" i="9" s="1"/>
  <c r="P74" i="9"/>
  <c r="M117" i="9"/>
  <c r="P117" i="9" s="1"/>
  <c r="U375" i="7"/>
  <c r="Q599" i="8"/>
  <c r="T599" i="8" s="1"/>
  <c r="S20" i="9"/>
  <c r="S18" i="9" s="1"/>
  <c r="Q94" i="9"/>
  <c r="T94" i="9" s="1"/>
  <c r="O576" i="9"/>
  <c r="R728" i="8"/>
  <c r="U728" i="8" s="1"/>
  <c r="M186" i="9"/>
  <c r="P186" i="9" s="1"/>
  <c r="R24" i="9"/>
  <c r="U24" i="9" s="1"/>
  <c r="U269" i="8"/>
  <c r="U119" i="9"/>
  <c r="T269" i="7"/>
  <c r="T377" i="7"/>
  <c r="U268" i="7"/>
  <c r="P24" i="8"/>
  <c r="U21" i="9"/>
  <c r="O269" i="9"/>
  <c r="R599" i="9"/>
  <c r="U599" i="9" s="1"/>
  <c r="T186" i="9"/>
  <c r="T394" i="2"/>
  <c r="U303" i="7"/>
  <c r="L266" i="7"/>
  <c r="O266" i="7" s="1"/>
  <c r="T269" i="8"/>
  <c r="P266" i="8"/>
  <c r="S20" i="8"/>
  <c r="S18" i="8" s="1"/>
  <c r="Q728" i="8"/>
  <c r="T728" i="8" s="1"/>
  <c r="R94" i="9"/>
  <c r="U94" i="9" s="1"/>
  <c r="U159" i="9"/>
  <c r="R157" i="9"/>
  <c r="U157" i="9" s="1"/>
  <c r="Q24" i="9"/>
  <c r="T24" i="9" s="1"/>
  <c r="T26" i="9"/>
  <c r="L139" i="9"/>
  <c r="O139" i="9" s="1"/>
  <c r="U141" i="9"/>
  <c r="L333" i="9"/>
  <c r="O333" i="9" s="1"/>
  <c r="U377" i="9"/>
  <c r="R375" i="9"/>
  <c r="U375" i="9" s="1"/>
  <c r="U693" i="9"/>
  <c r="S760" i="9"/>
  <c r="P335" i="9"/>
  <c r="T413" i="9"/>
  <c r="L599" i="9"/>
  <c r="O599" i="9" s="1"/>
  <c r="M173" i="9"/>
  <c r="P173" i="9" s="1"/>
  <c r="P175" i="9"/>
  <c r="N72" i="1"/>
  <c r="O74" i="1"/>
  <c r="Q760" i="6"/>
  <c r="T760" i="6" s="1"/>
  <c r="L555" i="7"/>
  <c r="O555" i="7" s="1"/>
  <c r="T306" i="8"/>
  <c r="O46" i="8"/>
  <c r="L139" i="8"/>
  <c r="O139" i="8" s="1"/>
  <c r="P23" i="9"/>
  <c r="M20" i="9"/>
  <c r="L24" i="9"/>
  <c r="O24" i="9" s="1"/>
  <c r="T139" i="9"/>
  <c r="T188" i="9"/>
  <c r="O284" i="9"/>
  <c r="L282" i="9"/>
  <c r="O282" i="9" s="1"/>
  <c r="O305" i="9"/>
  <c r="L303" i="9"/>
  <c r="O303" i="9" s="1"/>
  <c r="T415" i="9"/>
  <c r="U139" i="9"/>
  <c r="K332" i="9"/>
  <c r="N356" i="9"/>
  <c r="P356" i="9" s="1"/>
  <c r="O358" i="9"/>
  <c r="P578" i="9"/>
  <c r="M576" i="9"/>
  <c r="P576" i="9" s="1"/>
  <c r="I71" i="9"/>
  <c r="K71" i="9" s="1"/>
  <c r="K83" i="9"/>
  <c r="S493" i="1"/>
  <c r="P358" i="7"/>
  <c r="P333" i="8"/>
  <c r="P19" i="9"/>
  <c r="U188" i="9"/>
  <c r="R186" i="9"/>
  <c r="U186" i="9" s="1"/>
  <c r="T730" i="9"/>
  <c r="Q728" i="9"/>
  <c r="T728" i="9" s="1"/>
  <c r="O46" i="1"/>
  <c r="O495" i="2"/>
  <c r="P268" i="6"/>
  <c r="R303" i="6"/>
  <c r="U303" i="6" s="1"/>
  <c r="Q139" i="7"/>
  <c r="T139" i="7" s="1"/>
  <c r="T731" i="7"/>
  <c r="I231" i="8"/>
  <c r="K231" i="8" s="1"/>
  <c r="M534" i="8"/>
  <c r="P534" i="8" s="1"/>
  <c r="N21" i="9"/>
  <c r="O21" i="9" s="1"/>
  <c r="T141" i="9"/>
  <c r="O243" i="9"/>
  <c r="L232" i="9"/>
  <c r="M59" i="9"/>
  <c r="P59" i="9" s="1"/>
  <c r="Q303" i="9"/>
  <c r="O44" i="9"/>
  <c r="O377" i="9"/>
  <c r="L375" i="9"/>
  <c r="O375" i="9" s="1"/>
  <c r="L555" i="9"/>
  <c r="O555" i="9" s="1"/>
  <c r="R20" i="9"/>
  <c r="U23" i="9"/>
  <c r="P119" i="8"/>
  <c r="M117" i="8"/>
  <c r="P117" i="8" s="1"/>
  <c r="P186" i="7"/>
  <c r="Q20" i="9"/>
  <c r="T23" i="9"/>
  <c r="Q21" i="9"/>
  <c r="T21" i="9" s="1"/>
  <c r="I231" i="9"/>
  <c r="K242" i="9"/>
  <c r="P74" i="1"/>
  <c r="O268" i="6"/>
  <c r="P96" i="7"/>
  <c r="T303" i="8"/>
  <c r="L20" i="9"/>
  <c r="O23" i="9"/>
  <c r="L94" i="9"/>
  <c r="O94" i="9" s="1"/>
  <c r="L59" i="9"/>
  <c r="O59" i="9" s="1"/>
  <c r="O61" i="9"/>
  <c r="M94" i="9"/>
  <c r="P94" i="9" s="1"/>
  <c r="U415" i="9"/>
  <c r="R413" i="9"/>
  <c r="U413" i="9" s="1"/>
  <c r="L513" i="9"/>
  <c r="O513" i="9" s="1"/>
  <c r="R266" i="9"/>
  <c r="U266" i="9" s="1"/>
  <c r="P358" i="9"/>
  <c r="U19" i="9"/>
  <c r="L266" i="9"/>
  <c r="O266" i="9" s="1"/>
  <c r="M303" i="9"/>
  <c r="P303" i="9" s="1"/>
  <c r="P359" i="9"/>
  <c r="M576" i="4"/>
  <c r="P576" i="4" s="1"/>
  <c r="O186" i="3"/>
  <c r="Q392" i="7"/>
  <c r="T392" i="7" s="1"/>
  <c r="M534" i="7"/>
  <c r="P534" i="7" s="1"/>
  <c r="P47" i="8"/>
  <c r="L282" i="8"/>
  <c r="O282" i="8" s="1"/>
  <c r="N356" i="8"/>
  <c r="P356" i="8" s="1"/>
  <c r="P159" i="8"/>
  <c r="S266" i="1"/>
  <c r="P97" i="3"/>
  <c r="L117" i="3"/>
  <c r="O117" i="3" s="1"/>
  <c r="P96" i="6"/>
  <c r="T377" i="6"/>
  <c r="K332" i="7"/>
  <c r="T117" i="6"/>
  <c r="U97" i="8"/>
  <c r="T266" i="8"/>
  <c r="P578" i="8"/>
  <c r="M576" i="8"/>
  <c r="P576" i="8" s="1"/>
  <c r="L266" i="8"/>
  <c r="O266" i="8" s="1"/>
  <c r="O268" i="8"/>
  <c r="Q94" i="4"/>
  <c r="T94" i="4" s="1"/>
  <c r="P175" i="7"/>
  <c r="R266" i="7"/>
  <c r="U266" i="7" s="1"/>
  <c r="P189" i="7"/>
  <c r="M493" i="7"/>
  <c r="P493" i="7" s="1"/>
  <c r="K374" i="7"/>
  <c r="L303" i="8"/>
  <c r="O303" i="8" s="1"/>
  <c r="T305" i="8"/>
  <c r="P601" i="8"/>
  <c r="M599" i="8"/>
  <c r="P599" i="8" s="1"/>
  <c r="P358" i="8"/>
  <c r="P336" i="8"/>
  <c r="T269" i="6"/>
  <c r="O186" i="6"/>
  <c r="M157" i="7"/>
  <c r="P157" i="7" s="1"/>
  <c r="P268" i="8"/>
  <c r="L232" i="8"/>
  <c r="U619" i="8"/>
  <c r="N157" i="8"/>
  <c r="P157" i="8" s="1"/>
  <c r="M555" i="3"/>
  <c r="P555" i="3" s="1"/>
  <c r="O74" i="8"/>
  <c r="P415" i="8"/>
  <c r="M173" i="8"/>
  <c r="P173" i="8" s="1"/>
  <c r="N413" i="8"/>
  <c r="O413" i="8" s="1"/>
  <c r="U413" i="8"/>
  <c r="T413" i="8"/>
  <c r="N186" i="5"/>
  <c r="O186" i="5" s="1"/>
  <c r="U415" i="5"/>
  <c r="P576" i="5"/>
  <c r="P601" i="6"/>
  <c r="O186" i="7"/>
  <c r="P61" i="8"/>
  <c r="R20" i="8"/>
  <c r="U23" i="8"/>
  <c r="U94" i="8"/>
  <c r="T159" i="8"/>
  <c r="Q157" i="8"/>
  <c r="T157" i="8" s="1"/>
  <c r="R21" i="8"/>
  <c r="L173" i="8"/>
  <c r="O173" i="8" s="1"/>
  <c r="O175" i="8"/>
  <c r="I71" i="8"/>
  <c r="K71" i="8" s="1"/>
  <c r="K83" i="8"/>
  <c r="P23" i="8"/>
  <c r="M20" i="8"/>
  <c r="M18" i="8" s="1"/>
  <c r="R157" i="8"/>
  <c r="U157" i="8" s="1"/>
  <c r="U159" i="8"/>
  <c r="P335" i="8"/>
  <c r="T94" i="8"/>
  <c r="P377" i="8"/>
  <c r="M375" i="8"/>
  <c r="P375" i="8" s="1"/>
  <c r="P416" i="6"/>
  <c r="O359" i="7"/>
  <c r="T644" i="7"/>
  <c r="U619" i="7"/>
  <c r="Q72" i="7"/>
  <c r="T72" i="7" s="1"/>
  <c r="O62" i="8"/>
  <c r="R24" i="8"/>
  <c r="U24" i="8" s="1"/>
  <c r="K82" i="8"/>
  <c r="I70" i="8"/>
  <c r="K70" i="8" s="1"/>
  <c r="O159" i="8"/>
  <c r="L157" i="8"/>
  <c r="O157" i="8" s="1"/>
  <c r="R493" i="8"/>
  <c r="U493" i="8" s="1"/>
  <c r="L186" i="8"/>
  <c r="P19" i="8"/>
  <c r="Q616" i="8"/>
  <c r="T616" i="8" s="1"/>
  <c r="T618" i="8"/>
  <c r="M282" i="6"/>
  <c r="P282" i="6" s="1"/>
  <c r="P26" i="5"/>
  <c r="Q24" i="5"/>
  <c r="T24" i="5" s="1"/>
  <c r="M303" i="7"/>
  <c r="P303" i="7" s="1"/>
  <c r="O305" i="7"/>
  <c r="O375" i="7"/>
  <c r="O61" i="8"/>
  <c r="L59" i="8"/>
  <c r="U141" i="8"/>
  <c r="R139" i="8"/>
  <c r="U139" i="8" s="1"/>
  <c r="O24" i="8"/>
  <c r="P515" i="8"/>
  <c r="M513" i="8"/>
  <c r="P513" i="8" s="1"/>
  <c r="P141" i="8"/>
  <c r="M139" i="8"/>
  <c r="P139" i="8" s="1"/>
  <c r="R303" i="8"/>
  <c r="U303" i="8" s="1"/>
  <c r="R616" i="8"/>
  <c r="U616" i="8" s="1"/>
  <c r="Q392" i="8"/>
  <c r="T392" i="8" s="1"/>
  <c r="T394" i="8"/>
  <c r="Q642" i="8"/>
  <c r="T642" i="8" s="1"/>
  <c r="N44" i="8"/>
  <c r="Q375" i="8"/>
  <c r="T375" i="8" s="1"/>
  <c r="I412" i="8"/>
  <c r="K412" i="8" s="1"/>
  <c r="K423" i="8"/>
  <c r="U377" i="7"/>
  <c r="O359" i="1"/>
  <c r="U616" i="4"/>
  <c r="S94" i="6"/>
  <c r="T94" i="6" s="1"/>
  <c r="R186" i="6"/>
  <c r="U186" i="6" s="1"/>
  <c r="U413" i="4"/>
  <c r="O601" i="6"/>
  <c r="S20" i="7"/>
  <c r="S18" i="7" s="1"/>
  <c r="P26" i="7"/>
  <c r="M282" i="7"/>
  <c r="P282" i="7" s="1"/>
  <c r="O377" i="7"/>
  <c r="O358" i="7"/>
  <c r="P188" i="7"/>
  <c r="P173" i="7"/>
  <c r="T96" i="8"/>
  <c r="U119" i="8"/>
  <c r="R117" i="8"/>
  <c r="U117" i="8" s="1"/>
  <c r="M413" i="8"/>
  <c r="U96" i="8"/>
  <c r="M555" i="8"/>
  <c r="P555" i="8" s="1"/>
  <c r="R392" i="8"/>
  <c r="U392" i="8" s="1"/>
  <c r="U394" i="8"/>
  <c r="M21" i="8"/>
  <c r="L555" i="8"/>
  <c r="O555" i="8" s="1"/>
  <c r="Q20" i="8"/>
  <c r="T20" i="8" s="1"/>
  <c r="Q21" i="8"/>
  <c r="T23" i="8"/>
  <c r="T19" i="8"/>
  <c r="O19" i="8"/>
  <c r="T415" i="8"/>
  <c r="U415" i="8"/>
  <c r="N21" i="8"/>
  <c r="O21" i="8" s="1"/>
  <c r="N20" i="8"/>
  <c r="N18" i="8" s="1"/>
  <c r="O578" i="8"/>
  <c r="L576" i="8"/>
  <c r="O576" i="8" s="1"/>
  <c r="U141" i="1"/>
  <c r="L282" i="4"/>
  <c r="O282" i="4" s="1"/>
  <c r="R599" i="4"/>
  <c r="U599" i="4" s="1"/>
  <c r="Q173" i="5"/>
  <c r="T173" i="5" s="1"/>
  <c r="K332" i="6"/>
  <c r="R760" i="6"/>
  <c r="U760" i="6" s="1"/>
  <c r="U616" i="7"/>
  <c r="M555" i="7"/>
  <c r="P555" i="7" s="1"/>
  <c r="Q599" i="7"/>
  <c r="T599" i="7" s="1"/>
  <c r="P378" i="7"/>
  <c r="P46" i="8"/>
  <c r="S21" i="8"/>
  <c r="O26" i="8"/>
  <c r="P96" i="8"/>
  <c r="M59" i="8"/>
  <c r="P59" i="8" s="1"/>
  <c r="L20" i="8"/>
  <c r="O20" i="8" s="1"/>
  <c r="O23" i="8"/>
  <c r="M72" i="8"/>
  <c r="P72" i="8" s="1"/>
  <c r="L320" i="8"/>
  <c r="O320" i="8" s="1"/>
  <c r="T119" i="8"/>
  <c r="Q117" i="8"/>
  <c r="T117" i="8" s="1"/>
  <c r="O335" i="8"/>
  <c r="O416" i="8"/>
  <c r="P26" i="8"/>
  <c r="R186" i="8"/>
  <c r="U186" i="8" s="1"/>
  <c r="Q493" i="8"/>
  <c r="T493" i="8" s="1"/>
  <c r="M282" i="8"/>
  <c r="P282" i="8" s="1"/>
  <c r="P284" i="8"/>
  <c r="Q690" i="8"/>
  <c r="T690" i="8" s="1"/>
  <c r="L333" i="8"/>
  <c r="O333" i="8" s="1"/>
  <c r="U601" i="8"/>
  <c r="R599" i="8"/>
  <c r="U599" i="8" s="1"/>
  <c r="U763" i="8"/>
  <c r="K626" i="1"/>
  <c r="U763" i="4"/>
  <c r="R642" i="5"/>
  <c r="U642" i="5" s="1"/>
  <c r="U731" i="6"/>
  <c r="O173" i="7"/>
  <c r="L576" i="6"/>
  <c r="O576" i="6" s="1"/>
  <c r="P268" i="7"/>
  <c r="O601" i="1"/>
  <c r="S59" i="1"/>
  <c r="O335" i="3"/>
  <c r="K374" i="4"/>
  <c r="R493" i="4"/>
  <c r="U493" i="4" s="1"/>
  <c r="O322" i="5"/>
  <c r="O333" i="6"/>
  <c r="P335" i="6"/>
  <c r="O188" i="6"/>
  <c r="P415" i="6"/>
  <c r="M24" i="7"/>
  <c r="P24" i="7" s="1"/>
  <c r="R72" i="7"/>
  <c r="U72" i="7" s="1"/>
  <c r="P119" i="7"/>
  <c r="O188" i="7"/>
  <c r="P377" i="7"/>
  <c r="M375" i="7"/>
  <c r="P375" i="7" s="1"/>
  <c r="O46" i="7"/>
  <c r="P358" i="4"/>
  <c r="U415" i="4"/>
  <c r="O359" i="5"/>
  <c r="L139" i="6"/>
  <c r="O139" i="6" s="1"/>
  <c r="P188" i="6"/>
  <c r="O358" i="6"/>
  <c r="O119" i="7"/>
  <c r="O175" i="7"/>
  <c r="Q186" i="7"/>
  <c r="T186" i="7" s="1"/>
  <c r="M320" i="7"/>
  <c r="P320" i="7" s="1"/>
  <c r="U644" i="7"/>
  <c r="P358" i="1"/>
  <c r="U495" i="1"/>
  <c r="T495" i="1"/>
  <c r="U141" i="5"/>
  <c r="O46" i="5"/>
  <c r="I231" i="5"/>
  <c r="K231" i="5" s="1"/>
  <c r="R139" i="6"/>
  <c r="U139" i="6" s="1"/>
  <c r="Q157" i="6"/>
  <c r="T157" i="6" s="1"/>
  <c r="O269" i="6"/>
  <c r="M576" i="6"/>
  <c r="P576" i="6" s="1"/>
  <c r="P189" i="6"/>
  <c r="O62" i="6"/>
  <c r="S616" i="6"/>
  <c r="T616" i="6" s="1"/>
  <c r="K374" i="6"/>
  <c r="U377" i="6"/>
  <c r="O141" i="7"/>
  <c r="Q413" i="7"/>
  <c r="T413" i="7" s="1"/>
  <c r="T616" i="7"/>
  <c r="U642" i="7"/>
  <c r="T642" i="7"/>
  <c r="P266" i="7"/>
  <c r="R728" i="1"/>
  <c r="L513" i="4"/>
  <c r="O513" i="4" s="1"/>
  <c r="T619" i="4"/>
  <c r="P269" i="5"/>
  <c r="L320" i="6"/>
  <c r="O320" i="6" s="1"/>
  <c r="M599" i="6"/>
  <c r="P599" i="6" s="1"/>
  <c r="M59" i="7"/>
  <c r="P59" i="7" s="1"/>
  <c r="P61" i="7"/>
  <c r="P23" i="7"/>
  <c r="M20" i="7"/>
  <c r="M18" i="7" s="1"/>
  <c r="N21" i="7"/>
  <c r="P21" i="7" s="1"/>
  <c r="N20" i="7"/>
  <c r="N18" i="7" s="1"/>
  <c r="O96" i="7"/>
  <c r="L94" i="7"/>
  <c r="O94" i="7" s="1"/>
  <c r="O59" i="7"/>
  <c r="L356" i="7"/>
  <c r="O356" i="7" s="1"/>
  <c r="L513" i="7"/>
  <c r="O513" i="7" s="1"/>
  <c r="O515" i="7"/>
  <c r="U760" i="7"/>
  <c r="I71" i="7"/>
  <c r="K71" i="7" s="1"/>
  <c r="K83" i="7"/>
  <c r="O123" i="1"/>
  <c r="O358" i="2"/>
  <c r="M157" i="1"/>
  <c r="R728" i="2"/>
  <c r="U728" i="2" s="1"/>
  <c r="R714" i="1"/>
  <c r="U714" i="1" s="1"/>
  <c r="T141" i="1"/>
  <c r="U693" i="4"/>
  <c r="O141" i="5"/>
  <c r="T141" i="5"/>
  <c r="P175" i="5"/>
  <c r="T415" i="5"/>
  <c r="T693" i="5"/>
  <c r="U618" i="5"/>
  <c r="R375" i="6"/>
  <c r="U375" i="6" s="1"/>
  <c r="M72" i="7"/>
  <c r="P72" i="7" s="1"/>
  <c r="P74" i="7"/>
  <c r="O61" i="7"/>
  <c r="R139" i="7"/>
  <c r="U139" i="7" s="1"/>
  <c r="U141" i="7"/>
  <c r="U159" i="7"/>
  <c r="R157" i="7"/>
  <c r="U157" i="7" s="1"/>
  <c r="T26" i="7"/>
  <c r="Q24" i="7"/>
  <c r="T24" i="7" s="1"/>
  <c r="L282" i="7"/>
  <c r="O282" i="7" s="1"/>
  <c r="O284" i="7"/>
  <c r="R173" i="7"/>
  <c r="U173" i="7" s="1"/>
  <c r="Q117" i="7"/>
  <c r="T117" i="7" s="1"/>
  <c r="T119" i="7"/>
  <c r="O495" i="7"/>
  <c r="L493" i="7"/>
  <c r="O493" i="7" s="1"/>
  <c r="L576" i="7"/>
  <c r="O576" i="7" s="1"/>
  <c r="J615" i="7"/>
  <c r="K615" i="7" s="1"/>
  <c r="K626" i="7"/>
  <c r="Q94" i="7"/>
  <c r="T94" i="7" s="1"/>
  <c r="T96" i="7"/>
  <c r="O61" i="1"/>
  <c r="P65" i="5"/>
  <c r="T269" i="5"/>
  <c r="L24" i="6"/>
  <c r="O24" i="6" s="1"/>
  <c r="O74" i="6"/>
  <c r="L303" i="6"/>
  <c r="O303" i="6" s="1"/>
  <c r="P358" i="6"/>
  <c r="M555" i="6"/>
  <c r="P555" i="6" s="1"/>
  <c r="O416" i="6"/>
  <c r="R642" i="6"/>
  <c r="U642" i="6" s="1"/>
  <c r="R690" i="6"/>
  <c r="U690" i="6" s="1"/>
  <c r="T731" i="6"/>
  <c r="Q20" i="7"/>
  <c r="T23" i="7"/>
  <c r="Q21" i="7"/>
  <c r="T21" i="7" s="1"/>
  <c r="P19" i="7"/>
  <c r="K82" i="7"/>
  <c r="I70" i="7"/>
  <c r="K70" i="7" s="1"/>
  <c r="L320" i="7"/>
  <c r="O320" i="7" s="1"/>
  <c r="O322" i="7"/>
  <c r="L232" i="7"/>
  <c r="U495" i="7"/>
  <c r="R493" i="7"/>
  <c r="U493" i="7" s="1"/>
  <c r="R599" i="7"/>
  <c r="U599" i="7" s="1"/>
  <c r="L599" i="7"/>
  <c r="O599" i="7" s="1"/>
  <c r="T762" i="7"/>
  <c r="T618" i="7"/>
  <c r="R728" i="7"/>
  <c r="U728" i="7" s="1"/>
  <c r="R21" i="7"/>
  <c r="U21" i="7" s="1"/>
  <c r="R20" i="7"/>
  <c r="U23" i="7"/>
  <c r="U415" i="3"/>
  <c r="O175" i="5"/>
  <c r="P359" i="5"/>
  <c r="M282" i="5"/>
  <c r="P282" i="5" s="1"/>
  <c r="O578" i="5"/>
  <c r="M303" i="6"/>
  <c r="P303" i="6" s="1"/>
  <c r="R72" i="6"/>
  <c r="U72" i="6" s="1"/>
  <c r="T120" i="6"/>
  <c r="M493" i="6"/>
  <c r="P493" i="6" s="1"/>
  <c r="U119" i="6"/>
  <c r="L21" i="7"/>
  <c r="L20" i="7"/>
  <c r="O23" i="7"/>
  <c r="L24" i="7"/>
  <c r="O24" i="7" s="1"/>
  <c r="O26" i="7"/>
  <c r="Q157" i="7"/>
  <c r="T157" i="7" s="1"/>
  <c r="T159" i="7"/>
  <c r="P141" i="7"/>
  <c r="M139" i="7"/>
  <c r="P139" i="7" s="1"/>
  <c r="R94" i="7"/>
  <c r="U94" i="7" s="1"/>
  <c r="L117" i="7"/>
  <c r="O117" i="7" s="1"/>
  <c r="Q375" i="7"/>
  <c r="T375" i="7" s="1"/>
  <c r="R413" i="7"/>
  <c r="U413" i="7" s="1"/>
  <c r="P356" i="7"/>
  <c r="P578" i="7"/>
  <c r="M576" i="7"/>
  <c r="P576" i="7" s="1"/>
  <c r="L333" i="7"/>
  <c r="U618" i="7"/>
  <c r="M375" i="6"/>
  <c r="P375" i="6" s="1"/>
  <c r="U762" i="7"/>
  <c r="O269" i="7"/>
  <c r="M513" i="7"/>
  <c r="P513" i="7" s="1"/>
  <c r="P601" i="7"/>
  <c r="M599" i="7"/>
  <c r="P599" i="7" s="1"/>
  <c r="O377" i="6"/>
  <c r="L375" i="6"/>
  <c r="O375" i="6" s="1"/>
  <c r="L534" i="7"/>
  <c r="O534" i="7" s="1"/>
  <c r="O536" i="7"/>
  <c r="L493" i="4"/>
  <c r="O493" i="4" s="1"/>
  <c r="U269" i="5"/>
  <c r="L493" i="6"/>
  <c r="O493" i="6" s="1"/>
  <c r="M44" i="7"/>
  <c r="P46" i="7"/>
  <c r="T19" i="7"/>
  <c r="R24" i="7"/>
  <c r="U24" i="7" s="1"/>
  <c r="U26" i="7"/>
  <c r="O44" i="7"/>
  <c r="U119" i="7"/>
  <c r="R117" i="7"/>
  <c r="U117" i="7" s="1"/>
  <c r="O159" i="7"/>
  <c r="L157" i="7"/>
  <c r="O157" i="7" s="1"/>
  <c r="T305" i="7"/>
  <c r="Q303" i="7"/>
  <c r="T303" i="7" s="1"/>
  <c r="Q728" i="7"/>
  <c r="T728" i="7" s="1"/>
  <c r="U495" i="5"/>
  <c r="O21" i="6"/>
  <c r="R157" i="6"/>
  <c r="U157" i="6" s="1"/>
  <c r="P119" i="6"/>
  <c r="L555" i="6"/>
  <c r="O555" i="6" s="1"/>
  <c r="M413" i="6"/>
  <c r="P413" i="6" s="1"/>
  <c r="N59" i="1"/>
  <c r="P46" i="2"/>
  <c r="P356" i="2"/>
  <c r="U119" i="4"/>
  <c r="T119" i="4"/>
  <c r="Q493" i="5"/>
  <c r="T493" i="5" s="1"/>
  <c r="M24" i="6"/>
  <c r="P24" i="6" s="1"/>
  <c r="M72" i="6"/>
  <c r="P72" i="6" s="1"/>
  <c r="Q139" i="6"/>
  <c r="T139" i="6" s="1"/>
  <c r="R266" i="6"/>
  <c r="U266" i="6" s="1"/>
  <c r="P333" i="6"/>
  <c r="O599" i="6"/>
  <c r="Q493" i="6"/>
  <c r="T493" i="6" s="1"/>
  <c r="N266" i="6"/>
  <c r="P266" i="6" s="1"/>
  <c r="T119" i="6"/>
  <c r="P61" i="1"/>
  <c r="T375" i="3"/>
  <c r="P94" i="3"/>
  <c r="U96" i="6"/>
  <c r="P173" i="6"/>
  <c r="U618" i="6"/>
  <c r="R24" i="6"/>
  <c r="U24" i="6" s="1"/>
  <c r="K701" i="4"/>
  <c r="Q157" i="5"/>
  <c r="T157" i="5" s="1"/>
  <c r="P175" i="6"/>
  <c r="S20" i="6"/>
  <c r="S18" i="6" s="1"/>
  <c r="Q186" i="6"/>
  <c r="T186" i="6" s="1"/>
  <c r="O173" i="6"/>
  <c r="U416" i="6"/>
  <c r="P61" i="4"/>
  <c r="R72" i="5"/>
  <c r="U72" i="5" s="1"/>
  <c r="P21" i="6"/>
  <c r="P61" i="6"/>
  <c r="O175" i="6"/>
  <c r="R616" i="6"/>
  <c r="L413" i="6"/>
  <c r="O413" i="6" s="1"/>
  <c r="O415" i="6"/>
  <c r="L59" i="6"/>
  <c r="O59" i="6" s="1"/>
  <c r="O61" i="6"/>
  <c r="R94" i="6"/>
  <c r="Q20" i="6"/>
  <c r="T23" i="6"/>
  <c r="Q21" i="6"/>
  <c r="T415" i="6"/>
  <c r="Q413" i="6"/>
  <c r="T413" i="6" s="1"/>
  <c r="U19" i="6"/>
  <c r="I231" i="6"/>
  <c r="K242" i="6"/>
  <c r="M186" i="6"/>
  <c r="P186" i="6" s="1"/>
  <c r="U601" i="6"/>
  <c r="R599" i="6"/>
  <c r="U599" i="6" s="1"/>
  <c r="P44" i="6"/>
  <c r="K423" i="3"/>
  <c r="T306" i="4"/>
  <c r="M157" i="5"/>
  <c r="P157" i="5" s="1"/>
  <c r="U616" i="5"/>
  <c r="L72" i="5"/>
  <c r="O72" i="5" s="1"/>
  <c r="T186" i="5"/>
  <c r="T19" i="6"/>
  <c r="L44" i="6"/>
  <c r="O46" i="6"/>
  <c r="I71" i="6"/>
  <c r="K71" i="6" s="1"/>
  <c r="K83" i="6"/>
  <c r="M157" i="6"/>
  <c r="P157" i="6" s="1"/>
  <c r="P159" i="6"/>
  <c r="M690" i="1"/>
  <c r="P690" i="1" s="1"/>
  <c r="P189" i="4"/>
  <c r="T616" i="4"/>
  <c r="M72" i="5"/>
  <c r="P72" i="5" s="1"/>
  <c r="O269" i="5"/>
  <c r="M320" i="5"/>
  <c r="P320" i="5" s="1"/>
  <c r="P413" i="5"/>
  <c r="T139" i="5"/>
  <c r="T728" i="5"/>
  <c r="O176" i="6"/>
  <c r="P46" i="6"/>
  <c r="L232" i="6"/>
  <c r="O243" i="6"/>
  <c r="P23" i="6"/>
  <c r="M20" i="6"/>
  <c r="O335" i="6"/>
  <c r="L534" i="6"/>
  <c r="O534" i="6" s="1"/>
  <c r="P515" i="6"/>
  <c r="M513" i="6"/>
  <c r="P513" i="6" s="1"/>
  <c r="Q392" i="6"/>
  <c r="T392" i="6" s="1"/>
  <c r="T394" i="6"/>
  <c r="S21" i="6"/>
  <c r="U21" i="6" s="1"/>
  <c r="Q642" i="6"/>
  <c r="T642" i="6" s="1"/>
  <c r="S72" i="1"/>
  <c r="O189" i="2"/>
  <c r="S534" i="1"/>
  <c r="P306" i="1"/>
  <c r="T74" i="1"/>
  <c r="R157" i="1"/>
  <c r="U157" i="1" s="1"/>
  <c r="P322" i="2"/>
  <c r="Q599" i="1"/>
  <c r="T599" i="1" s="1"/>
  <c r="Q266" i="1"/>
  <c r="T644" i="1"/>
  <c r="O266" i="4"/>
  <c r="K83" i="5"/>
  <c r="K332" i="5"/>
  <c r="R728" i="5"/>
  <c r="U728" i="5" s="1"/>
  <c r="L94" i="6"/>
  <c r="O94" i="6" s="1"/>
  <c r="K82" i="6"/>
  <c r="I70" i="6"/>
  <c r="K70" i="6" s="1"/>
  <c r="P97" i="6"/>
  <c r="T26" i="6"/>
  <c r="Q24" i="6"/>
  <c r="T24" i="6" s="1"/>
  <c r="O189" i="6"/>
  <c r="M320" i="6"/>
  <c r="P320" i="6" s="1"/>
  <c r="P322" i="6"/>
  <c r="Q690" i="6"/>
  <c r="T690" i="6" s="1"/>
  <c r="U692" i="1"/>
  <c r="U306" i="4"/>
  <c r="O189" i="4"/>
  <c r="U378" i="4"/>
  <c r="U416" i="4"/>
  <c r="U618" i="4"/>
  <c r="P415" i="5"/>
  <c r="O413" i="5"/>
  <c r="P356" i="5"/>
  <c r="L20" i="6"/>
  <c r="O23" i="6"/>
  <c r="O119" i="6"/>
  <c r="L117" i="6"/>
  <c r="O117" i="6" s="1"/>
  <c r="T97" i="6"/>
  <c r="Q173" i="6"/>
  <c r="T173" i="6" s="1"/>
  <c r="T74" i="6"/>
  <c r="Q72" i="6"/>
  <c r="T72" i="6" s="1"/>
  <c r="I412" i="6"/>
  <c r="K412" i="6" s="1"/>
  <c r="K423" i="6"/>
  <c r="M534" i="6"/>
  <c r="P534" i="6" s="1"/>
  <c r="P141" i="6"/>
  <c r="M139" i="6"/>
  <c r="P139" i="6" s="1"/>
  <c r="Q375" i="6"/>
  <c r="T375" i="6" s="1"/>
  <c r="O159" i="6"/>
  <c r="L157" i="6"/>
  <c r="O157" i="6" s="1"/>
  <c r="S642" i="1"/>
  <c r="U644" i="1"/>
  <c r="T762" i="2"/>
  <c r="L493" i="1"/>
  <c r="U117" i="2"/>
  <c r="P141" i="1"/>
  <c r="Q493" i="3"/>
  <c r="T493" i="3" s="1"/>
  <c r="U378" i="3"/>
  <c r="R599" i="3"/>
  <c r="U599" i="3" s="1"/>
  <c r="P415" i="3"/>
  <c r="P284" i="3"/>
  <c r="K701" i="3"/>
  <c r="L576" i="4"/>
  <c r="O576" i="4" s="1"/>
  <c r="T690" i="4"/>
  <c r="K374" i="5"/>
  <c r="P268" i="5"/>
  <c r="T692" i="5"/>
  <c r="R20" i="6"/>
  <c r="U23" i="6"/>
  <c r="M94" i="6"/>
  <c r="P94" i="6" s="1"/>
  <c r="O356" i="6"/>
  <c r="P356" i="6"/>
  <c r="N20" i="6"/>
  <c r="N18" i="6" s="1"/>
  <c r="O284" i="6"/>
  <c r="L282" i="6"/>
  <c r="O282" i="6" s="1"/>
  <c r="T601" i="6"/>
  <c r="Q599" i="6"/>
  <c r="T599" i="6" s="1"/>
  <c r="M59" i="6"/>
  <c r="P59" i="6" s="1"/>
  <c r="L513" i="6"/>
  <c r="O513" i="6" s="1"/>
  <c r="U269" i="6"/>
  <c r="T188" i="1"/>
  <c r="O142" i="4"/>
  <c r="P173" i="5"/>
  <c r="U690" i="5"/>
  <c r="Q392" i="5"/>
  <c r="T392" i="5" s="1"/>
  <c r="T394" i="5"/>
  <c r="U730" i="3"/>
  <c r="O579" i="3"/>
  <c r="T139" i="4"/>
  <c r="T378" i="4"/>
  <c r="O62" i="4"/>
  <c r="O61" i="5"/>
  <c r="R266" i="5"/>
  <c r="U266" i="5" s="1"/>
  <c r="R413" i="5"/>
  <c r="U413" i="5" s="1"/>
  <c r="U186" i="4"/>
  <c r="O335" i="5"/>
  <c r="P557" i="5"/>
  <c r="M555" i="5"/>
  <c r="P555" i="5" s="1"/>
  <c r="T268" i="1"/>
  <c r="P46" i="4"/>
  <c r="O358" i="5"/>
  <c r="M303" i="5"/>
  <c r="P303" i="5" s="1"/>
  <c r="T690" i="5"/>
  <c r="Q72" i="5"/>
  <c r="T72" i="5" s="1"/>
  <c r="P536" i="5"/>
  <c r="M534" i="5"/>
  <c r="P534" i="5" s="1"/>
  <c r="U692" i="5"/>
  <c r="M20" i="1"/>
  <c r="M24" i="4"/>
  <c r="P24" i="4" s="1"/>
  <c r="P599" i="5"/>
  <c r="Q599" i="5"/>
  <c r="T599" i="5" s="1"/>
  <c r="U306" i="5"/>
  <c r="U26" i="1"/>
  <c r="O322" i="2"/>
  <c r="T377" i="2"/>
  <c r="T730" i="3"/>
  <c r="O141" i="4"/>
  <c r="T416" i="4"/>
  <c r="Q72" i="4"/>
  <c r="T72" i="4" s="1"/>
  <c r="P61" i="5"/>
  <c r="R117" i="5"/>
  <c r="U117" i="5" s="1"/>
  <c r="R157" i="5"/>
  <c r="U157" i="5" s="1"/>
  <c r="L157" i="5"/>
  <c r="O157" i="5" s="1"/>
  <c r="P578" i="5"/>
  <c r="U416" i="5"/>
  <c r="T731" i="5"/>
  <c r="U693" i="5"/>
  <c r="O46" i="2"/>
  <c r="S20" i="4"/>
  <c r="S18" i="4" s="1"/>
  <c r="O358" i="4"/>
  <c r="U186" i="5"/>
  <c r="L555" i="5"/>
  <c r="O555" i="5" s="1"/>
  <c r="P601" i="5"/>
  <c r="O415" i="5"/>
  <c r="P59" i="5"/>
  <c r="O333" i="5"/>
  <c r="T175" i="4"/>
  <c r="Q173" i="4"/>
  <c r="T173" i="4" s="1"/>
  <c r="P96" i="3"/>
  <c r="U188" i="3"/>
  <c r="P23" i="5"/>
  <c r="M20" i="5"/>
  <c r="M18" i="5" s="1"/>
  <c r="L303" i="5"/>
  <c r="O303" i="5" s="1"/>
  <c r="O305" i="5"/>
  <c r="U375" i="5"/>
  <c r="T375" i="5"/>
  <c r="M513" i="5"/>
  <c r="P513" i="5" s="1"/>
  <c r="P515" i="5"/>
  <c r="M493" i="5"/>
  <c r="P493" i="5" s="1"/>
  <c r="U377" i="5"/>
  <c r="Q760" i="5"/>
  <c r="T760" i="5" s="1"/>
  <c r="P96" i="1"/>
  <c r="O326" i="1"/>
  <c r="L173" i="1"/>
  <c r="P358" i="3"/>
  <c r="T377" i="3"/>
  <c r="O189" i="1"/>
  <c r="O377" i="3"/>
  <c r="O21" i="4"/>
  <c r="U269" i="4"/>
  <c r="M493" i="4"/>
  <c r="P493" i="4" s="1"/>
  <c r="Q493" i="4"/>
  <c r="T493" i="4" s="1"/>
  <c r="O601" i="4"/>
  <c r="Q392" i="4"/>
  <c r="T392" i="4" s="1"/>
  <c r="R21" i="5"/>
  <c r="U21" i="5" s="1"/>
  <c r="R20" i="5"/>
  <c r="U23" i="5"/>
  <c r="T119" i="5"/>
  <c r="S20" i="5"/>
  <c r="S18" i="5" s="1"/>
  <c r="M21" i="5"/>
  <c r="M186" i="5"/>
  <c r="P188" i="5"/>
  <c r="R303" i="5"/>
  <c r="U303" i="5" s="1"/>
  <c r="U305" i="5"/>
  <c r="Q94" i="5"/>
  <c r="T94" i="5" s="1"/>
  <c r="R94" i="5"/>
  <c r="U94" i="5" s="1"/>
  <c r="O266" i="5"/>
  <c r="U188" i="5"/>
  <c r="T377" i="5"/>
  <c r="L576" i="5"/>
  <c r="O576" i="5" s="1"/>
  <c r="P358" i="5"/>
  <c r="T618" i="4"/>
  <c r="L513" i="5"/>
  <c r="O513" i="5" s="1"/>
  <c r="K701" i="5"/>
  <c r="Q616" i="5"/>
  <c r="T616" i="5" s="1"/>
  <c r="T618" i="5"/>
  <c r="O269" i="1"/>
  <c r="L21" i="5"/>
  <c r="L20" i="5"/>
  <c r="O23" i="5"/>
  <c r="K82" i="5"/>
  <c r="I70" i="5"/>
  <c r="K70" i="5" s="1"/>
  <c r="Q616" i="2"/>
  <c r="T616" i="2" s="1"/>
  <c r="R266" i="3"/>
  <c r="U266" i="3" s="1"/>
  <c r="L232" i="3"/>
  <c r="S320" i="1"/>
  <c r="Q642" i="3"/>
  <c r="T642" i="3" s="1"/>
  <c r="T692" i="3"/>
  <c r="U75" i="3"/>
  <c r="O576" i="3"/>
  <c r="M72" i="4"/>
  <c r="P72" i="4" s="1"/>
  <c r="L94" i="4"/>
  <c r="O94" i="4" s="1"/>
  <c r="O74" i="4"/>
  <c r="O415" i="4"/>
  <c r="P415" i="4"/>
  <c r="M413" i="4"/>
  <c r="P413" i="4" s="1"/>
  <c r="Q20" i="5"/>
  <c r="Q18" i="5" s="1"/>
  <c r="T23" i="5"/>
  <c r="Q21" i="5"/>
  <c r="T21" i="5" s="1"/>
  <c r="M44" i="5"/>
  <c r="P46" i="5"/>
  <c r="N21" i="5"/>
  <c r="N20" i="5"/>
  <c r="N18" i="5" s="1"/>
  <c r="P119" i="5"/>
  <c r="M117" i="5"/>
  <c r="P117" i="5" s="1"/>
  <c r="R24" i="5"/>
  <c r="U24" i="5" s="1"/>
  <c r="U26" i="5"/>
  <c r="N44" i="5"/>
  <c r="O268" i="5"/>
  <c r="T19" i="5"/>
  <c r="P19" i="5"/>
  <c r="L282" i="5"/>
  <c r="O282" i="5" s="1"/>
  <c r="O284" i="5"/>
  <c r="S576" i="1"/>
  <c r="U377" i="2"/>
  <c r="U75" i="1"/>
  <c r="O142" i="3"/>
  <c r="U306" i="3"/>
  <c r="T97" i="3"/>
  <c r="U415" i="1"/>
  <c r="U188" i="4"/>
  <c r="U619" i="4"/>
  <c r="O159" i="3"/>
  <c r="U175" i="5"/>
  <c r="R173" i="5"/>
  <c r="U173" i="5" s="1"/>
  <c r="L24" i="5"/>
  <c r="O24" i="5" s="1"/>
  <c r="O26" i="5"/>
  <c r="L117" i="5"/>
  <c r="O117" i="5" s="1"/>
  <c r="L232" i="5"/>
  <c r="O243" i="5"/>
  <c r="L139" i="5"/>
  <c r="O139" i="5" s="1"/>
  <c r="M333" i="5"/>
  <c r="P333" i="5" s="1"/>
  <c r="P335" i="5"/>
  <c r="L173" i="5"/>
  <c r="O173" i="5" s="1"/>
  <c r="O336" i="5"/>
  <c r="U601" i="5"/>
  <c r="R599" i="5"/>
  <c r="U599" i="5" s="1"/>
  <c r="O495" i="5"/>
  <c r="L493" i="5"/>
  <c r="O493" i="5" s="1"/>
  <c r="L599" i="5"/>
  <c r="O599" i="5" s="1"/>
  <c r="O601" i="5"/>
  <c r="T175" i="3"/>
  <c r="Q173" i="3"/>
  <c r="T173" i="3" s="1"/>
  <c r="P96" i="5"/>
  <c r="M94" i="5"/>
  <c r="P94" i="5" s="1"/>
  <c r="S303" i="1"/>
  <c r="U303" i="1" s="1"/>
  <c r="K701" i="2"/>
  <c r="O46" i="3"/>
  <c r="K701" i="1"/>
  <c r="S139" i="1"/>
  <c r="K82" i="1"/>
  <c r="U762" i="2"/>
  <c r="O188" i="3"/>
  <c r="N616" i="1"/>
  <c r="U377" i="3"/>
  <c r="N139" i="4"/>
  <c r="N40" i="4" s="1"/>
  <c r="O268" i="4"/>
  <c r="P269" i="4"/>
  <c r="M24" i="5"/>
  <c r="P24" i="5" s="1"/>
  <c r="L94" i="5"/>
  <c r="O94" i="5" s="1"/>
  <c r="O59" i="5"/>
  <c r="R139" i="5"/>
  <c r="U139" i="5" s="1"/>
  <c r="Q266" i="5"/>
  <c r="T266" i="5" s="1"/>
  <c r="T268" i="5"/>
  <c r="M139" i="5"/>
  <c r="P139" i="5" s="1"/>
  <c r="M375" i="5"/>
  <c r="P375" i="5" s="1"/>
  <c r="P377" i="5"/>
  <c r="L356" i="5"/>
  <c r="O356" i="5" s="1"/>
  <c r="T188" i="5"/>
  <c r="T117" i="5"/>
  <c r="P266" i="5"/>
  <c r="L534" i="5"/>
  <c r="O534" i="5" s="1"/>
  <c r="L375" i="5"/>
  <c r="O375" i="5" s="1"/>
  <c r="R760" i="5"/>
  <c r="U760" i="5" s="1"/>
  <c r="K412" i="5"/>
  <c r="T644" i="5"/>
  <c r="Q642" i="5"/>
  <c r="T642" i="5" s="1"/>
  <c r="U139" i="4"/>
  <c r="Q413" i="4"/>
  <c r="T413" i="4" s="1"/>
  <c r="U619" i="1"/>
  <c r="S392" i="1"/>
  <c r="P65" i="1"/>
  <c r="M599" i="3"/>
  <c r="P599" i="3" s="1"/>
  <c r="N157" i="3"/>
  <c r="O157" i="3" s="1"/>
  <c r="R173" i="4"/>
  <c r="U173" i="4" s="1"/>
  <c r="M94" i="4"/>
  <c r="P94" i="4" s="1"/>
  <c r="M117" i="4"/>
  <c r="P117" i="4" s="1"/>
  <c r="O322" i="4"/>
  <c r="T188" i="4"/>
  <c r="T186" i="4"/>
  <c r="T692" i="4"/>
  <c r="T730" i="4"/>
  <c r="M555" i="4"/>
  <c r="P555" i="4" s="1"/>
  <c r="R72" i="4"/>
  <c r="U72" i="4" s="1"/>
  <c r="T693" i="4"/>
  <c r="T26" i="1"/>
  <c r="L493" i="2"/>
  <c r="O493" i="2" s="1"/>
  <c r="R760" i="1"/>
  <c r="P62" i="1"/>
  <c r="O139" i="3"/>
  <c r="O175" i="4"/>
  <c r="R24" i="4"/>
  <c r="U24" i="4" s="1"/>
  <c r="L303" i="4"/>
  <c r="O303" i="4" s="1"/>
  <c r="O188" i="4"/>
  <c r="P285" i="1"/>
  <c r="L534" i="4"/>
  <c r="O534" i="4" s="1"/>
  <c r="P173" i="4"/>
  <c r="S728" i="4"/>
  <c r="T728" i="4" s="1"/>
  <c r="T601" i="4"/>
  <c r="U762" i="1"/>
  <c r="R157" i="3"/>
  <c r="U157" i="3" s="1"/>
  <c r="U94" i="3"/>
  <c r="U139" i="3"/>
  <c r="L375" i="3"/>
  <c r="O375" i="3" s="1"/>
  <c r="M157" i="4"/>
  <c r="P157" i="4" s="1"/>
  <c r="P268" i="4"/>
  <c r="P515" i="4"/>
  <c r="M513" i="4"/>
  <c r="P513" i="4" s="1"/>
  <c r="L413" i="4"/>
  <c r="O413" i="4" s="1"/>
  <c r="O356" i="4"/>
  <c r="M157" i="2"/>
  <c r="P157" i="2" s="1"/>
  <c r="L534" i="2"/>
  <c r="O534" i="2" s="1"/>
  <c r="T72" i="3"/>
  <c r="P175" i="4"/>
  <c r="T763" i="4"/>
  <c r="P601" i="1"/>
  <c r="S24" i="1"/>
  <c r="U618" i="1"/>
  <c r="P175" i="2"/>
  <c r="O378" i="2"/>
  <c r="S20" i="1"/>
  <c r="N760" i="1"/>
  <c r="N266" i="1"/>
  <c r="P266" i="1" s="1"/>
  <c r="P159" i="3"/>
  <c r="U189" i="3"/>
  <c r="M320" i="4"/>
  <c r="P320" i="4" s="1"/>
  <c r="P266" i="4"/>
  <c r="U119" i="3"/>
  <c r="O269" i="4"/>
  <c r="M599" i="4"/>
  <c r="P599" i="4" s="1"/>
  <c r="O323" i="1"/>
  <c r="O19" i="4"/>
  <c r="L413" i="1"/>
  <c r="O413" i="1" s="1"/>
  <c r="T74" i="3"/>
  <c r="T117" i="4"/>
  <c r="R94" i="4"/>
  <c r="U94" i="4" s="1"/>
  <c r="L94" i="2"/>
  <c r="O94" i="2" s="1"/>
  <c r="Q72" i="2"/>
  <c r="T72" i="2" s="1"/>
  <c r="U761" i="1"/>
  <c r="Q20" i="4"/>
  <c r="T23" i="4"/>
  <c r="Q21" i="4"/>
  <c r="I71" i="4"/>
  <c r="K71" i="4" s="1"/>
  <c r="K83" i="4"/>
  <c r="P335" i="4"/>
  <c r="M333" i="4"/>
  <c r="P333" i="4" s="1"/>
  <c r="M375" i="4"/>
  <c r="P375" i="4" s="1"/>
  <c r="Q24" i="4"/>
  <c r="T24" i="4" s="1"/>
  <c r="T26" i="4"/>
  <c r="R392" i="4"/>
  <c r="U392" i="4" s="1"/>
  <c r="U394" i="4"/>
  <c r="T120" i="1"/>
  <c r="N534" i="1"/>
  <c r="T693" i="3"/>
  <c r="P23" i="4"/>
  <c r="M20" i="4"/>
  <c r="L117" i="4"/>
  <c r="O117" i="4" s="1"/>
  <c r="L232" i="4"/>
  <c r="O243" i="4"/>
  <c r="J457" i="1"/>
  <c r="J456" i="1" s="1"/>
  <c r="K456" i="1" s="1"/>
  <c r="P160" i="1"/>
  <c r="O285" i="1"/>
  <c r="O47" i="1"/>
  <c r="O65" i="1"/>
  <c r="S282" i="1"/>
  <c r="Q282" i="1"/>
  <c r="T282" i="1" s="1"/>
  <c r="S413" i="1"/>
  <c r="T378" i="3"/>
  <c r="U690" i="3"/>
  <c r="Q599" i="3"/>
  <c r="T599" i="3" s="1"/>
  <c r="P141" i="4"/>
  <c r="M21" i="4"/>
  <c r="P21" i="4" s="1"/>
  <c r="M59" i="4"/>
  <c r="P59" i="4" s="1"/>
  <c r="R117" i="4"/>
  <c r="U117" i="4" s="1"/>
  <c r="L173" i="4"/>
  <c r="O173" i="4" s="1"/>
  <c r="K332" i="4"/>
  <c r="R375" i="4"/>
  <c r="U375" i="4" s="1"/>
  <c r="U377" i="4"/>
  <c r="P284" i="4"/>
  <c r="M282" i="4"/>
  <c r="P282" i="4" s="1"/>
  <c r="O557" i="4"/>
  <c r="L555" i="4"/>
  <c r="O555" i="4" s="1"/>
  <c r="M534" i="4"/>
  <c r="P534" i="4" s="1"/>
  <c r="P189" i="1"/>
  <c r="U305" i="1"/>
  <c r="U72" i="3"/>
  <c r="L94" i="3"/>
  <c r="O94" i="3" s="1"/>
  <c r="T269" i="3"/>
  <c r="T619" i="1"/>
  <c r="R616" i="1"/>
  <c r="S94" i="1"/>
  <c r="T94" i="1" s="1"/>
  <c r="T119" i="2"/>
  <c r="M282" i="2"/>
  <c r="P282" i="2" s="1"/>
  <c r="T141" i="2"/>
  <c r="P515" i="2"/>
  <c r="P119" i="2"/>
  <c r="U760" i="2"/>
  <c r="S173" i="1"/>
  <c r="S157" i="1"/>
  <c r="M59" i="1"/>
  <c r="N599" i="1"/>
  <c r="O61" i="3"/>
  <c r="T142" i="3"/>
  <c r="U97" i="3"/>
  <c r="P189" i="3"/>
  <c r="P322" i="3"/>
  <c r="O415" i="3"/>
  <c r="L555" i="3"/>
  <c r="O555" i="3" s="1"/>
  <c r="R728" i="3"/>
  <c r="U728" i="3" s="1"/>
  <c r="O59" i="3"/>
  <c r="L20" i="4"/>
  <c r="O23" i="4"/>
  <c r="T141" i="4"/>
  <c r="U141" i="4"/>
  <c r="L59" i="4"/>
  <c r="O59" i="4" s="1"/>
  <c r="O61" i="4"/>
  <c r="L157" i="4"/>
  <c r="O157" i="4" s="1"/>
  <c r="N20" i="4"/>
  <c r="N18" i="4" s="1"/>
  <c r="R157" i="4"/>
  <c r="U157" i="4" s="1"/>
  <c r="P305" i="4"/>
  <c r="M303" i="4"/>
  <c r="P303" i="4" s="1"/>
  <c r="O335" i="4"/>
  <c r="L333" i="4"/>
  <c r="O333" i="4" s="1"/>
  <c r="M356" i="4"/>
  <c r="P356" i="4" s="1"/>
  <c r="L186" i="4"/>
  <c r="O186" i="4" s="1"/>
  <c r="M44" i="4"/>
  <c r="L44" i="4"/>
  <c r="O46" i="4"/>
  <c r="L375" i="4"/>
  <c r="O375" i="4" s="1"/>
  <c r="O377" i="4"/>
  <c r="P269" i="1"/>
  <c r="U120" i="1"/>
  <c r="T75" i="1"/>
  <c r="U269" i="1"/>
  <c r="O160" i="1"/>
  <c r="Q157" i="2"/>
  <c r="T157" i="2" s="1"/>
  <c r="O377" i="2"/>
  <c r="O284" i="1"/>
  <c r="P26" i="1"/>
  <c r="N320" i="1"/>
  <c r="M534" i="2"/>
  <c r="P534" i="2" s="1"/>
  <c r="L320" i="1"/>
  <c r="T415" i="1"/>
  <c r="T120" i="3"/>
  <c r="R117" i="3"/>
  <c r="U117" i="3" s="1"/>
  <c r="L173" i="3"/>
  <c r="O173" i="3" s="1"/>
  <c r="U413" i="3"/>
  <c r="O578" i="3"/>
  <c r="R72" i="2"/>
  <c r="U72" i="2" s="1"/>
  <c r="Q690" i="3"/>
  <c r="T690" i="3" s="1"/>
  <c r="R20" i="4"/>
  <c r="U23" i="4"/>
  <c r="L24" i="4"/>
  <c r="O24" i="4" s="1"/>
  <c r="K82" i="4"/>
  <c r="I70" i="4"/>
  <c r="K70" i="4" s="1"/>
  <c r="P188" i="4"/>
  <c r="M186" i="4"/>
  <c r="P186" i="4" s="1"/>
  <c r="S21" i="4"/>
  <c r="U21" i="4" s="1"/>
  <c r="I231" i="4"/>
  <c r="K242" i="4"/>
  <c r="Q375" i="4"/>
  <c r="T375" i="4" s="1"/>
  <c r="I412" i="4"/>
  <c r="K412" i="4" s="1"/>
  <c r="K423" i="4"/>
  <c r="P536" i="3"/>
  <c r="M534" i="3"/>
  <c r="P534" i="3" s="1"/>
  <c r="T119" i="1"/>
  <c r="P579" i="2"/>
  <c r="O519" i="1"/>
  <c r="P119" i="1"/>
  <c r="O579" i="2"/>
  <c r="U189" i="1"/>
  <c r="K492" i="2"/>
  <c r="S513" i="1"/>
  <c r="K70" i="1"/>
  <c r="O72" i="3"/>
  <c r="O378" i="3"/>
  <c r="U496" i="3"/>
  <c r="T731" i="2"/>
  <c r="O62" i="1"/>
  <c r="P269" i="3"/>
  <c r="U616" i="3"/>
  <c r="P336" i="1"/>
  <c r="U74" i="1"/>
  <c r="O495" i="1"/>
  <c r="S20" i="3"/>
  <c r="S18" i="3" s="1"/>
  <c r="M117" i="3"/>
  <c r="P117" i="3" s="1"/>
  <c r="T141" i="3"/>
  <c r="R173" i="3"/>
  <c r="U173" i="3" s="1"/>
  <c r="L282" i="3"/>
  <c r="O282" i="3" s="1"/>
  <c r="O74" i="3"/>
  <c r="T188" i="3"/>
  <c r="O269" i="3"/>
  <c r="U692" i="3"/>
  <c r="T618" i="3"/>
  <c r="O141" i="3"/>
  <c r="T693" i="1"/>
  <c r="L599" i="2"/>
  <c r="O599" i="2" s="1"/>
  <c r="U119" i="1"/>
  <c r="Q728" i="1"/>
  <c r="N333" i="3"/>
  <c r="O333" i="3" s="1"/>
  <c r="T728" i="3"/>
  <c r="O74" i="2"/>
  <c r="L72" i="2"/>
  <c r="O72" i="2" s="1"/>
  <c r="Q139" i="1"/>
  <c r="M157" i="3"/>
  <c r="T117" i="3"/>
  <c r="Q303" i="3"/>
  <c r="T303" i="3" s="1"/>
  <c r="R303" i="3"/>
  <c r="U303" i="3" s="1"/>
  <c r="U416" i="3"/>
  <c r="Q392" i="3"/>
  <c r="T392" i="3" s="1"/>
  <c r="L599" i="3"/>
  <c r="O599" i="3" s="1"/>
  <c r="P377" i="3"/>
  <c r="M375" i="3"/>
  <c r="P375" i="3" s="1"/>
  <c r="O536" i="3"/>
  <c r="L534" i="3"/>
  <c r="O534" i="3" s="1"/>
  <c r="U618" i="3"/>
  <c r="P359" i="3"/>
  <c r="P326" i="1"/>
  <c r="O306" i="1"/>
  <c r="O119" i="1"/>
  <c r="U186" i="2"/>
  <c r="O268" i="1"/>
  <c r="T75" i="3"/>
  <c r="T119" i="3"/>
  <c r="R493" i="3"/>
  <c r="U493" i="3" s="1"/>
  <c r="T616" i="3"/>
  <c r="O515" i="1"/>
  <c r="M59" i="3"/>
  <c r="P59" i="3" s="1"/>
  <c r="P61" i="3"/>
  <c r="M413" i="3"/>
  <c r="P413" i="3" s="1"/>
  <c r="Q413" i="3"/>
  <c r="T413" i="3" s="1"/>
  <c r="M513" i="3"/>
  <c r="P513" i="3" s="1"/>
  <c r="P515" i="3"/>
  <c r="N320" i="3"/>
  <c r="P320" i="3" s="1"/>
  <c r="M576" i="3"/>
  <c r="P576" i="3" s="1"/>
  <c r="P578" i="3"/>
  <c r="T763" i="3"/>
  <c r="U763" i="3"/>
  <c r="P515" i="1"/>
  <c r="O26" i="1"/>
  <c r="Q19" i="1"/>
  <c r="T19" i="1" s="1"/>
  <c r="R59" i="1"/>
  <c r="U59" i="1" s="1"/>
  <c r="T120" i="2"/>
  <c r="U189" i="2"/>
  <c r="R392" i="2"/>
  <c r="U392" i="2" s="1"/>
  <c r="N493" i="1"/>
  <c r="R72" i="1"/>
  <c r="O305" i="1"/>
  <c r="T269" i="2"/>
  <c r="Q20" i="3"/>
  <c r="Q18" i="3" s="1"/>
  <c r="T23" i="3"/>
  <c r="Q21" i="3"/>
  <c r="P19" i="3"/>
  <c r="K82" i="3"/>
  <c r="I70" i="3"/>
  <c r="K70" i="3" s="1"/>
  <c r="T26" i="3"/>
  <c r="Q24" i="3"/>
  <c r="T24" i="3" s="1"/>
  <c r="R186" i="3"/>
  <c r="U186" i="3" s="1"/>
  <c r="U141" i="3"/>
  <c r="U120" i="3"/>
  <c r="T416" i="3"/>
  <c r="O493" i="3"/>
  <c r="R375" i="3"/>
  <c r="U375" i="3" s="1"/>
  <c r="O496" i="3"/>
  <c r="O495" i="3"/>
  <c r="O416" i="3"/>
  <c r="M356" i="3"/>
  <c r="P356" i="3" s="1"/>
  <c r="P413" i="2"/>
  <c r="N21" i="3"/>
  <c r="P21" i="3" s="1"/>
  <c r="N20" i="3"/>
  <c r="N18" i="3" s="1"/>
  <c r="K374" i="2"/>
  <c r="J458" i="1"/>
  <c r="S186" i="1"/>
  <c r="O47" i="2"/>
  <c r="L21" i="3"/>
  <c r="L20" i="3"/>
  <c r="O23" i="3"/>
  <c r="S21" i="3"/>
  <c r="L24" i="3"/>
  <c r="O24" i="3" s="1"/>
  <c r="O26" i="3"/>
  <c r="T139" i="3"/>
  <c r="P188" i="3"/>
  <c r="M186" i="3"/>
  <c r="P186" i="3" s="1"/>
  <c r="P268" i="3"/>
  <c r="M266" i="3"/>
  <c r="P266" i="3" s="1"/>
  <c r="Q266" i="3"/>
  <c r="T266" i="3" s="1"/>
  <c r="P496" i="3"/>
  <c r="P495" i="3"/>
  <c r="M493" i="3"/>
  <c r="P493" i="3" s="1"/>
  <c r="P141" i="3"/>
  <c r="M139" i="3"/>
  <c r="P139" i="3" s="1"/>
  <c r="R24" i="3"/>
  <c r="U24" i="3" s="1"/>
  <c r="U26" i="3"/>
  <c r="O268" i="3"/>
  <c r="L266" i="3"/>
  <c r="O266" i="3" s="1"/>
  <c r="P576" i="2"/>
  <c r="P359" i="1"/>
  <c r="Q21" i="1"/>
  <c r="S714" i="1"/>
  <c r="R642" i="1"/>
  <c r="U123" i="1"/>
  <c r="L139" i="2"/>
  <c r="O139" i="2" s="1"/>
  <c r="T186" i="2"/>
  <c r="L117" i="2"/>
  <c r="O117" i="2" s="1"/>
  <c r="P578" i="2"/>
  <c r="O515" i="2"/>
  <c r="R413" i="1"/>
  <c r="U188" i="1"/>
  <c r="P323" i="1"/>
  <c r="P513" i="2"/>
  <c r="R21" i="3"/>
  <c r="R20" i="3"/>
  <c r="U23" i="3"/>
  <c r="Q94" i="3"/>
  <c r="T94" i="3" s="1"/>
  <c r="T96" i="3"/>
  <c r="I71" i="3"/>
  <c r="K71" i="3" s="1"/>
  <c r="K83" i="3"/>
  <c r="P26" i="3"/>
  <c r="Q186" i="3"/>
  <c r="T186" i="3" s="1"/>
  <c r="I231" i="3"/>
  <c r="K242" i="3"/>
  <c r="L356" i="3"/>
  <c r="O356" i="3" s="1"/>
  <c r="O358" i="3"/>
  <c r="L320" i="3"/>
  <c r="O322" i="3"/>
  <c r="P305" i="3"/>
  <c r="M303" i="3"/>
  <c r="P303" i="3" s="1"/>
  <c r="T305" i="1"/>
  <c r="P335" i="3"/>
  <c r="M333" i="3"/>
  <c r="P23" i="3"/>
  <c r="M20" i="3"/>
  <c r="L303" i="3"/>
  <c r="O303" i="3" s="1"/>
  <c r="O413" i="3"/>
  <c r="O415" i="2"/>
  <c r="M72" i="3"/>
  <c r="P72" i="3" s="1"/>
  <c r="P74" i="3"/>
  <c r="T600" i="1"/>
  <c r="M117" i="1"/>
  <c r="P117" i="1" s="1"/>
  <c r="P415" i="2"/>
  <c r="K632" i="1"/>
  <c r="T692" i="1"/>
  <c r="N555" i="1"/>
  <c r="T123" i="1"/>
  <c r="Q173" i="1"/>
  <c r="T173" i="1" s="1"/>
  <c r="S20" i="2"/>
  <c r="S18" i="2" s="1"/>
  <c r="R94" i="2"/>
  <c r="U94" i="2" s="1"/>
  <c r="R375" i="2"/>
  <c r="U375" i="2" s="1"/>
  <c r="L356" i="2"/>
  <c r="O356" i="2" s="1"/>
  <c r="O268" i="2"/>
  <c r="U496" i="2"/>
  <c r="T762" i="1"/>
  <c r="N728" i="1"/>
  <c r="S690" i="1"/>
  <c r="N513" i="1"/>
  <c r="N19" i="1"/>
  <c r="R320" i="1"/>
  <c r="U320" i="1" s="1"/>
  <c r="M44" i="3"/>
  <c r="P46" i="3"/>
  <c r="T19" i="3"/>
  <c r="M24" i="3"/>
  <c r="P24" i="3" s="1"/>
  <c r="N44" i="3"/>
  <c r="U74" i="3"/>
  <c r="M173" i="3"/>
  <c r="P173" i="3" s="1"/>
  <c r="O189" i="3"/>
  <c r="L513" i="3"/>
  <c r="O513" i="3" s="1"/>
  <c r="O515" i="3"/>
  <c r="P142" i="3"/>
  <c r="M392" i="1"/>
  <c r="P392" i="1" s="1"/>
  <c r="L534" i="1"/>
  <c r="O534" i="1" s="1"/>
  <c r="P305" i="1"/>
  <c r="M21" i="1"/>
  <c r="O142" i="1"/>
  <c r="L117" i="1"/>
  <c r="O117" i="1" s="1"/>
  <c r="T189" i="2"/>
  <c r="S760" i="1"/>
  <c r="Q44" i="1"/>
  <c r="T44" i="1" s="1"/>
  <c r="N375" i="2"/>
  <c r="O375" i="2" s="1"/>
  <c r="U415" i="2"/>
  <c r="T416" i="1"/>
  <c r="P176" i="1"/>
  <c r="M72" i="1"/>
  <c r="R24" i="2"/>
  <c r="U24" i="2" s="1"/>
  <c r="L72" i="1"/>
  <c r="O73" i="1"/>
  <c r="R599" i="2"/>
  <c r="U599" i="2" s="1"/>
  <c r="S599" i="1"/>
  <c r="T189" i="1"/>
  <c r="R44" i="1"/>
  <c r="U44" i="1" s="1"/>
  <c r="M19" i="1"/>
  <c r="P61" i="2"/>
  <c r="O519" i="2"/>
  <c r="M555" i="2"/>
  <c r="P555" i="2" s="1"/>
  <c r="S413" i="2"/>
  <c r="T413" i="2" s="1"/>
  <c r="L413" i="2"/>
  <c r="O413" i="2" s="1"/>
  <c r="N375" i="1"/>
  <c r="P375" i="1" s="1"/>
  <c r="P377" i="1"/>
  <c r="L303" i="2"/>
  <c r="O303" i="2" s="1"/>
  <c r="O305" i="2"/>
  <c r="U269" i="2"/>
  <c r="O322" i="1"/>
  <c r="T619" i="2"/>
  <c r="U96" i="1"/>
  <c r="L690" i="1"/>
  <c r="O690" i="1" s="1"/>
  <c r="M413" i="1"/>
  <c r="P413" i="1" s="1"/>
  <c r="Q333" i="1"/>
  <c r="T333" i="1" s="1"/>
  <c r="N139" i="1"/>
  <c r="P139" i="1" s="1"/>
  <c r="T284" i="1"/>
  <c r="O141" i="1"/>
  <c r="O186" i="2"/>
  <c r="O26" i="2"/>
  <c r="P358" i="2"/>
  <c r="O496" i="2"/>
  <c r="Q728" i="2"/>
  <c r="T728" i="2" s="1"/>
  <c r="S333" i="1"/>
  <c r="M94" i="1"/>
  <c r="M599" i="2"/>
  <c r="P599" i="2" s="1"/>
  <c r="U416" i="1"/>
  <c r="I169" i="1"/>
  <c r="K169" i="1" s="1"/>
  <c r="O174" i="1"/>
  <c r="L616" i="1"/>
  <c r="O616" i="1" s="1"/>
  <c r="T731" i="1"/>
  <c r="M616" i="1"/>
  <c r="P616" i="1" s="1"/>
  <c r="O578" i="1"/>
  <c r="L513" i="1"/>
  <c r="P142" i="1"/>
  <c r="N44" i="1"/>
  <c r="P44" i="1" s="1"/>
  <c r="O175" i="2"/>
  <c r="L24" i="2"/>
  <c r="O24" i="2" s="1"/>
  <c r="P24" i="2"/>
  <c r="P377" i="2"/>
  <c r="M303" i="2"/>
  <c r="P303" i="2" s="1"/>
  <c r="L173" i="2"/>
  <c r="O173" i="2" s="1"/>
  <c r="K503" i="2"/>
  <c r="R157" i="2"/>
  <c r="U157" i="2" s="1"/>
  <c r="T535" i="1"/>
  <c r="Q534" i="1"/>
  <c r="T534" i="1" s="1"/>
  <c r="O578" i="2"/>
  <c r="L576" i="2"/>
  <c r="O576" i="2" s="1"/>
  <c r="Q20" i="2"/>
  <c r="T23" i="2"/>
  <c r="Q21" i="2"/>
  <c r="L59" i="2"/>
  <c r="O59" i="2" s="1"/>
  <c r="O61" i="2"/>
  <c r="N21" i="2"/>
  <c r="P21" i="2" s="1"/>
  <c r="N20" i="2"/>
  <c r="N18" i="2" s="1"/>
  <c r="P335" i="2"/>
  <c r="P189" i="2"/>
  <c r="O284" i="2"/>
  <c r="L282" i="2"/>
  <c r="O282" i="2" s="1"/>
  <c r="S21" i="2"/>
  <c r="M320" i="2"/>
  <c r="P320" i="2" s="1"/>
  <c r="Q493" i="2"/>
  <c r="T493" i="2" s="1"/>
  <c r="T496" i="2"/>
  <c r="Q599" i="2"/>
  <c r="T599" i="2" s="1"/>
  <c r="O376" i="1"/>
  <c r="L375" i="1"/>
  <c r="P556" i="1"/>
  <c r="M555" i="1"/>
  <c r="P555" i="1" s="1"/>
  <c r="P496" i="2"/>
  <c r="N282" i="1"/>
  <c r="S616" i="1"/>
  <c r="P96" i="2"/>
  <c r="M94" i="2"/>
  <c r="P94" i="2" s="1"/>
  <c r="T266" i="2"/>
  <c r="P495" i="2"/>
  <c r="M493" i="2"/>
  <c r="P493" i="2" s="1"/>
  <c r="M513" i="1"/>
  <c r="M333" i="1"/>
  <c r="P333" i="1" s="1"/>
  <c r="N20" i="1"/>
  <c r="P95" i="1"/>
  <c r="M642" i="1"/>
  <c r="P642" i="1" s="1"/>
  <c r="M599" i="1"/>
  <c r="R534" i="1"/>
  <c r="U534" i="1" s="1"/>
  <c r="Q320" i="1"/>
  <c r="T320" i="1" s="1"/>
  <c r="L282" i="1"/>
  <c r="N24" i="1"/>
  <c r="R117" i="1"/>
  <c r="U117" i="1" s="1"/>
  <c r="L20" i="2"/>
  <c r="O23" i="2"/>
  <c r="U119" i="2"/>
  <c r="I71" i="2"/>
  <c r="K71" i="2" s="1"/>
  <c r="K83" i="2"/>
  <c r="Q117" i="2"/>
  <c r="T117" i="2" s="1"/>
  <c r="M139" i="2"/>
  <c r="P139" i="2" s="1"/>
  <c r="Q173" i="2"/>
  <c r="T173" i="2" s="1"/>
  <c r="R173" i="2"/>
  <c r="U173" i="2" s="1"/>
  <c r="O188" i="2"/>
  <c r="M44" i="2"/>
  <c r="P188" i="2"/>
  <c r="M186" i="2"/>
  <c r="P186" i="2" s="1"/>
  <c r="T375" i="2"/>
  <c r="U266" i="2"/>
  <c r="L320" i="2"/>
  <c r="O320" i="2" s="1"/>
  <c r="K253" i="2"/>
  <c r="I231" i="2"/>
  <c r="M375" i="2"/>
  <c r="T414" i="1"/>
  <c r="Q413" i="1"/>
  <c r="L157" i="2"/>
  <c r="O157" i="2" s="1"/>
  <c r="P283" i="1"/>
  <c r="M282" i="1"/>
  <c r="L714" i="1"/>
  <c r="O714" i="1" s="1"/>
  <c r="O715" i="1"/>
  <c r="Q690" i="2"/>
  <c r="T690" i="2" s="1"/>
  <c r="T692" i="2"/>
  <c r="U692" i="2"/>
  <c r="R690" i="2"/>
  <c r="U690" i="2" s="1"/>
  <c r="P579" i="1"/>
  <c r="U306" i="1"/>
  <c r="Q760" i="1"/>
  <c r="T618" i="1"/>
  <c r="R20" i="2"/>
  <c r="R18" i="2" s="1"/>
  <c r="U23" i="2"/>
  <c r="P23" i="2"/>
  <c r="M20" i="2"/>
  <c r="U188" i="2"/>
  <c r="N266" i="2"/>
  <c r="P266" i="2" s="1"/>
  <c r="O333" i="2"/>
  <c r="M333" i="2"/>
  <c r="P333" i="2" s="1"/>
  <c r="R139" i="2"/>
  <c r="U139" i="2" s="1"/>
  <c r="Q642" i="2"/>
  <c r="T642" i="2" s="1"/>
  <c r="T644" i="2"/>
  <c r="L760" i="1"/>
  <c r="O760" i="1" s="1"/>
  <c r="M72" i="2"/>
  <c r="P72" i="2" s="1"/>
  <c r="T304" i="1"/>
  <c r="Q303" i="1"/>
  <c r="U376" i="1"/>
  <c r="R375" i="1"/>
  <c r="U375" i="1" s="1"/>
  <c r="P173" i="2"/>
  <c r="L728" i="1"/>
  <c r="O728" i="1" s="1"/>
  <c r="O729" i="1"/>
  <c r="O44" i="2"/>
  <c r="U731" i="1"/>
  <c r="P187" i="1"/>
  <c r="M186" i="1"/>
  <c r="P186" i="1" s="1"/>
  <c r="P46" i="1"/>
  <c r="K82" i="2"/>
  <c r="I70" i="2"/>
  <c r="K70" i="2" s="1"/>
  <c r="U19" i="2"/>
  <c r="L232" i="2"/>
  <c r="O243" i="2"/>
  <c r="O188" i="1"/>
  <c r="L186" i="1"/>
  <c r="O186" i="1" s="1"/>
  <c r="U140" i="1"/>
  <c r="R139" i="1"/>
  <c r="I412" i="2"/>
  <c r="K412" i="2" s="1"/>
  <c r="K423" i="2"/>
  <c r="K615" i="1"/>
  <c r="N94" i="1"/>
  <c r="Q94" i="2"/>
  <c r="T94" i="2" s="1"/>
  <c r="M59" i="2"/>
  <c r="P59" i="2" s="1"/>
  <c r="T188" i="2"/>
  <c r="P268" i="2"/>
  <c r="O335" i="2"/>
  <c r="R21" i="2"/>
  <c r="Q24" i="2"/>
  <c r="T24" i="2" s="1"/>
  <c r="T26" i="2"/>
  <c r="L555" i="2"/>
  <c r="O555" i="2" s="1"/>
  <c r="O557" i="2"/>
  <c r="R616" i="2"/>
  <c r="U616" i="2" s="1"/>
  <c r="P519" i="1"/>
  <c r="P321" i="1"/>
  <c r="M320" i="1"/>
  <c r="Q760" i="2"/>
  <c r="T760" i="2" s="1"/>
  <c r="R513" i="1"/>
  <c r="U513" i="1" s="1"/>
  <c r="U514" i="1"/>
  <c r="M173" i="1"/>
  <c r="L513" i="2"/>
  <c r="O513" i="2" s="1"/>
  <c r="T376" i="1"/>
  <c r="Q375" i="1"/>
  <c r="T375" i="1" s="1"/>
  <c r="U693" i="1"/>
  <c r="P26" i="2"/>
  <c r="T306" i="1"/>
  <c r="O176" i="1"/>
  <c r="R186" i="1"/>
  <c r="Q690" i="1"/>
  <c r="T691" i="1"/>
  <c r="L24" i="1"/>
  <c r="O25" i="1"/>
  <c r="J423" i="1"/>
  <c r="K440" i="1"/>
  <c r="R282" i="1"/>
  <c r="U282" i="1" s="1"/>
  <c r="P25" i="1"/>
  <c r="M24" i="1"/>
  <c r="R19" i="1"/>
  <c r="U22" i="1"/>
  <c r="R21" i="1"/>
  <c r="L59" i="1"/>
  <c r="N157" i="1"/>
  <c r="O159" i="1"/>
  <c r="P47" i="1"/>
  <c r="R24" i="1"/>
  <c r="N21" i="1"/>
  <c r="T643" i="1"/>
  <c r="Q642" i="1"/>
  <c r="Q555" i="1"/>
  <c r="T555" i="1" s="1"/>
  <c r="U600" i="1"/>
  <c r="R599" i="1"/>
  <c r="U599" i="1" s="1"/>
  <c r="R555" i="1"/>
  <c r="U555" i="1" s="1"/>
  <c r="U556" i="1"/>
  <c r="T730" i="1"/>
  <c r="S21" i="1"/>
  <c r="S19" i="1"/>
  <c r="L303" i="1"/>
  <c r="O303" i="1" s="1"/>
  <c r="O304" i="1"/>
  <c r="O140" i="1"/>
  <c r="L139" i="1"/>
  <c r="O95" i="1"/>
  <c r="L94" i="1"/>
  <c r="O94" i="1" s="1"/>
  <c r="Q24" i="1"/>
  <c r="P23" i="1"/>
  <c r="Q117" i="1"/>
  <c r="T117" i="1" s="1"/>
  <c r="R690" i="1"/>
  <c r="U691" i="1"/>
  <c r="T514" i="1"/>
  <c r="Q513" i="1"/>
  <c r="T513" i="1" s="1"/>
  <c r="M493" i="1"/>
  <c r="P495" i="1"/>
  <c r="P578" i="1"/>
  <c r="M576" i="1"/>
  <c r="P730" i="1"/>
  <c r="M728" i="1"/>
  <c r="P728" i="1" s="1"/>
  <c r="P716" i="1"/>
  <c r="M714" i="1"/>
  <c r="P714" i="1" s="1"/>
  <c r="O579" i="1"/>
  <c r="U335" i="1"/>
  <c r="R333" i="1"/>
  <c r="U333" i="1" s="1"/>
  <c r="L157" i="1"/>
  <c r="O158" i="1"/>
  <c r="R20" i="1"/>
  <c r="U23" i="1"/>
  <c r="U730" i="1"/>
  <c r="S728" i="1"/>
  <c r="L19" i="1"/>
  <c r="U357" i="1"/>
  <c r="R356" i="1"/>
  <c r="U356" i="1" s="1"/>
  <c r="P304" i="1"/>
  <c r="M303" i="1"/>
  <c r="P303" i="1" s="1"/>
  <c r="T357" i="1"/>
  <c r="Q356" i="1"/>
  <c r="T356" i="1" s="1"/>
  <c r="U378" i="1"/>
  <c r="P761" i="1"/>
  <c r="M760" i="1"/>
  <c r="P760" i="1" s="1"/>
  <c r="O600" i="1"/>
  <c r="L599" i="1"/>
  <c r="T158" i="1"/>
  <c r="Q157" i="1"/>
  <c r="T157" i="1" s="1"/>
  <c r="Q59" i="1"/>
  <c r="T59" i="1" s="1"/>
  <c r="T60" i="1"/>
  <c r="O23" i="1"/>
  <c r="L20" i="1"/>
  <c r="R266" i="1"/>
  <c r="U267" i="1"/>
  <c r="P97" i="1"/>
  <c r="Q20" i="1"/>
  <c r="T23" i="1"/>
  <c r="Q72" i="1"/>
  <c r="O357" i="1"/>
  <c r="L356" i="1"/>
  <c r="M534" i="1"/>
  <c r="P534" i="1" s="1"/>
  <c r="P535" i="1"/>
  <c r="K83" i="1"/>
  <c r="I71" i="1"/>
  <c r="K71" i="1" s="1"/>
  <c r="T617" i="1"/>
  <c r="Q616" i="1"/>
  <c r="L392" i="1"/>
  <c r="O392" i="1" s="1"/>
  <c r="O394" i="1"/>
  <c r="T577" i="1"/>
  <c r="Q576" i="1"/>
  <c r="T576" i="1" s="1"/>
  <c r="L576" i="1"/>
  <c r="O577" i="1"/>
  <c r="O643" i="1"/>
  <c r="L642" i="1"/>
  <c r="O642" i="1" s="1"/>
  <c r="N356" i="1"/>
  <c r="P356" i="1" s="1"/>
  <c r="O358" i="1"/>
  <c r="R576" i="1"/>
  <c r="U576" i="1" s="1"/>
  <c r="U577" i="1"/>
  <c r="R493" i="1"/>
  <c r="L555" i="1"/>
  <c r="O555" i="1" s="1"/>
  <c r="O556" i="1"/>
  <c r="T494" i="1"/>
  <c r="Q493" i="1"/>
  <c r="Q714" i="1"/>
  <c r="T714" i="1" s="1"/>
  <c r="T393" i="1"/>
  <c r="Q392" i="1"/>
  <c r="T392" i="1" s="1"/>
  <c r="O335" i="1"/>
  <c r="L333" i="1"/>
  <c r="O333" i="1" s="1"/>
  <c r="R392" i="1"/>
  <c r="U392" i="1" s="1"/>
  <c r="U394" i="1"/>
  <c r="U175" i="1"/>
  <c r="R173" i="1"/>
  <c r="U173" i="1" s="1"/>
  <c r="U95" i="1"/>
  <c r="R94" i="1"/>
  <c r="P159" i="1"/>
  <c r="L21" i="1"/>
  <c r="P413" i="8" l="1"/>
  <c r="U266" i="1"/>
  <c r="P173" i="1"/>
  <c r="O333" i="7"/>
  <c r="T20" i="12"/>
  <c r="P72" i="1"/>
  <c r="O266" i="14"/>
  <c r="I185" i="12"/>
  <c r="K185" i="12" s="1"/>
  <c r="T117" i="15"/>
  <c r="I185" i="10"/>
  <c r="K185" i="10" s="1"/>
  <c r="N40" i="7"/>
  <c r="K231" i="7"/>
  <c r="T266" i="1"/>
  <c r="T21" i="12"/>
  <c r="O493" i="15"/>
  <c r="U139" i="15"/>
  <c r="U690" i="14"/>
  <c r="U20" i="12"/>
  <c r="O576" i="1"/>
  <c r="P186" i="13"/>
  <c r="P576" i="1"/>
  <c r="T186" i="12"/>
  <c r="N40" i="14"/>
  <c r="T728" i="15"/>
  <c r="O173" i="14"/>
  <c r="K231" i="15"/>
  <c r="I185" i="15"/>
  <c r="K185" i="15" s="1"/>
  <c r="O173" i="1"/>
  <c r="T20" i="15"/>
  <c r="Q18" i="15"/>
  <c r="T18" i="15" s="1"/>
  <c r="M40" i="15"/>
  <c r="P40" i="15" s="1"/>
  <c r="P44" i="15"/>
  <c r="P20" i="15"/>
  <c r="M18" i="15"/>
  <c r="P18" i="15" s="1"/>
  <c r="U21" i="14"/>
  <c r="I185" i="14"/>
  <c r="K185" i="14" s="1"/>
  <c r="T21" i="14"/>
  <c r="U20" i="15"/>
  <c r="R18" i="15"/>
  <c r="U18" i="15" s="1"/>
  <c r="L40" i="15"/>
  <c r="O40" i="15" s="1"/>
  <c r="U94" i="6"/>
  <c r="O21" i="13"/>
  <c r="O20" i="15"/>
  <c r="L18" i="15"/>
  <c r="O18" i="15" s="1"/>
  <c r="O21" i="15"/>
  <c r="P18" i="13"/>
  <c r="T186" i="1"/>
  <c r="T94" i="14"/>
  <c r="P21" i="12"/>
  <c r="T20" i="14"/>
  <c r="Q18" i="14"/>
  <c r="T18" i="14" s="1"/>
  <c r="M40" i="14"/>
  <c r="T375" i="11"/>
  <c r="O173" i="13"/>
  <c r="P21" i="14"/>
  <c r="U20" i="14"/>
  <c r="R18" i="14"/>
  <c r="U18" i="14" s="1"/>
  <c r="P20" i="14"/>
  <c r="M18" i="14"/>
  <c r="P18" i="14" s="1"/>
  <c r="L40" i="14"/>
  <c r="O44" i="14"/>
  <c r="O59" i="1"/>
  <c r="O72" i="1"/>
  <c r="N40" i="13"/>
  <c r="O21" i="14"/>
  <c r="O20" i="14"/>
  <c r="L18" i="14"/>
  <c r="O18" i="14" s="1"/>
  <c r="I185" i="13"/>
  <c r="K185" i="13" s="1"/>
  <c r="P599" i="10"/>
  <c r="T20" i="13"/>
  <c r="U21" i="13"/>
  <c r="M40" i="13"/>
  <c r="P44" i="13"/>
  <c r="T21" i="13"/>
  <c r="Q18" i="13"/>
  <c r="T18" i="13" s="1"/>
  <c r="O94" i="13"/>
  <c r="L40" i="13"/>
  <c r="N40" i="10"/>
  <c r="U266" i="12"/>
  <c r="Q18" i="12"/>
  <c r="T18" i="12" s="1"/>
  <c r="P20" i="13"/>
  <c r="U20" i="13"/>
  <c r="R18" i="13"/>
  <c r="U18" i="13" s="1"/>
  <c r="O20" i="13"/>
  <c r="L18" i="13"/>
  <c r="O18" i="13" s="1"/>
  <c r="T690" i="13"/>
  <c r="P356" i="12"/>
  <c r="U493" i="1"/>
  <c r="T117" i="11"/>
  <c r="N40" i="12"/>
  <c r="M40" i="12"/>
  <c r="P44" i="12"/>
  <c r="O20" i="12"/>
  <c r="L18" i="12"/>
  <c r="O18" i="12" s="1"/>
  <c r="O186" i="8"/>
  <c r="U20" i="9"/>
  <c r="O21" i="10"/>
  <c r="T728" i="10"/>
  <c r="T20" i="11"/>
  <c r="L40" i="12"/>
  <c r="P20" i="12"/>
  <c r="M18" i="12"/>
  <c r="P18" i="12" s="1"/>
  <c r="U94" i="1"/>
  <c r="P20" i="9"/>
  <c r="P21" i="10"/>
  <c r="R18" i="12"/>
  <c r="U18" i="12" s="1"/>
  <c r="O493" i="1"/>
  <c r="U266" i="11"/>
  <c r="M40" i="11"/>
  <c r="P40" i="11" s="1"/>
  <c r="P320" i="1"/>
  <c r="P44" i="11"/>
  <c r="K231" i="11"/>
  <c r="I185" i="11"/>
  <c r="K185" i="11" s="1"/>
  <c r="P20" i="11"/>
  <c r="M18" i="11"/>
  <c r="P18" i="11" s="1"/>
  <c r="O20" i="11"/>
  <c r="L18" i="11"/>
  <c r="O18" i="11" s="1"/>
  <c r="U728" i="1"/>
  <c r="U18" i="11"/>
  <c r="O44" i="11"/>
  <c r="T303" i="9"/>
  <c r="O375" i="10"/>
  <c r="P18" i="10"/>
  <c r="Q18" i="11"/>
  <c r="T18" i="11" s="1"/>
  <c r="U20" i="11"/>
  <c r="L40" i="11"/>
  <c r="O40" i="11" s="1"/>
  <c r="P20" i="10"/>
  <c r="O21" i="3"/>
  <c r="R18" i="9"/>
  <c r="U18" i="9" s="1"/>
  <c r="T493" i="1"/>
  <c r="U616" i="6"/>
  <c r="O356" i="9"/>
  <c r="T18" i="10"/>
  <c r="U20" i="10"/>
  <c r="R18" i="10"/>
  <c r="U18" i="10" s="1"/>
  <c r="O20" i="10"/>
  <c r="L18" i="10"/>
  <c r="O18" i="10" s="1"/>
  <c r="P59" i="1"/>
  <c r="O356" i="8"/>
  <c r="P21" i="9"/>
  <c r="L40" i="10"/>
  <c r="T20" i="10"/>
  <c r="M40" i="10"/>
  <c r="P44" i="10"/>
  <c r="U642" i="1"/>
  <c r="U20" i="6"/>
  <c r="T20" i="7"/>
  <c r="M18" i="9"/>
  <c r="P18" i="9" s="1"/>
  <c r="P18" i="8"/>
  <c r="O20" i="9"/>
  <c r="L18" i="9"/>
  <c r="O18" i="9" s="1"/>
  <c r="M40" i="9"/>
  <c r="T20" i="9"/>
  <c r="Q18" i="9"/>
  <c r="T18" i="9" s="1"/>
  <c r="L40" i="9"/>
  <c r="T760" i="9"/>
  <c r="U760" i="9"/>
  <c r="N40" i="9"/>
  <c r="I185" i="9"/>
  <c r="K185" i="9" s="1"/>
  <c r="K231" i="9"/>
  <c r="I185" i="8"/>
  <c r="K185" i="8" s="1"/>
  <c r="U72" i="1"/>
  <c r="L18" i="8"/>
  <c r="O18" i="8" s="1"/>
  <c r="U21" i="8"/>
  <c r="I185" i="5"/>
  <c r="K185" i="5" s="1"/>
  <c r="Q18" i="8"/>
  <c r="T18" i="8" s="1"/>
  <c r="P21" i="8"/>
  <c r="O59" i="8"/>
  <c r="L40" i="8"/>
  <c r="N40" i="5"/>
  <c r="N40" i="8"/>
  <c r="O44" i="8"/>
  <c r="U139" i="1"/>
  <c r="S18" i="1"/>
  <c r="P20" i="1"/>
  <c r="P20" i="8"/>
  <c r="U20" i="8"/>
  <c r="R18" i="8"/>
  <c r="U18" i="8" s="1"/>
  <c r="T20" i="1"/>
  <c r="T642" i="1"/>
  <c r="M18" i="1"/>
  <c r="T21" i="8"/>
  <c r="P44" i="8"/>
  <c r="U20" i="1"/>
  <c r="P157" i="1"/>
  <c r="P186" i="5"/>
  <c r="P18" i="7"/>
  <c r="P20" i="7"/>
  <c r="M40" i="8"/>
  <c r="P599" i="1"/>
  <c r="L40" i="7"/>
  <c r="O40" i="7" s="1"/>
  <c r="T72" i="1"/>
  <c r="U20" i="7"/>
  <c r="R18" i="7"/>
  <c r="U18" i="7" s="1"/>
  <c r="Q18" i="7"/>
  <c r="T18" i="7" s="1"/>
  <c r="T413" i="1"/>
  <c r="O266" i="6"/>
  <c r="M40" i="7"/>
  <c r="P44" i="7"/>
  <c r="O20" i="7"/>
  <c r="L18" i="7"/>
  <c r="O18" i="7" s="1"/>
  <c r="P157" i="3"/>
  <c r="N40" i="6"/>
  <c r="O21" i="7"/>
  <c r="P493" i="1"/>
  <c r="T20" i="6"/>
  <c r="T303" i="1"/>
  <c r="P20" i="6"/>
  <c r="M18" i="6"/>
  <c r="P18" i="6" s="1"/>
  <c r="M40" i="6"/>
  <c r="K231" i="6"/>
  <c r="I185" i="6"/>
  <c r="K185" i="6" s="1"/>
  <c r="R18" i="6"/>
  <c r="U18" i="6" s="1"/>
  <c r="L40" i="6"/>
  <c r="O44" i="6"/>
  <c r="O20" i="6"/>
  <c r="L18" i="6"/>
  <c r="O18" i="6" s="1"/>
  <c r="U728" i="4"/>
  <c r="Q18" i="6"/>
  <c r="T18" i="6" s="1"/>
  <c r="T21" i="6"/>
  <c r="U18" i="2"/>
  <c r="K457" i="1"/>
  <c r="U616" i="1"/>
  <c r="P21" i="5"/>
  <c r="U21" i="3"/>
  <c r="U24" i="1"/>
  <c r="U760" i="1"/>
  <c r="T139" i="1"/>
  <c r="P139" i="4"/>
  <c r="P333" i="3"/>
  <c r="O266" i="1"/>
  <c r="O44" i="5"/>
  <c r="L40" i="5"/>
  <c r="T20" i="5"/>
  <c r="O20" i="5"/>
  <c r="L18" i="5"/>
  <c r="O18" i="5" s="1"/>
  <c r="U20" i="5"/>
  <c r="R18" i="5"/>
  <c r="U18" i="5" s="1"/>
  <c r="M40" i="5"/>
  <c r="P44" i="5"/>
  <c r="O139" i="4"/>
  <c r="O320" i="1"/>
  <c r="P18" i="5"/>
  <c r="O21" i="5"/>
  <c r="P20" i="5"/>
  <c r="T24" i="1"/>
  <c r="T18" i="5"/>
  <c r="T690" i="1"/>
  <c r="O513" i="1"/>
  <c r="O20" i="4"/>
  <c r="L18" i="4"/>
  <c r="O18" i="4" s="1"/>
  <c r="P20" i="4"/>
  <c r="M18" i="4"/>
  <c r="P18" i="4" s="1"/>
  <c r="M40" i="4"/>
  <c r="P40" i="4" s="1"/>
  <c r="P44" i="4"/>
  <c r="T616" i="1"/>
  <c r="P19" i="1"/>
  <c r="N40" i="3"/>
  <c r="U20" i="4"/>
  <c r="R18" i="4"/>
  <c r="U18" i="4" s="1"/>
  <c r="L40" i="4"/>
  <c r="O40" i="4" s="1"/>
  <c r="O44" i="4"/>
  <c r="K231" i="4"/>
  <c r="I185" i="4"/>
  <c r="K185" i="4" s="1"/>
  <c r="P20" i="3"/>
  <c r="T21" i="4"/>
  <c r="Q18" i="4"/>
  <c r="T18" i="4" s="1"/>
  <c r="T20" i="4"/>
  <c r="O599" i="1"/>
  <c r="O375" i="1"/>
  <c r="U413" i="1"/>
  <c r="T20" i="3"/>
  <c r="O20" i="1"/>
  <c r="T21" i="1"/>
  <c r="T18" i="3"/>
  <c r="O21" i="1"/>
  <c r="L40" i="3"/>
  <c r="T21" i="2"/>
  <c r="O21" i="2"/>
  <c r="I185" i="3"/>
  <c r="K185" i="3" s="1"/>
  <c r="K231" i="3"/>
  <c r="O20" i="3"/>
  <c r="L18" i="3"/>
  <c r="O18" i="3" s="1"/>
  <c r="M18" i="3"/>
  <c r="P18" i="3" s="1"/>
  <c r="U690" i="1"/>
  <c r="O139" i="1"/>
  <c r="U186" i="1"/>
  <c r="U20" i="2"/>
  <c r="N18" i="1"/>
  <c r="P18" i="1" s="1"/>
  <c r="O320" i="3"/>
  <c r="O44" i="3"/>
  <c r="T21" i="3"/>
  <c r="M40" i="3"/>
  <c r="P44" i="3"/>
  <c r="P513" i="1"/>
  <c r="P94" i="1"/>
  <c r="U20" i="3"/>
  <c r="R18" i="3"/>
  <c r="U18" i="3" s="1"/>
  <c r="T760" i="1"/>
  <c r="P282" i="1"/>
  <c r="P375" i="2"/>
  <c r="O44" i="1"/>
  <c r="P21" i="1"/>
  <c r="U21" i="2"/>
  <c r="U413" i="2"/>
  <c r="L40" i="2"/>
  <c r="P20" i="2"/>
  <c r="M18" i="2"/>
  <c r="P18" i="2" s="1"/>
  <c r="P24" i="1"/>
  <c r="Q18" i="2"/>
  <c r="T18" i="2" s="1"/>
  <c r="T20" i="2"/>
  <c r="O24" i="1"/>
  <c r="O282" i="1"/>
  <c r="N40" i="2"/>
  <c r="M40" i="2"/>
  <c r="P44" i="2"/>
  <c r="O356" i="1"/>
  <c r="U21" i="1"/>
  <c r="K231" i="2"/>
  <c r="I185" i="2"/>
  <c r="K185" i="2" s="1"/>
  <c r="O20" i="2"/>
  <c r="L18" i="2"/>
  <c r="O18" i="2" s="1"/>
  <c r="O266" i="2"/>
  <c r="T728" i="1"/>
  <c r="U19" i="1"/>
  <c r="R18" i="1"/>
  <c r="J412" i="1"/>
  <c r="K412" i="1" s="1"/>
  <c r="K423" i="1"/>
  <c r="O19" i="1"/>
  <c r="L18" i="1"/>
  <c r="O157" i="1"/>
  <c r="Q18" i="1"/>
  <c r="P40" i="7" l="1"/>
  <c r="P40" i="14"/>
  <c r="O40" i="14"/>
  <c r="P40" i="8"/>
  <c r="P40" i="13"/>
  <c r="O40" i="13"/>
  <c r="P40" i="10"/>
  <c r="O40" i="12"/>
  <c r="O40" i="10"/>
  <c r="P40" i="12"/>
  <c r="P40" i="5"/>
  <c r="O40" i="5"/>
  <c r="O40" i="9"/>
  <c r="P40" i="9"/>
  <c r="P40" i="6"/>
  <c r="T18" i="1"/>
  <c r="U18" i="1"/>
  <c r="O40" i="8"/>
  <c r="O40" i="6"/>
  <c r="O40" i="3"/>
  <c r="P40" i="3"/>
  <c r="O18" i="1"/>
  <c r="O40" i="2"/>
  <c r="P40" i="2"/>
</calcChain>
</file>

<file path=xl/sharedStrings.xml><?xml version="1.0" encoding="utf-8"?>
<sst xmlns="http://schemas.openxmlformats.org/spreadsheetml/2006/main" count="19735" uniqueCount="333">
  <si>
    <t>รายละเอียดแผนงาน/โครงการ ผลผลิต/กิจกรรม ปีงบประมาณ พ.ศ. 2567</t>
  </si>
  <si>
    <t>รวมภาคใต้</t>
  </si>
  <si>
    <t>งบประมาณตาม พ.ร.บ.</t>
  </si>
  <si>
    <t>งบประมาณกองทุน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</si>
  <si>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</si>
  <si>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</si>
  <si>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</si>
  <si>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</si>
  <si>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</si>
  <si>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</si>
  <si>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</si>
  <si>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</si>
  <si>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</si>
  <si>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</si>
  <si>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</si>
  <si>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</si>
  <si>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</si>
  <si>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</si>
  <si>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</si>
  <si>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</si>
  <si>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</si>
  <si>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</si>
  <si>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</si>
  <si>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งบลงทุน</t>
  </si>
  <si>
    <t>งบบุคลากร</t>
  </si>
  <si>
    <t>งบประมาณ ประจำปีงบประมาณ พ.ศ. 2566 ไปพลางก่อน</t>
  </si>
  <si>
    <t>แผนงานบุคลากรภาครัฐ</t>
  </si>
  <si>
    <t>รายการบุคลากรภาครัฐ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</si>
  <si>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</si>
  <si>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</si>
  <si>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</si>
  <si>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</si>
  <si>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</si>
  <si>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</si>
  <si>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</si>
  <si>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</si>
  <si>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- ส.ป.ก.ส่วนกลาง </t>
  </si>
  <si>
    <t xml:space="preserve">- ส.ป.ก.จังหวัด  </t>
  </si>
  <si>
    <t>ขั้นตอนการดำเนินงาน</t>
  </si>
  <si>
    <t xml:space="preserve"> - อบรมเกษตรกร  </t>
  </si>
  <si>
    <t xml:space="preserve"> - แปลงใหญ่ ปี 2567</t>
  </si>
  <si>
    <t xml:space="preserve"> - แปลงใหญ่ ปี 2566</t>
  </si>
  <si>
    <t xml:space="preserve"> - แปลงใหญ่ ปี 2565</t>
  </si>
  <si>
    <t xml:space="preserve"> - สนับสนุนปัจจัยการผลิต</t>
  </si>
  <si>
    <t>โครงการที่ 2 : โครงการพัฒนาเกษตรกรรมยั่งยืน</t>
  </si>
  <si>
    <t>กิจกรรมส่งเสริมและพัฒนาเกษตรทฤษฎีใหม่ในเขตปฏิรูปที่ดิน</t>
  </si>
  <si>
    <t>ไร่</t>
  </si>
  <si>
    <t>ขั้นที่ 1</t>
  </si>
  <si>
    <t>- พื้นที่ที่ได้รับการส่งเสริมเป็นเกษตรทฤษฎีใหม่</t>
  </si>
  <si>
    <t>- เกษตรกรได้รับการส่งเสริมองค์ความรู้เกี่ยวกับเกษตรทฤษฎีใหม่</t>
  </si>
  <si>
    <t>- สนับสนุนปัจจัยการผลิต</t>
  </si>
  <si>
    <t>โครงการที่ 3 : โครงการพัฒนาธุรกิจชุมชน</t>
  </si>
  <si>
    <t>กิจกรรมพัฒนาธุรกิจชุมชนในเขตปฏิรูปที่ดิน</t>
  </si>
  <si>
    <t xml:space="preserve"> - หลักสูตร การเสริมสร้างความเข้มแข็งและการบริหารจัดการธุรกิจ</t>
  </si>
  <si>
    <t>กลุ่ม</t>
  </si>
  <si>
    <t>- หลักสูตร การเพิ่มมูลค่าสินค้าและการพัฒนาช่องทางด้านการตลาด</t>
  </si>
  <si>
    <t>- หลักสูตร แนวทางการขับเคลื่อนการพัฒนาธุรกิจชุมชนสู่ความสำเร็จ</t>
  </si>
  <si>
    <t>(โดย สพท.)</t>
  </si>
  <si>
    <t>โครงการที่ 4 : โครงการส่งเสริมและพัฒนาสินค้าเกษตรชีวภาพ</t>
  </si>
  <si>
    <t>กิจกรรมส่งเสริมการแปรรูปสมุนไพรด้วยโรงอบพลังงานแสงอาทิตย์ต้นทุนต่ำในเขตปฏิรูปที่ดิน</t>
  </si>
  <si>
    <t>โรงอบ</t>
  </si>
  <si>
    <t>แห่ง</t>
  </si>
  <si>
    <t>อบรมเกษตรกร</t>
  </si>
  <si>
    <t>- การเตรียมการ (การจัดทำฐานข้อมูลสมุนไพรและแผนการผลิต ฯ)</t>
  </si>
  <si>
    <r>
      <rPr>
        <b/>
        <sz val="15"/>
        <color theme="1"/>
        <rFont val="Arial"/>
      </rPr>
      <t>- หลักสูตรที่ 1</t>
    </r>
    <r>
      <rPr>
        <b/>
        <sz val="15"/>
        <color theme="1"/>
        <rFont val="Arial"/>
      </rPr>
      <t xml:space="preserve"> การดูแลรักษาโรงอบ ฯ</t>
    </r>
  </si>
  <si>
    <r>
      <rPr>
        <b/>
        <sz val="15"/>
        <color theme="1"/>
        <rFont val="Arial"/>
      </rPr>
      <t>- หลักสูตรที่ 2</t>
    </r>
    <r>
      <rPr>
        <b/>
        <sz val="15"/>
        <color theme="1"/>
        <rFont val="Arial"/>
      </rPr>
      <t xml:space="preserve"> การแปรรูปสมุนไพรด้วยโรงอบ ฯ</t>
    </r>
  </si>
  <si>
    <t>- จัดทำโรงอบ (งบลงทุน)</t>
  </si>
  <si>
    <t>โครงการที่ 5 : โครงการยกระดับคุณภาพมาตรฐานสินค้าเกษตร</t>
  </si>
  <si>
    <t xml:space="preserve">กิจกรรมตรวจรับรองสินค้าเกษตรในเขตปฏิรูปที่ดินตามมาตรฐาน GAP </t>
  </si>
  <si>
    <t>- เกษตรกรยื่นขอรับการรับรองมาตรฐานสินค้า (จังหวัด)</t>
  </si>
  <si>
    <t>- เกษตรกรได้รับการตรวจรับรองมาตรฐาน GAP (ส่วนกลาง)</t>
  </si>
  <si>
    <t>- เกษตรกรได้การรับรองสินค้าตามมาตรฐาน GAP (ส่วนกลาง)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</si>
  <si>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</si>
  <si>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</si>
  <si>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 xml:space="preserve">กิจกรรมพัฒนาและส่งเสริมศิลปหัตถกรรม  </t>
  </si>
  <si>
    <t>- หลักสูตรศิลปาชีพเพื่อเกษตรในเขตปฏิรูปที่ดิน (ระยะสั้น) โดยจังหวัด</t>
  </si>
  <si>
    <t>- หลักสูตรศิลปาชีพเพื่อผู้สนใจ (ระยะยาว) โดย ศพส.</t>
  </si>
  <si>
    <t>กิจกรรมพัฒนาตามแนวทางพระราชดำริ</t>
  </si>
  <si>
    <t>(1) โครงการคลินิกเกษตรเคลื่อนที่ในพระราชานุเคราะห์ ฯ</t>
  </si>
  <si>
    <t>ครั้ง</t>
  </si>
  <si>
    <t>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</si>
  <si>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</si>
  <si>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</si>
  <si>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</si>
  <si>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</si>
  <si>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</si>
  <si>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>- ค่าบริหารโครงการ</t>
  </si>
  <si>
    <t>- ค่าเบี้ยเลี้ยง/ที่พัก/พาหนะ</t>
  </si>
  <si>
    <t>- งบอบรม</t>
  </si>
  <si>
    <t>- ค่าวัสดุการเกษตร</t>
  </si>
  <si>
    <t>- จัดฝึกอบรม</t>
  </si>
  <si>
    <t>- โรงเรียนที่เข้าร่วมโครงการ</t>
  </si>
  <si>
    <t>- ต้นแบบ</t>
  </si>
  <si>
    <t>โรงเรียน/ราย</t>
  </si>
  <si>
    <t>(3) โครงการเพิ่มศักยภาพระบบงานเกษตรภายใต้แผนพัฒนาเด็ก ฯ</t>
  </si>
  <si>
    <t>- วัสดุการเกษตร</t>
  </si>
  <si>
    <t>- สนับสนุนวัสดุการเกษตร</t>
  </si>
  <si>
    <t>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</si>
  <si>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</si>
  <si>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</si>
  <si>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>- งบปลูกแฝก (ค่าขนกล้า)</t>
  </si>
  <si>
    <t>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</si>
  <si>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</si>
  <si>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</si>
  <si>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>- การฝึกอบรมการพัฒนาผลิตภัณฑ์และเชื่อมโยงการตลาด</t>
  </si>
  <si>
    <t>(5) โครงการอันเนื่องมาจากพระราชดำริพัฒนาความรู้ 12 โครงการ</t>
  </si>
  <si>
    <t>- งบปัจจัยรายบุคคล</t>
  </si>
  <si>
    <t>- งบปัจจัยต้นแบบ/ศูนย์/กิจกรรม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</si>
  <si>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</si>
  <si>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</si>
  <si>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</si>
  <si>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>(5) โครงการ...</t>
  </si>
  <si>
    <t>(6) โครงการ...</t>
  </si>
  <si>
    <t>โครงการที่ 2 : โครงการพัฒนาผู้แทนเกษตรกร</t>
  </si>
  <si>
    <t>กิจกรรมพัฒนาผู้แทนเกษตรกรในเขตปฏิรูปที่ดิน</t>
  </si>
  <si>
    <t xml:space="preserve"> - อบรม หลักสูตรการพัฒนาผู้แทนเกษตรกรในระดับพื้นที่ (โดย ส.ป.ก.จังหวัด)</t>
  </si>
  <si>
    <t xml:space="preserve"> - อบรม หลักสูตรการพัฒนาภาวะผู้นำแก่ผู้นำเกษตรกร (สพท.)</t>
  </si>
  <si>
    <t>แผนงานยุทธศาสตร์จัดการมลพิษและสิ่งแวดล้อม</t>
  </si>
  <si>
    <t>โครงการที่ 1 : โครงการเฝ้าระวังการเผาซากพืช วัชพืช และวัสดุทางการเกษตรในเขตปฏิรูปที่ดิน</t>
  </si>
  <si>
    <t>กิจกรรมเฝ้าระวังการเผาซากพืช วัชพืช และวัสดุทางการเกษตร ฯ</t>
  </si>
  <si>
    <t>- พื้นที่ที่ได้รับการส่งเสริมและเฝ้าระวังให้มีการลดการเผา</t>
  </si>
  <si>
    <t>- อบรมเกษตรกร</t>
  </si>
  <si>
    <r>
      <rPr>
        <b/>
        <sz val="15"/>
        <color theme="1"/>
        <rFont val="Arial"/>
      </rPr>
      <t xml:space="preserve">หลักสูตร </t>
    </r>
    <r>
      <rPr>
        <sz val="15"/>
        <color theme="1"/>
        <rFont val="Arial"/>
      </rPr>
      <t>แนวทางการเฝ้าระวังการเผาไหม้ฯ</t>
    </r>
  </si>
  <si>
    <r>
      <rPr>
        <sz val="15"/>
        <color theme="1"/>
        <rFont val="Arial"/>
      </rPr>
      <t xml:space="preserve">- เกษตรกรที่เข้าร่วมโครงการ </t>
    </r>
    <r>
      <rPr>
        <b/>
        <sz val="15"/>
        <color theme="1"/>
        <rFont val="Arial"/>
      </rPr>
      <t>ทั้งหมด</t>
    </r>
  </si>
  <si>
    <r>
      <rPr>
        <sz val="15"/>
        <color theme="1"/>
        <rFont val="Arial"/>
      </rPr>
      <t xml:space="preserve">- เกษตรกร </t>
    </r>
    <r>
      <rPr>
        <b/>
        <sz val="15"/>
        <color theme="1"/>
        <rFont val="Arial"/>
      </rPr>
      <t>เฉพาะ</t>
    </r>
    <r>
      <rPr>
        <sz val="15"/>
        <color theme="1"/>
        <rFont val="Arial"/>
      </rPr>
      <t xml:space="preserve"> ที่ได้รับการอบรม</t>
    </r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</si>
  <si>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</si>
  <si>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</si>
  <si>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กิจกรรมพัฒนาเกษตรกรปราดเปรื่องในเขตปฏิรูปที่ดิน (Smart Farmer)</t>
  </si>
  <si>
    <t>- เตรียมความพร้อมและทำแผนพัฒนาเกษตรกร (เตรียมแล้วให้ใส่ 1)</t>
  </si>
  <si>
    <t>- ผู้ประกอบการต้นแบบ</t>
  </si>
  <si>
    <t>- คัดเลือกเกษตรกรปราดเปรื่องต้นแบบ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</si>
  <si>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</si>
  <si>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</si>
  <si>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</si>
  <si>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</si>
  <si>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</si>
  <si>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กิจกรรมศูนย์บริการประชาชน</t>
  </si>
  <si>
    <t>ให้บริการเกษตรกรด้านอื่น ๆ</t>
  </si>
  <si>
    <t>- ให้บริการเกษตรกร ณ ศูนย์บริการประชาชน</t>
  </si>
  <si>
    <t>- ออกศูนย์บริการเคลื่อนที่ในเขตปฏิรูปที่ดิน</t>
  </si>
  <si>
    <t>- ตำบลที่ออกให้บริการ</t>
  </si>
  <si>
    <t>ตำบล</t>
  </si>
  <si>
    <t>- จำนวนผู้มารับบริการ</t>
  </si>
  <si>
    <t>- ผู้รับบริการจากระบบออนไลน์</t>
  </si>
  <si>
    <t>- ผู้รับบริการจากการออกรับบริการร่วมกับหน่วยงานภายนอกอื่น ๆ</t>
  </si>
  <si>
    <t>ให้บริการรับคำร้องแสดงความประสงค์ขอออกโฉนดเพื่อการเกษตร</t>
  </si>
  <si>
    <t>- เจ้าหน้าที่ยังไม่ได้รับเรื่อง</t>
  </si>
  <si>
    <t>- อยู่ระหว่างตรวจสอบตามขั้นตอนออกโฉนด (ขั้นตอน 1-10)</t>
  </si>
  <si>
    <t>กิจกรรมจัดที่ดิน</t>
  </si>
  <si>
    <t>จัดที่ดิน แปลงเกษตรกรรม</t>
  </si>
  <si>
    <t>- รังวัด</t>
  </si>
  <si>
    <t>- สอบสวนสิทธิ</t>
  </si>
  <si>
    <t>- มอบ ส.ป.ก. 4-01</t>
  </si>
  <si>
    <t>กิจกรรมแผนที่แปลงที่ดินตามมาตรฐาน RTK GNSS Network</t>
  </si>
  <si>
    <t>ดำเนินการโดย ส.ป.ก. จังหวัด (ข้อมูลจาก สผส.)</t>
  </si>
  <si>
    <t>ดำเนินการโดย สผส.</t>
  </si>
  <si>
    <t>กิจกรรมสำรวจและออกแบบโครงสร้างพื้นฐานในเขตปฏิรูปที่ดิน</t>
  </si>
  <si>
    <t>โครงการตรวจสอบที่ดิน</t>
  </si>
  <si>
    <t xml:space="preserve"> - ส.ป.ก.ส่วนกลาง </t>
  </si>
  <si>
    <t xml:space="preserve"> - ส.ป.ก.จังหวัด  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</si>
  <si>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</si>
  <si>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</si>
  <si>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 ใช้ประโยชน์ด้วยตนเอง</t>
  </si>
  <si>
    <t>1.2 ไม่ใช้ประโยชน์ในที่ดิน (รวมไม่ทราบข้อมูล)</t>
  </si>
  <si>
    <t>1.3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</si>
  <si>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</si>
  <si>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</si>
  <si>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</si>
  <si>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</si>
  <si>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</si>
  <si>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</si>
  <si>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</si>
  <si>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</si>
  <si>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>- เสียชีวิต ทายาททำประโยชน์</t>
  </si>
  <si>
    <t>- เสียชีวิต บุคคลอื่นทำประโยชน์</t>
  </si>
  <si>
    <t>3.4 ไม่มาให้ข้อเท็จจริง</t>
  </si>
  <si>
    <t>3.5 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</si>
  <si>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</si>
  <si>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</si>
  <si>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</si>
  <si>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</si>
  <si>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</si>
  <si>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</si>
  <si>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</si>
  <si>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</si>
  <si>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</si>
  <si>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>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</si>
  <si>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</si>
  <si>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</t>
  </si>
  <si>
    <t>ด้วยภาพถ่ายทางอากาศและ/หรือภาพดาวเทียมรายละเอียดสูง</t>
  </si>
  <si>
    <t>- ใช้ที่ดินปกติ</t>
  </si>
  <si>
    <t>- ใช้ที่ดินผิดปกติ (จัดส่งข้อมูลให้ ส.ป.ก. จังหวัดตรวจสอบ)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</si>
  <si>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</si>
  <si>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</t>
  </si>
  <si>
    <t xml:space="preserve">  แปลงที่ใช้ที่ดินผิดวัตถุประสงค์ จากการตรวจพบของ สผส.</t>
  </si>
  <si>
    <t>- ใช้ที่ดินตามวัตถุประสงค์</t>
  </si>
  <si>
    <t>- ใช้ที่ดินผิดวัตถุประสงค์</t>
  </si>
  <si>
    <t>- อื่น ๆ</t>
  </si>
  <si>
    <t>กิจกรรมยกระดับรายได้เกษตรกรในเขตปฏิรูปที่ดินเพื่อลดความเหลื่อมล้ำ</t>
  </si>
  <si>
    <t>- จัดฝึกอบรมเกษตรกรตามหลักสูตร</t>
  </si>
  <si>
    <t>- หลักสูตร จัดทำ และสรุปทบทวนแผนชุมชน</t>
  </si>
  <si>
    <t>- หลักสูตร ส่งเสริมพัฒนาอาชีพและการตลาด</t>
  </si>
  <si>
    <t>- หลักสูตร การพัฒนาสถาบันเกษตรกรในพื้นที่ คทช.</t>
  </si>
  <si>
    <t>- หลักสูตร ศึกษาดูงานเพื่อพัฒนาศักยภาพคณะกรรมการและสมาชิกฯ</t>
  </si>
  <si>
    <t>- หลักสูตร พัฒนาผู้นำเกษตรกร และเชื่อมโยงภาคีเครือข่าย (สพท.)</t>
  </si>
  <si>
    <t>แผนงานบูรณาการบริหารจัดการทรัพยากรน้ำ</t>
  </si>
  <si>
    <t>โครงการที่ 1 : โครงการพัฒนาแหล่งน้ำเพื่อการเกษตรในเขตปฏิรูปที่ดิน</t>
  </si>
  <si>
    <t xml:space="preserve">กิจกรรมขุดสระน้ำพร้อมระบบส่งน้ำ </t>
  </si>
  <si>
    <t>- ความก้าวหน้า</t>
  </si>
  <si>
    <t xml:space="preserve">- ขุดสระน้ำพร้อมระบบส่งน้ำ </t>
  </si>
  <si>
    <t>กิจกรรมขุดสระเก็บน้ำสาธารณะ</t>
  </si>
  <si>
    <t>กิจกรรมพัฒนาแหล่งน้ำและระบบกระจายน้ำ</t>
  </si>
  <si>
    <t xml:space="preserve"> </t>
  </si>
  <si>
    <t>กิจกรรมฝายชะลอน้ำแบบชั่วคราวสำหรับการเพิ่มประสิทธิภาพของแหล่งน้ำ</t>
  </si>
  <si>
    <t>- อบรม</t>
  </si>
  <si>
    <t>- ก่อสร้างฝายชะลอน้ำแบบชั่วคราว</t>
  </si>
  <si>
    <t>โครงการส่งเสริมและพัฒนาสินค้าเกษตรชีวภาพ</t>
  </si>
  <si>
    <t>กิจกรรมส่งเสริมและขยายพันธุ์พืชในเขตปฏิรูปที่ดิน</t>
  </si>
  <si>
    <t>ดำเนินการโดย สพท.</t>
  </si>
  <si>
    <t>- สนับสนุนกล้าไม้</t>
  </si>
  <si>
    <t>- ผู้สนใจเข้าศึกษาดูงาน</t>
  </si>
  <si>
    <t>- ศูนย์ส่งเสริมและขยายพันธุ์ฯ จ.พระนครศรีอยุธยา</t>
  </si>
  <si>
    <t>- ศูนย์ส่งเสริมและขยายพันธุ์ฯ จ.ฉะเชิงเทรา</t>
  </si>
  <si>
    <t>งบประมาณกองทุนการปฏิรูปที่ดินเพื่อเกษตรกรรม</t>
  </si>
  <si>
    <t>โครงการบริหารจัดการที่ดินเอกชน</t>
  </si>
  <si>
    <t>กิจกรรมการจัดหาที่ดินเอกชน</t>
  </si>
  <si>
    <t>1. การจัดหาที่ดินเพื่อการจัดซื้อที่ดินเอกชน ปี 2566</t>
  </si>
  <si>
    <t>- จัดทำป้ายประชาสัมพันธ์เพื่อประกาศพื้นที่</t>
  </si>
  <si>
    <t>- ปิดป้ายประชาสัมพันธ์เพื่อประกาศพื้นที่</t>
  </si>
  <si>
    <t>- รับคำเสนอขาย/ตรวจสอบความถูกต้องหนังสือแสดงสิทธิในที่ดิน</t>
  </si>
  <si>
    <t>- ตรวจสอบสภาพพื้นที่ แปลงที่ดิน การทำประโยชน์/ต่อรองราคา</t>
  </si>
  <si>
    <t>- คณะอนุกรรมการจัดซื้อที่ดินพิจารณาความเหมาะสมของที่ดิน</t>
  </si>
  <si>
    <t>- นำเสนอ คปจ./อกก.คง.</t>
  </si>
  <si>
    <t>- อำนาจ คปจ. เห็นชอบและอนุมัติ กรณีราคาไม่เกิน 1.5 เท่า</t>
  </si>
  <si>
    <t>- อำนาจ อกก.คง. เห็นชอบและอนุมัติ กรณีราคาเกิน 1.5 เท่า</t>
  </si>
  <si>
    <t>2. จัดซื้อที่ดินงานต่อเนื่อง</t>
  </si>
  <si>
    <t>- นำเสนอ คปจ.</t>
  </si>
  <si>
    <t>- ประกาศเขตปฏิรูปที่ดิน</t>
  </si>
  <si>
    <t>- จดทะเบียนสิทธิและนิติกรรม และชำระมูลค่าที่ดิน</t>
  </si>
  <si>
    <t>กิจกรรมการจัดที่ดินเอกชน 7 กิจกรรม</t>
  </si>
  <si>
    <t>1. สำรวจรังวัดปูผังแบ่งแปลงที่ดิน (แปลงว่าง) *</t>
  </si>
  <si>
    <t>2. จัดทำสัญญาเช่า/เช่าซื้อ (แปลงว่าง) *</t>
  </si>
  <si>
    <t>3. ปรับปรุงสิทธิ</t>
  </si>
  <si>
    <t>- การเช่าไปสู่การเช่าซื้อ</t>
  </si>
  <si>
    <t>- การเช่าซื้อไปสู่การเช่า</t>
  </si>
  <si>
    <t>4. การสำรวจรังวัดแบ่งแยกในนามเดิมยื่นคำขอออกโฉนดที่ดินกับ สนง.ที่ดิน</t>
  </si>
  <si>
    <t>- แปลงต้นขั้ว</t>
  </si>
  <si>
    <t>- แปลงยื่นสำรวจรังวัดแบ่งแยก</t>
  </si>
  <si>
    <t>- อยู่ระหว่างยื่นดำเนินการ</t>
  </si>
  <si>
    <t>- ดำเนินการเรียบร้อยแล้ว</t>
  </si>
  <si>
    <t>5. จดทะเบียนสิทธิและนิติกรรม (ตามสัญญาเช่าซื้อ) *</t>
  </si>
  <si>
    <t>6. โอนสิทธิและมรดกสิทธิการเช่า/เช่าซื้อ เต็มแปลง/แบ่งแปลง *</t>
  </si>
  <si>
    <t>- เต็มแปลง</t>
  </si>
  <si>
    <t>- แบ่งแปลง</t>
  </si>
  <si>
    <t>7. การเจรจาไกล่เกลี่ยข้อพิพาท</t>
  </si>
  <si>
    <t>- อยู่ระหว่างแก้ไขปัญหา</t>
  </si>
  <si>
    <t>- ยุติเรื่อง</t>
  </si>
  <si>
    <t>* กิจกรรมที่ 1,2,5,6 ข้อมูลจาก ALRO Land Online</t>
  </si>
  <si>
    <t>โครงการจัดที่ดินชุมชนในเขตปฏิรูปที่ดิน</t>
  </si>
  <si>
    <t>- วงรอบชุมชนใหม่</t>
  </si>
  <si>
    <t>ชุมชน</t>
  </si>
  <si>
    <t>- คปจ.</t>
  </si>
  <si>
    <t>- กิจการสนับสนุน</t>
  </si>
  <si>
    <t>- กิจการสาธารณูปโภค</t>
  </si>
  <si>
    <t>- จัดทำสัญญาเข้าทำประโยชน์ (ส.ป.ก. 4-118)</t>
  </si>
  <si>
    <t>(กิจการสนับสนุนฯ)</t>
  </si>
  <si>
    <t>- หนังสืออนุญาตเข้าทำประโยชน์ (ส.ป.ก. 4-31)</t>
  </si>
  <si>
    <t>(กิจการสาธารณูปโภค)</t>
  </si>
  <si>
    <t>โครงการตรวจสอบมาตรฐานการสำรวจรังวัดและจัดทำระวางแผนที่</t>
  </si>
  <si>
    <t>ตามระเบียบ กมร.</t>
  </si>
  <si>
    <t>แปลงที่ดินผ่านการตรวจทานและรับรองมาตรฐานการสำรวจรังวัด</t>
  </si>
  <si>
    <t>จัดทำระวางแผนที่ต้นฉบับมาตราส่วน 1:4,000</t>
  </si>
  <si>
    <t>โครงการส่งเสริมระบบวนเกษตรในเขตปฏิรูปที่ดิน</t>
  </si>
  <si>
    <t>- ขั้นที่ 1</t>
  </si>
  <si>
    <t>- พื้นที่ที่ได้รับการส่งเสริมเป็นวนเกษตร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</si>
  <si>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1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</si>
  <si>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1</t>
    </r>
  </si>
  <si>
    <t>- ขั้นที่ 2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</si>
  <si>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2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</si>
  <si>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2</t>
    </r>
  </si>
  <si>
    <t>- ขั้นที่ 3</t>
  </si>
  <si>
    <r>
      <rPr>
        <sz val="15"/>
        <color theme="1"/>
        <rFont val="Arial"/>
      </rPr>
      <t>- เกษตรกรที่เข้าร่วมโครงการขั้นที่</t>
    </r>
    <r>
      <rPr>
        <sz val="15"/>
        <color rgb="FFFF0000"/>
        <rFont val="Arial"/>
      </rPr>
      <t xml:space="preserve"> 3 ทั้งหมด</t>
    </r>
  </si>
  <si>
    <r>
      <rPr>
        <sz val="15"/>
        <color theme="1"/>
        <rFont val="Arial"/>
      </rPr>
      <t>- เกษต</t>
    </r>
    <r>
      <rPr>
        <sz val="15"/>
        <color rgb="FFFF0000"/>
        <rFont val="Arial"/>
      </rPr>
      <t>รกรเฉ</t>
    </r>
    <r>
      <rPr>
        <sz val="15"/>
        <color theme="1"/>
        <rFont val="Arial"/>
      </rPr>
      <t>พาะที่ได้รับการอบรม ขั้นที่ 3</t>
    </r>
  </si>
  <si>
    <r>
      <rPr>
        <sz val="15"/>
        <color theme="1"/>
        <rFont val="Arial"/>
      </rPr>
      <t>- เกษตรกรขั้นที่ 1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</si>
  <si>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 xml:space="preserve"> - เกษตรกรขั้นที่ 1 (เกษตรกรที่เข้าร่วมโครง</t>
    </r>
    <r>
      <rPr>
        <sz val="15"/>
        <color rgb="FFFF0000"/>
        <rFont val="Arial"/>
      </rPr>
      <t>การทั้ง</t>
    </r>
    <r>
      <rPr>
        <sz val="15"/>
        <color theme="1"/>
        <rFont val="Arial"/>
      </rPr>
      <t>หมด)</t>
    </r>
  </si>
  <si>
    <r>
      <rPr>
        <sz val="15"/>
        <color theme="1"/>
        <rFont val="Arial"/>
      </rPr>
      <t>- เกษตรกรขั้นที่ 2 (</t>
    </r>
    <r>
      <rPr>
        <sz val="15"/>
        <color rgb="FFFF0000"/>
        <rFont val="Arial"/>
      </rPr>
      <t>เฉพาะ</t>
    </r>
    <r>
      <rPr>
        <sz val="15"/>
        <color theme="1"/>
        <rFont val="Arial"/>
      </rPr>
      <t>) ที่ได้รับการอบรม</t>
    </r>
  </si>
  <si>
    <r>
      <rPr>
        <sz val="15"/>
        <color theme="1"/>
        <rFont val="Arial"/>
      </rPr>
      <t>- เกษตรกรขั้นที่ 2 (เกษตรกรที่เข้าร่วมโครงการ</t>
    </r>
    <r>
      <rPr>
        <sz val="15"/>
        <color rgb="FFFF0000"/>
        <rFont val="Arial"/>
      </rPr>
      <t>ทั้งหมด</t>
    </r>
    <r>
      <rPr>
        <sz val="15"/>
        <color theme="1"/>
        <rFont val="Arial"/>
      </rPr>
      <t>)</t>
    </r>
  </si>
  <si>
    <t>- ขั้นที่ 3 ครูต้นแบบวนเกษตรในเขตปฏิรูปที่ดิน</t>
  </si>
  <si>
    <t>โครงการส่งเสริมเกษตรอินทรีย์ในเขตปฏิรูปที่ดิน</t>
  </si>
  <si>
    <t>- อบรม หลักสูตรสำหรับพัฒนากลไกผู้นำเกษตรกรและเจ้าหน้าที่</t>
  </si>
  <si>
    <t>ด้านส่งเสริมเกษตรอินทรีย์ (โดย สพท.)</t>
  </si>
  <si>
    <t xml:space="preserve"> - อบรม หลักสูตรสำหรับส่งเสริมเกษตรอินทรีย์โดยใช้กระบวนการ</t>
  </si>
  <si>
    <t>โรงเรียนเกษตรกร (โดย ส.ป.ก.จังหวัด)</t>
  </si>
  <si>
    <t>- พื้นที่ในเขตปฏิรูปที่ดินได้รับการส่งเสริมเกษตรอินทรีย์</t>
  </si>
  <si>
    <t>การดำเนินงานกองทุนการปฏิรูปที่ดินเพื่อเกษตรกรรม (ใช้ข้อมูลจาก สบท.)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</si>
  <si>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</si>
  <si>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</si>
  <si>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</si>
  <si>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</si>
  <si>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:</t>
  </si>
  <si>
    <r>
      <rPr>
        <sz val="15"/>
        <color rgb="FF000000"/>
        <rFont val="Arial"/>
      </rPr>
      <t>- เกษตรกรขั้นที่ 2 (เกษตรกรที่เข้าร่วมโครงการ</t>
    </r>
    <r>
      <rPr>
        <sz val="15"/>
        <color rgb="FF000000"/>
        <rFont val="Arial"/>
      </rPr>
      <t>ทั้งหมด</t>
    </r>
    <r>
      <rPr>
        <sz val="15"/>
        <color rgb="FF000000"/>
        <rFont val="Arial"/>
      </rPr>
      <t>)</t>
    </r>
  </si>
  <si>
    <r>
      <rPr>
        <sz val="15"/>
        <color rgb="FF000000"/>
        <rFont val="Arial"/>
      </rPr>
      <t>- เกษตรกรขั้นที่ 2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</si>
  <si>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 xml:space="preserve"> - เกษตรกรขั้นที่ 1 (เกษตรกรที่เข้าร่วมโครง</t>
    </r>
    <r>
      <rPr>
        <sz val="15"/>
        <color rgb="FF000000"/>
        <rFont val="Arial"/>
      </rPr>
      <t>การทั้ง</t>
    </r>
    <r>
      <rPr>
        <sz val="15"/>
        <color rgb="FF000000"/>
        <rFont val="Arial"/>
      </rPr>
      <t>หมด)</t>
    </r>
  </si>
  <si>
    <r>
      <rPr>
        <sz val="15"/>
        <color rgb="FF000000"/>
        <rFont val="Arial"/>
      </rPr>
      <t>- เกษตรกรขั้นที่ 1 (</t>
    </r>
    <r>
      <rPr>
        <sz val="15"/>
        <color rgb="FF000000"/>
        <rFont val="Arial"/>
      </rPr>
      <t>เฉพาะ</t>
    </r>
    <r>
      <rPr>
        <sz val="15"/>
        <color rgb="FF000000"/>
        <rFont val="Arial"/>
      </rPr>
      <t>) ที่ได้รับการอบรม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</si>
  <si>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3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</si>
  <si>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3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</si>
  <si>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2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</si>
  <si>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2 ทั้งหมด</t>
    </r>
  </si>
  <si>
    <r>
      <rPr>
        <sz val="15"/>
        <color rgb="FF000000"/>
        <rFont val="Arial"/>
      </rPr>
      <t>- เกษต</t>
    </r>
    <r>
      <rPr>
        <sz val="15"/>
        <color rgb="FF000000"/>
        <rFont val="Arial"/>
      </rPr>
      <t>รกรเฉ</t>
    </r>
    <r>
      <rPr>
        <sz val="15"/>
        <color rgb="FF000000"/>
        <rFont val="Arial"/>
      </rPr>
      <t>พาะที่ได้รับการอบรม ขั้นที่ 1</t>
    </r>
  </si>
  <si>
    <r>
      <rPr>
        <sz val="15"/>
        <color rgb="FF000000"/>
        <rFont val="Arial"/>
      </rPr>
      <t>- เกษตรกรที่เข้าร่วมโครงการขั้นที่</t>
    </r>
    <r>
      <rPr>
        <sz val="15"/>
        <color rgb="FF000000"/>
        <rFont val="Arial"/>
      </rPr>
      <t xml:space="preserve"> 1 ทั้งหมด</t>
    </r>
  </si>
  <si>
    <t>- ค่าจ้างเหมาบริการ</t>
  </si>
  <si>
    <t>- ค่าใช้จ่ายในการบริหารงาน</t>
  </si>
  <si>
    <t>- งบบริหารโครงการ</t>
  </si>
  <si>
    <t>สำนักงานการปฏิรูปที่ดินจังหวัด กระบี่</t>
  </si>
  <si>
    <t>สำนักงานการปฏิรูปที่ดินจังหวัด ชุมพร</t>
  </si>
  <si>
    <t>สำนักงานการปฏิรูปที่ดินจังหวัด ตรัง</t>
  </si>
  <si>
    <t>(5) โครงการพัฒนาพื้นที่ลุ่มน้ำปากพนัง</t>
  </si>
  <si>
    <t>สำนักงานการปฏิรูปที่ดินจังหวัด นครศรีธรรมราช</t>
  </si>
  <si>
    <t>- แล้วเสร็จ</t>
  </si>
  <si>
    <t>สำนักงานการปฏิรูปที่ดินจังหวัด นราธิวาส</t>
  </si>
  <si>
    <t>สำนักงานการปฏิรูปที่ดินจังหวัด ปัตตานี</t>
  </si>
  <si>
    <t>สำนักงานการปฏิรูปที่ดินจังหวัด พังงา</t>
  </si>
  <si>
    <t>สำนักงานการปฏิรูปที่ดินจังหวัด พัทลุง</t>
  </si>
  <si>
    <t>สำนักงานการปฏิรูปที่ดินจังหวัด ภูเก็ต</t>
  </si>
  <si>
    <t>สำนักงานการปฏิรูปที่ดินจังหวัด ยะลา</t>
  </si>
  <si>
    <t>สำนักงานการปฏิรูปที่ดินจังหวัด ระนอง</t>
  </si>
  <si>
    <t>สำนักงานการปฏิรูปที่ดินจังหวัด สงขลา</t>
  </si>
  <si>
    <r>
      <rPr>
        <sz val="15"/>
        <color rgb="FF000000"/>
        <rFont val="Arial"/>
      </rPr>
      <t xml:space="preserve">- เกษตรกร </t>
    </r>
    <r>
      <rPr>
        <b/>
        <sz val="15"/>
        <color rgb="FF000000"/>
        <rFont val="Arial"/>
      </rPr>
      <t>เฉพาะ</t>
    </r>
    <r>
      <rPr>
        <sz val="15"/>
        <color rgb="FF000000"/>
        <rFont val="Arial"/>
      </rPr>
      <t xml:space="preserve"> ที่ได้รับการอบรม</t>
    </r>
  </si>
  <si>
    <r>
      <rPr>
        <sz val="15"/>
        <color rgb="FF000000"/>
        <rFont val="Arial"/>
      </rPr>
      <t xml:space="preserve">- เกษตรกรที่เข้าร่วมโครงการ </t>
    </r>
    <r>
      <rPr>
        <b/>
        <sz val="15"/>
        <color rgb="FF000000"/>
        <rFont val="Arial"/>
      </rPr>
      <t>ทั้งหมด</t>
    </r>
  </si>
  <si>
    <r>
      <rPr>
        <b/>
        <sz val="15"/>
        <color rgb="FF000000"/>
        <rFont val="Arial"/>
      </rPr>
      <t xml:space="preserve">หลักสูตร </t>
    </r>
    <r>
      <rPr>
        <sz val="15"/>
        <color rgb="FF000000"/>
        <rFont val="Arial"/>
      </rPr>
      <t>แนวทางการเฝ้าระวังการเผาไหม้ฯ</t>
    </r>
  </si>
  <si>
    <t>สำนักงานการปฏิรูปที่ดินจังหวัด สตูล</t>
  </si>
  <si>
    <t>สำนักงานการปฏิรูปที่ดินจังหวัด สุราษฎร์ธานี</t>
  </si>
  <si>
    <t>ข้อมูล ณ วันที่ 15 มิ.ย.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</si>
</sst>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-* #,##0_-;\-* #,##0_-;_-* &quot;-&quot;_-;_-@"/>
    <numFmt numFmtId="165" formatCode="_-* #,##0_-;\-* #,##0_-;_-* &quot;-&quot;??_-;_-@"/>
    <numFmt numFmtId="166" formatCode="_-* #,##0.00_-;\-* #,##0.00_-;_-* &quot;-&quot;??_-;_-@"/>
    <numFmt numFmtId="167" formatCode="_(* #,##0_);_(* \(#,##0\);_(* &quot;-&quot;??_);_(@_)"/>
    <numFmt numFmtId="168" formatCode="_-* #,##0.0_-;\-* #,##0.0_-;_-* &quot;-&quot;_-;_-@"/>
    <numFmt numFmtId="169" formatCode="_-* #,##0.00_-;\-* #,##0.00_-;_-* &quot;-&quot;????_-;_-@"/>
    <numFmt numFmtId="170" formatCode="_-* #,##0.00_-;\-* #,##0.00_-;_-* &quot;-&quot;_-;_-@"/>
  </numFmts>
  <fonts count="48" x14ac:knownFonts="1">
    <font>
      <sz val="10"/>
      <color rgb="FF000000"/>
      <name val="Arial"/>
      <scheme val="minor"/>
    </font>
    <font>
      <b/>
      <sz val="15"/>
      <color rgb="FF000000"/>
      <name val="Arial"/>
    </font>
    <font>
      <sz val="10"/>
      <color theme="1"/>
      <name val="Arial"/>
    </font>
    <font>
      <b/>
      <sz val="15"/>
      <color rgb="FFFFFFFF"/>
      <name val="Arial"/>
    </font>
    <font>
      <sz val="10"/>
      <name val="Arial"/>
    </font>
    <font>
      <b/>
      <sz val="15"/>
      <color theme="1"/>
      <name val="Arial"/>
    </font>
    <font>
      <b/>
      <u/>
      <sz val="15"/>
      <color theme="1"/>
      <name val="Arial"/>
    </font>
    <font>
      <sz val="15"/>
      <color theme="1"/>
      <name val="Arial"/>
    </font>
    <font>
      <sz val="15"/>
      <color rgb="FFFF0000"/>
      <name val="Arial"/>
    </font>
    <font>
      <u/>
      <sz val="15"/>
      <color theme="1"/>
      <name val="Arial"/>
    </font>
    <font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u/>
      <sz val="15"/>
      <color theme="1"/>
      <name val="Arial"/>
    </font>
    <font>
      <b/>
      <sz val="15"/>
      <color rgb="FFFF0000"/>
      <name val="Arial"/>
    </font>
    <font>
      <b/>
      <u/>
      <sz val="15"/>
      <color theme="1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theme="1"/>
      <name val="Arial"/>
    </font>
    <font>
      <i/>
      <sz val="13"/>
      <color theme="1"/>
      <name val="Arial"/>
    </font>
    <font>
      <b/>
      <u/>
      <sz val="15"/>
      <color theme="1"/>
      <name val="Arial"/>
    </font>
    <font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sz val="10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sz val="14"/>
      <color theme="1"/>
      <name val="Arial"/>
    </font>
    <font>
      <b/>
      <u/>
      <sz val="15"/>
      <color theme="1"/>
      <name val="Arial"/>
    </font>
    <font>
      <sz val="14"/>
      <color theme="1"/>
      <name val="Arial"/>
    </font>
    <font>
      <sz val="11"/>
      <color theme="1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rgb="FF000000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b/>
      <u/>
      <sz val="15"/>
      <color theme="1"/>
      <name val="Arial"/>
    </font>
    <font>
      <i/>
      <sz val="15"/>
      <color rgb="FF999999"/>
      <name val="Arial"/>
    </font>
    <font>
      <sz val="15"/>
      <color rgb="FF434343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b/>
      <u/>
      <sz val="15"/>
      <color rgb="FFFF0000"/>
      <name val="Arial"/>
    </font>
    <font>
      <sz val="10"/>
      <color rgb="FFFF0000"/>
      <name val="Arial"/>
    </font>
    <font>
      <u/>
      <sz val="15"/>
      <color rgb="FF000000"/>
      <name val="Arial"/>
    </font>
    <font>
      <sz val="10"/>
      <color theme="1"/>
      <name val="Arial"/>
      <scheme val="minor"/>
    </font>
    <font>
      <u/>
      <sz val="15"/>
      <color rgb="FFFF0000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38761D"/>
        <bgColor rgb="FF38761D"/>
      </patternFill>
    </fill>
    <fill>
      <patternFill patternType="solid">
        <fgColor rgb="FFBF9000"/>
        <bgColor rgb="FFBF900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99999"/>
        <bgColor rgb="FF999999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00FFFF"/>
        <bgColor rgb="FF00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CE4D6"/>
        <bgColor rgb="FFFCE4D6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FF00"/>
        <bgColor rgb="FFFFFF00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B7B7B7"/>
        <bgColor rgb="FFB7B7B7"/>
      </patternFill>
    </fill>
    <fill>
      <patternFill patternType="solid">
        <fgColor rgb="FFCC4125"/>
        <bgColor rgb="FFCC4125"/>
      </patternFill>
    </fill>
    <fill>
      <patternFill patternType="solid">
        <fgColor rgb="FFDD7E6B"/>
        <bgColor rgb="FFDD7E6B"/>
      </patternFill>
    </fill>
    <fill>
      <patternFill patternType="solid">
        <fgColor rgb="FFE6B8AF"/>
        <bgColor rgb="FFE6B8AF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1C232"/>
        <bgColor rgb="FFF1C232"/>
      </patternFill>
    </fill>
    <fill>
      <patternFill patternType="solid">
        <fgColor rgb="FFFFD966"/>
        <bgColor rgb="FFFFD966"/>
      </patternFill>
    </fill>
    <fill>
      <patternFill patternType="solid">
        <fgColor rgb="FFFFE599"/>
        <bgColor rgb="FFFFE599"/>
      </patternFill>
    </fill>
    <fill>
      <patternFill patternType="solid">
        <fgColor rgb="FFFFF2CC"/>
        <bgColor rgb="FFFFF2CC"/>
      </patternFill>
    </fill>
    <fill>
      <patternFill patternType="solid">
        <fgColor rgb="FFB45F06"/>
        <bgColor rgb="FFB45F06"/>
      </patternFill>
    </fill>
    <fill>
      <patternFill patternType="solid">
        <fgColor rgb="FFA2C4C9"/>
        <bgColor rgb="FFA2C4C9"/>
      </patternFill>
    </fill>
    <fill>
      <patternFill patternType="solid">
        <fgColor rgb="FFD0E0E3"/>
        <bgColor rgb="FFD0E0E3"/>
      </patternFill>
    </fill>
    <fill>
      <patternFill patternType="solid">
        <fgColor rgb="FFF3F3F3"/>
        <bgColor rgb="FFF3F3F3"/>
      </patternFill>
    </fill>
  </fills>
  <borders count="32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</borders>
  <cellStyleXfs count="1">
    <xf numFmtId="0" fontId="0" fillId="0" borderId="0"/>
  </cellStyleXfs>
  <cellXfs count="907">
    <xf numFmtId="0" fontId="0" fillId="0" borderId="0" xfId="0"/>
    <xf numFmtId="0" fontId="2" fillId="2" borderId="1" xfId="0" applyFont="1" applyFill="1" applyBorder="1"/>
    <xf numFmtId="164" fontId="2" fillId="2" borderId="1" xfId="0" applyNumberFormat="1" applyFont="1" applyFill="1" applyBorder="1" applyAlignment="1">
      <alignment horizontal="right"/>
    </xf>
    <xf numFmtId="165" fontId="2" fillId="2" borderId="1" xfId="0" applyNumberFormat="1" applyFont="1" applyFill="1" applyBorder="1"/>
    <xf numFmtId="166" fontId="2" fillId="2" borderId="2" xfId="0" applyNumberFormat="1" applyFont="1" applyFill="1" applyBorder="1"/>
    <xf numFmtId="0" fontId="5" fillId="5" borderId="6" xfId="0" applyFont="1" applyFill="1" applyBorder="1" applyAlignment="1">
      <alignment horizontal="center"/>
    </xf>
    <xf numFmtId="0" fontId="2" fillId="5" borderId="2" xfId="0" applyFont="1" applyFill="1" applyBorder="1"/>
    <xf numFmtId="166" fontId="5" fillId="6" borderId="2" xfId="0" applyNumberFormat="1" applyFont="1" applyFill="1" applyBorder="1" applyAlignment="1">
      <alignment horizontal="center"/>
    </xf>
    <xf numFmtId="165" fontId="5" fillId="6" borderId="2" xfId="0" applyNumberFormat="1" applyFont="1" applyFill="1" applyBorder="1" applyAlignment="1">
      <alignment horizontal="center" wrapText="1"/>
    </xf>
    <xf numFmtId="166" fontId="5" fillId="7" borderId="2" xfId="0" applyNumberFormat="1" applyFont="1" applyFill="1" applyBorder="1" applyAlignment="1">
      <alignment horizontal="center" wrapText="1"/>
    </xf>
    <xf numFmtId="166" fontId="5" fillId="9" borderId="2" xfId="0" applyNumberFormat="1" applyFont="1" applyFill="1" applyBorder="1" applyAlignment="1">
      <alignment horizontal="center" wrapText="1"/>
    </xf>
    <xf numFmtId="166" fontId="5" fillId="8" borderId="2" xfId="0" applyNumberFormat="1" applyFont="1" applyFill="1" applyBorder="1" applyAlignment="1">
      <alignment horizontal="center"/>
    </xf>
    <xf numFmtId="166" fontId="5" fillId="7" borderId="2" xfId="0" applyNumberFormat="1" applyFont="1" applyFill="1" applyBorder="1" applyAlignment="1">
      <alignment horizontal="center"/>
    </xf>
    <xf numFmtId="166" fontId="5" fillId="9" borderId="2" xfId="0" applyNumberFormat="1" applyFont="1" applyFill="1" applyBorder="1" applyAlignment="1">
      <alignment horizontal="center"/>
    </xf>
    <xf numFmtId="0" fontId="2" fillId="10" borderId="7" xfId="0" applyFont="1" applyFill="1" applyBorder="1"/>
    <xf numFmtId="0" fontId="2" fillId="10" borderId="2" xfId="0" applyFont="1" applyFill="1" applyBorder="1"/>
    <xf numFmtId="164" fontId="2" fillId="10" borderId="2" xfId="0" applyNumberFormat="1" applyFont="1" applyFill="1" applyBorder="1"/>
    <xf numFmtId="166" fontId="2" fillId="10" borderId="2" xfId="0" applyNumberFormat="1" applyFont="1" applyFill="1" applyBorder="1"/>
    <xf numFmtId="0" fontId="2" fillId="10" borderId="8" xfId="0" applyFont="1" applyFill="1" applyBorder="1"/>
    <xf numFmtId="0" fontId="2" fillId="10" borderId="9" xfId="0" applyFont="1" applyFill="1" applyBorder="1"/>
    <xf numFmtId="0" fontId="2" fillId="10" borderId="10" xfId="0" applyFont="1" applyFill="1" applyBorder="1"/>
    <xf numFmtId="164" fontId="2" fillId="10" borderId="10" xfId="0" applyNumberFormat="1" applyFont="1" applyFill="1" applyBorder="1"/>
    <xf numFmtId="166" fontId="2" fillId="10" borderId="10" xfId="0" applyNumberFormat="1" applyFont="1" applyFill="1" applyBorder="1"/>
    <xf numFmtId="0" fontId="2" fillId="10" borderId="1" xfId="0" applyFont="1" applyFill="1" applyBorder="1"/>
    <xf numFmtId="0" fontId="2" fillId="11" borderId="2" xfId="0" applyFont="1" applyFill="1" applyBorder="1"/>
    <xf numFmtId="164" fontId="2" fillId="11" borderId="2" xfId="0" applyNumberFormat="1" applyFont="1" applyFill="1" applyBorder="1"/>
    <xf numFmtId="166" fontId="2" fillId="11" borderId="2" xfId="0" applyNumberFormat="1" applyFont="1" applyFill="1" applyBorder="1"/>
    <xf numFmtId="0" fontId="2" fillId="12" borderId="8" xfId="0" applyFont="1" applyFill="1" applyBorder="1"/>
    <xf numFmtId="0" fontId="2" fillId="12" borderId="9" xfId="0" applyFont="1" applyFill="1" applyBorder="1"/>
    <xf numFmtId="0" fontId="5" fillId="12" borderId="9" xfId="0" applyFont="1" applyFill="1" applyBorder="1"/>
    <xf numFmtId="0" fontId="6" fillId="12" borderId="9" xfId="0" applyFont="1" applyFill="1" applyBorder="1"/>
    <xf numFmtId="0" fontId="2" fillId="12" borderId="10" xfId="0" applyFont="1" applyFill="1" applyBorder="1"/>
    <xf numFmtId="0" fontId="5" fillId="12" borderId="10" xfId="0" applyFont="1" applyFill="1" applyBorder="1" applyAlignment="1">
      <alignment horizontal="center"/>
    </xf>
    <xf numFmtId="164" fontId="2" fillId="12" borderId="10" xfId="0" applyNumberFormat="1" applyFont="1" applyFill="1" applyBorder="1"/>
    <xf numFmtId="166" fontId="2" fillId="12" borderId="10" xfId="0" applyNumberFormat="1" applyFont="1" applyFill="1" applyBorder="1"/>
    <xf numFmtId="166" fontId="5" fillId="12" borderId="10" xfId="0" applyNumberFormat="1" applyFont="1" applyFill="1" applyBorder="1" applyAlignment="1">
      <alignment horizontal="right"/>
    </xf>
    <xf numFmtId="0" fontId="7" fillId="12" borderId="9" xfId="0" applyFont="1" applyFill="1" applyBorder="1"/>
    <xf numFmtId="0" fontId="7" fillId="12" borderId="10" xfId="0" applyFont="1" applyFill="1" applyBorder="1" applyAlignment="1">
      <alignment horizontal="center"/>
    </xf>
    <xf numFmtId="166" fontId="8" fillId="12" borderId="10" xfId="0" applyNumberFormat="1" applyFont="1" applyFill="1" applyBorder="1" applyAlignment="1">
      <alignment horizontal="right"/>
    </xf>
    <xf numFmtId="166" fontId="7" fillId="12" borderId="10" xfId="0" applyNumberFormat="1" applyFont="1" applyFill="1" applyBorder="1" applyAlignment="1">
      <alignment horizontal="right"/>
    </xf>
    <xf numFmtId="0" fontId="2" fillId="2" borderId="8" xfId="0" applyFont="1" applyFill="1" applyBorder="1"/>
    <xf numFmtId="0" fontId="2" fillId="2" borderId="9" xfId="0" applyFont="1" applyFill="1" applyBorder="1"/>
    <xf numFmtId="0" fontId="9" fillId="2" borderId="9" xfId="0" applyFont="1" applyFill="1" applyBorder="1"/>
    <xf numFmtId="0" fontId="2" fillId="2" borderId="10" xfId="0" applyFont="1" applyFill="1" applyBorder="1"/>
    <xf numFmtId="0" fontId="7" fillId="2" borderId="10" xfId="0" applyFont="1" applyFill="1" applyBorder="1" applyAlignment="1">
      <alignment horizontal="center"/>
    </xf>
    <xf numFmtId="164" fontId="2" fillId="2" borderId="10" xfId="0" applyNumberFormat="1" applyFont="1" applyFill="1" applyBorder="1"/>
    <xf numFmtId="166" fontId="2" fillId="2" borderId="10" xfId="0" applyNumberFormat="1" applyFont="1" applyFill="1" applyBorder="1"/>
    <xf numFmtId="166" fontId="7" fillId="2" borderId="10" xfId="0" applyNumberFormat="1" applyFont="1" applyFill="1" applyBorder="1" applyAlignment="1">
      <alignment horizontal="right"/>
    </xf>
    <xf numFmtId="0" fontId="7" fillId="2" borderId="9" xfId="0" applyFont="1" applyFill="1" applyBorder="1"/>
    <xf numFmtId="166" fontId="8" fillId="2" borderId="10" xfId="0" applyNumberFormat="1" applyFont="1" applyFill="1" applyBorder="1" applyAlignment="1">
      <alignment horizontal="right"/>
    </xf>
    <xf numFmtId="0" fontId="10" fillId="2" borderId="9" xfId="0" applyFont="1" applyFill="1" applyBorder="1"/>
    <xf numFmtId="0" fontId="2" fillId="2" borderId="7" xfId="0" applyFont="1" applyFill="1" applyBorder="1"/>
    <xf numFmtId="0" fontId="7" fillId="2" borderId="1" xfId="0" applyFont="1" applyFill="1" applyBorder="1"/>
    <xf numFmtId="0" fontId="2" fillId="2" borderId="2" xfId="0" applyFont="1" applyFill="1" applyBorder="1"/>
    <xf numFmtId="0" fontId="7" fillId="2" borderId="2" xfId="0" applyFont="1" applyFill="1" applyBorder="1" applyAlignment="1">
      <alignment horizontal="center"/>
    </xf>
    <xf numFmtId="164" fontId="2" fillId="2" borderId="2" xfId="0" applyNumberFormat="1" applyFont="1" applyFill="1" applyBorder="1"/>
    <xf numFmtId="0" fontId="5" fillId="13" borderId="7" xfId="0" applyFont="1" applyFill="1" applyBorder="1"/>
    <xf numFmtId="0" fontId="2" fillId="13" borderId="1" xfId="0" applyFont="1" applyFill="1" applyBorder="1"/>
    <xf numFmtId="0" fontId="2" fillId="13" borderId="2" xfId="0" applyFont="1" applyFill="1" applyBorder="1"/>
    <xf numFmtId="164" fontId="2" fillId="13" borderId="2" xfId="0" applyNumberFormat="1" applyFont="1" applyFill="1" applyBorder="1"/>
    <xf numFmtId="166" fontId="2" fillId="13" borderId="2" xfId="0" applyNumberFormat="1" applyFont="1" applyFill="1" applyBorder="1"/>
    <xf numFmtId="0" fontId="5" fillId="14" borderId="7" xfId="0" applyFont="1" applyFill="1" applyBorder="1"/>
    <xf numFmtId="0" fontId="2" fillId="14" borderId="1" xfId="0" applyFont="1" applyFill="1" applyBorder="1"/>
    <xf numFmtId="164" fontId="2" fillId="14" borderId="1" xfId="0" applyNumberFormat="1" applyFont="1" applyFill="1" applyBorder="1"/>
    <xf numFmtId="166" fontId="2" fillId="14" borderId="1" xfId="0" applyNumberFormat="1" applyFont="1" applyFill="1" applyBorder="1"/>
    <xf numFmtId="166" fontId="2" fillId="14" borderId="2" xfId="0" applyNumberFormat="1" applyFont="1" applyFill="1" applyBorder="1"/>
    <xf numFmtId="0" fontId="2" fillId="15" borderId="9" xfId="0" applyFont="1" applyFill="1" applyBorder="1"/>
    <xf numFmtId="0" fontId="5" fillId="15" borderId="9" xfId="0" applyFont="1" applyFill="1" applyBorder="1"/>
    <xf numFmtId="0" fontId="2" fillId="15" borderId="10" xfId="0" applyFont="1" applyFill="1" applyBorder="1"/>
    <xf numFmtId="164" fontId="2" fillId="15" borderId="10" xfId="0" applyNumberFormat="1" applyFont="1" applyFill="1" applyBorder="1"/>
    <xf numFmtId="166" fontId="2" fillId="15" borderId="10" xfId="0" applyNumberFormat="1" applyFont="1" applyFill="1" applyBorder="1"/>
    <xf numFmtId="0" fontId="2" fillId="16" borderId="8" xfId="0" applyFont="1" applyFill="1" applyBorder="1"/>
    <xf numFmtId="0" fontId="2" fillId="16" borderId="9" xfId="0" applyFont="1" applyFill="1" applyBorder="1"/>
    <xf numFmtId="0" fontId="5" fillId="16" borderId="9" xfId="0" applyFont="1" applyFill="1" applyBorder="1"/>
    <xf numFmtId="0" fontId="11" fillId="16" borderId="9" xfId="0" applyFont="1" applyFill="1" applyBorder="1"/>
    <xf numFmtId="0" fontId="2" fillId="16" borderId="10" xfId="0" applyFont="1" applyFill="1" applyBorder="1"/>
    <xf numFmtId="0" fontId="5" fillId="16" borderId="10" xfId="0" applyFont="1" applyFill="1" applyBorder="1" applyAlignment="1">
      <alignment horizontal="center"/>
    </xf>
    <xf numFmtId="164" fontId="2" fillId="16" borderId="10" xfId="0" applyNumberFormat="1" applyFont="1" applyFill="1" applyBorder="1"/>
    <xf numFmtId="166" fontId="2" fillId="16" borderId="10" xfId="0" applyNumberFormat="1" applyFont="1" applyFill="1" applyBorder="1"/>
    <xf numFmtId="166" fontId="5" fillId="16" borderId="10" xfId="0" applyNumberFormat="1" applyFont="1" applyFill="1" applyBorder="1" applyAlignment="1">
      <alignment horizontal="right"/>
    </xf>
    <xf numFmtId="0" fontId="7" fillId="16" borderId="9" xfId="0" applyFont="1" applyFill="1" applyBorder="1"/>
    <xf numFmtId="0" fontId="7" fillId="16" borderId="10" xfId="0" applyFont="1" applyFill="1" applyBorder="1" applyAlignment="1">
      <alignment horizontal="center"/>
    </xf>
    <xf numFmtId="166" fontId="8" fillId="16" borderId="10" xfId="0" applyNumberFormat="1" applyFont="1" applyFill="1" applyBorder="1" applyAlignment="1">
      <alignment horizontal="right"/>
    </xf>
    <xf numFmtId="166" fontId="7" fillId="16" borderId="10" xfId="0" applyNumberFormat="1" applyFont="1" applyFill="1" applyBorder="1" applyAlignment="1">
      <alignment horizontal="right"/>
    </xf>
    <xf numFmtId="0" fontId="2" fillId="17" borderId="1" xfId="0" applyFont="1" applyFill="1" applyBorder="1"/>
    <xf numFmtId="164" fontId="2" fillId="17" borderId="1" xfId="0" applyNumberFormat="1" applyFont="1" applyFill="1" applyBorder="1"/>
    <xf numFmtId="166" fontId="2" fillId="17" borderId="1" xfId="0" applyNumberFormat="1" applyFont="1" applyFill="1" applyBorder="1"/>
    <xf numFmtId="166" fontId="2" fillId="17" borderId="2" xfId="0" applyNumberFormat="1" applyFont="1" applyFill="1" applyBorder="1"/>
    <xf numFmtId="0" fontId="2" fillId="18" borderId="8" xfId="0" applyFont="1" applyFill="1" applyBorder="1"/>
    <xf numFmtId="0" fontId="2" fillId="18" borderId="10" xfId="0" applyFont="1" applyFill="1" applyBorder="1"/>
    <xf numFmtId="164" fontId="2" fillId="18" borderId="10" xfId="0" applyNumberFormat="1" applyFont="1" applyFill="1" applyBorder="1"/>
    <xf numFmtId="166" fontId="2" fillId="18" borderId="10" xfId="0" applyNumberFormat="1" applyFont="1" applyFill="1" applyBorder="1"/>
    <xf numFmtId="0" fontId="2" fillId="19" borderId="8" xfId="0" applyFont="1" applyFill="1" applyBorder="1"/>
    <xf numFmtId="0" fontId="5" fillId="19" borderId="9" xfId="0" applyFont="1" applyFill="1" applyBorder="1"/>
    <xf numFmtId="0" fontId="2" fillId="19" borderId="9" xfId="0" applyFont="1" applyFill="1" applyBorder="1"/>
    <xf numFmtId="0" fontId="2" fillId="19" borderId="10" xfId="0" applyFont="1" applyFill="1" applyBorder="1"/>
    <xf numFmtId="164" fontId="2" fillId="19" borderId="10" xfId="0" applyNumberFormat="1" applyFont="1" applyFill="1" applyBorder="1"/>
    <xf numFmtId="166" fontId="2" fillId="19" borderId="10" xfId="0" applyNumberFormat="1" applyFont="1" applyFill="1" applyBorder="1"/>
    <xf numFmtId="0" fontId="2" fillId="20" borderId="8" xfId="0" applyFont="1" applyFill="1" applyBorder="1"/>
    <xf numFmtId="0" fontId="2" fillId="20" borderId="9" xfId="0" applyFont="1" applyFill="1" applyBorder="1"/>
    <xf numFmtId="0" fontId="5" fillId="20" borderId="9" xfId="0" applyFont="1" applyFill="1" applyBorder="1"/>
    <xf numFmtId="0" fontId="12" fillId="20" borderId="9" xfId="0" applyFont="1" applyFill="1" applyBorder="1"/>
    <xf numFmtId="0" fontId="2" fillId="20" borderId="10" xfId="0" applyFont="1" applyFill="1" applyBorder="1"/>
    <xf numFmtId="0" fontId="5" fillId="20" borderId="10" xfId="0" applyFont="1" applyFill="1" applyBorder="1" applyAlignment="1">
      <alignment horizontal="center"/>
    </xf>
    <xf numFmtId="164" fontId="2" fillId="20" borderId="10" xfId="0" applyNumberFormat="1" applyFont="1" applyFill="1" applyBorder="1"/>
    <xf numFmtId="166" fontId="2" fillId="20" borderId="10" xfId="0" applyNumberFormat="1" applyFont="1" applyFill="1" applyBorder="1"/>
    <xf numFmtId="166" fontId="5" fillId="20" borderId="10" xfId="0" applyNumberFormat="1" applyFont="1" applyFill="1" applyBorder="1" applyAlignment="1">
      <alignment horizontal="right"/>
    </xf>
    <xf numFmtId="0" fontId="7" fillId="20" borderId="9" xfId="0" applyFont="1" applyFill="1" applyBorder="1"/>
    <xf numFmtId="0" fontId="7" fillId="20" borderId="10" xfId="0" applyFont="1" applyFill="1" applyBorder="1" applyAlignment="1">
      <alignment horizontal="center"/>
    </xf>
    <xf numFmtId="166" fontId="7" fillId="20" borderId="10" xfId="0" applyNumberFormat="1" applyFont="1" applyFill="1" applyBorder="1" applyAlignment="1">
      <alignment horizontal="right"/>
    </xf>
    <xf numFmtId="166" fontId="8" fillId="20" borderId="10" xfId="0" applyNumberFormat="1" applyFont="1" applyFill="1" applyBorder="1" applyAlignment="1">
      <alignment horizontal="right"/>
    </xf>
    <xf numFmtId="166" fontId="7" fillId="2" borderId="2" xfId="0" applyNumberFormat="1" applyFont="1" applyFill="1" applyBorder="1" applyAlignment="1">
      <alignment horizontal="right"/>
    </xf>
    <xf numFmtId="165" fontId="5" fillId="21" borderId="7" xfId="0" applyNumberFormat="1" applyFont="1" applyFill="1" applyBorder="1"/>
    <xf numFmtId="165" fontId="2" fillId="21" borderId="1" xfId="0" applyNumberFormat="1" applyFont="1" applyFill="1" applyBorder="1"/>
    <xf numFmtId="0" fontId="2" fillId="21" borderId="1" xfId="0" applyFont="1" applyFill="1" applyBorder="1"/>
    <xf numFmtId="164" fontId="2" fillId="21" borderId="1" xfId="0" applyNumberFormat="1" applyFont="1" applyFill="1" applyBorder="1"/>
    <xf numFmtId="166" fontId="2" fillId="21" borderId="1" xfId="0" applyNumberFormat="1" applyFont="1" applyFill="1" applyBorder="1"/>
    <xf numFmtId="166" fontId="2" fillId="21" borderId="2" xfId="0" applyNumberFormat="1" applyFont="1" applyFill="1" applyBorder="1"/>
    <xf numFmtId="165" fontId="5" fillId="22" borderId="8" xfId="0" applyNumberFormat="1" applyFont="1" applyFill="1" applyBorder="1"/>
    <xf numFmtId="0" fontId="2" fillId="22" borderId="9" xfId="0" applyFont="1" applyFill="1" applyBorder="1"/>
    <xf numFmtId="165" fontId="2" fillId="22" borderId="9" xfId="0" applyNumberFormat="1" applyFont="1" applyFill="1" applyBorder="1"/>
    <xf numFmtId="0" fontId="2" fillId="22" borderId="10" xfId="0" applyFont="1" applyFill="1" applyBorder="1"/>
    <xf numFmtId="164" fontId="2" fillId="22" borderId="10" xfId="0" applyNumberFormat="1" applyFont="1" applyFill="1" applyBorder="1"/>
    <xf numFmtId="166" fontId="2" fillId="22" borderId="10" xfId="0" applyNumberFormat="1" applyFont="1" applyFill="1" applyBorder="1"/>
    <xf numFmtId="167" fontId="2" fillId="12" borderId="8" xfId="0" applyNumberFormat="1" applyFont="1" applyFill="1" applyBorder="1"/>
    <xf numFmtId="165" fontId="2" fillId="12" borderId="9" xfId="0" applyNumberFormat="1" applyFont="1" applyFill="1" applyBorder="1"/>
    <xf numFmtId="0" fontId="5" fillId="12" borderId="10" xfId="0" applyFont="1" applyFill="1" applyBorder="1" applyAlignment="1">
      <alignment horizontal="center" wrapText="1"/>
    </xf>
    <xf numFmtId="164" fontId="5" fillId="12" borderId="10" xfId="0" applyNumberFormat="1" applyFont="1" applyFill="1" applyBorder="1" applyAlignment="1">
      <alignment horizontal="right"/>
    </xf>
    <xf numFmtId="167" fontId="2" fillId="2" borderId="8" xfId="0" applyNumberFormat="1" applyFont="1" applyFill="1" applyBorder="1"/>
    <xf numFmtId="0" fontId="5" fillId="2" borderId="9" xfId="0" applyFont="1" applyFill="1" applyBorder="1"/>
    <xf numFmtId="0" fontId="13" fillId="2" borderId="9" xfId="0" applyFont="1" applyFill="1" applyBorder="1"/>
    <xf numFmtId="165" fontId="5" fillId="2" borderId="10" xfId="0" applyNumberFormat="1" applyFont="1" applyFill="1" applyBorder="1" applyAlignment="1">
      <alignment horizontal="center"/>
    </xf>
    <xf numFmtId="166" fontId="5" fillId="2" borderId="10" xfId="0" applyNumberFormat="1" applyFont="1" applyFill="1" applyBorder="1" applyAlignment="1">
      <alignment horizontal="right"/>
    </xf>
    <xf numFmtId="165" fontId="7" fillId="2" borderId="10" xfId="0" applyNumberFormat="1" applyFont="1" applyFill="1" applyBorder="1" applyAlignment="1">
      <alignment horizontal="center"/>
    </xf>
    <xf numFmtId="165" fontId="7" fillId="0" borderId="10" xfId="0" applyNumberFormat="1" applyFont="1" applyBorder="1" applyAlignment="1">
      <alignment horizontal="center" wrapText="1"/>
    </xf>
    <xf numFmtId="164" fontId="2" fillId="0" borderId="10" xfId="0" applyNumberFormat="1" applyFont="1" applyBorder="1"/>
    <xf numFmtId="166" fontId="2" fillId="0" borderId="10" xfId="0" applyNumberFormat="1" applyFont="1" applyBorder="1"/>
    <xf numFmtId="165" fontId="7" fillId="0" borderId="10" xfId="0" applyNumberFormat="1" applyFont="1" applyBorder="1" applyAlignment="1">
      <alignment horizontal="center"/>
    </xf>
    <xf numFmtId="165" fontId="2" fillId="0" borderId="8" xfId="0" applyNumberFormat="1" applyFont="1" applyBorder="1"/>
    <xf numFmtId="165" fontId="2" fillId="0" borderId="9" xfId="0" applyNumberFormat="1" applyFont="1" applyBorder="1"/>
    <xf numFmtId="0" fontId="14" fillId="23" borderId="9" xfId="0" quotePrefix="1" applyFont="1" applyFill="1" applyBorder="1"/>
    <xf numFmtId="0" fontId="2" fillId="23" borderId="9" xfId="0" applyFont="1" applyFill="1" applyBorder="1"/>
    <xf numFmtId="0" fontId="2" fillId="23" borderId="10" xfId="0" applyFont="1" applyFill="1" applyBorder="1"/>
    <xf numFmtId="0" fontId="2" fillId="0" borderId="10" xfId="0" applyFont="1" applyBorder="1"/>
    <xf numFmtId="0" fontId="7" fillId="0" borderId="9" xfId="0" quotePrefix="1" applyFont="1" applyBorder="1"/>
    <xf numFmtId="0" fontId="2" fillId="0" borderId="9" xfId="0" applyFont="1" applyBorder="1"/>
    <xf numFmtId="0" fontId="5" fillId="0" borderId="10" xfId="0" applyFont="1" applyBorder="1" applyAlignment="1">
      <alignment horizontal="center" wrapText="1"/>
    </xf>
    <xf numFmtId="164" fontId="5" fillId="2" borderId="10" xfId="0" applyNumberFormat="1" applyFont="1" applyFill="1" applyBorder="1" applyAlignment="1">
      <alignment horizontal="right"/>
    </xf>
    <xf numFmtId="166" fontId="5" fillId="0" borderId="10" xfId="0" applyNumberFormat="1" applyFont="1" applyBorder="1" applyAlignment="1">
      <alignment horizontal="right"/>
    </xf>
    <xf numFmtId="0" fontId="7" fillId="0" borderId="9" xfId="0" applyFont="1" applyBorder="1"/>
    <xf numFmtId="0" fontId="7" fillId="0" borderId="10" xfId="0" applyFont="1" applyBorder="1" applyAlignment="1">
      <alignment horizontal="center"/>
    </xf>
    <xf numFmtId="164" fontId="7" fillId="0" borderId="10" xfId="0" applyNumberFormat="1" applyFont="1" applyBorder="1" applyAlignment="1">
      <alignment horizontal="right"/>
    </xf>
    <xf numFmtId="164" fontId="7" fillId="2" borderId="10" xfId="0" applyNumberFormat="1" applyFont="1" applyFill="1" applyBorder="1" applyAlignment="1">
      <alignment horizontal="right"/>
    </xf>
    <xf numFmtId="166" fontId="7" fillId="0" borderId="10" xfId="0" applyNumberFormat="1" applyFont="1" applyBorder="1" applyAlignment="1">
      <alignment horizontal="right"/>
    </xf>
    <xf numFmtId="0" fontId="7" fillId="0" borderId="10" xfId="0" applyFont="1" applyBorder="1" applyAlignment="1">
      <alignment horizontal="center" wrapText="1"/>
    </xf>
    <xf numFmtId="165" fontId="2" fillId="22" borderId="10" xfId="0" applyNumberFormat="1" applyFont="1" applyFill="1" applyBorder="1"/>
    <xf numFmtId="165" fontId="5" fillId="12" borderId="10" xfId="0" applyNumberFormat="1" applyFont="1" applyFill="1" applyBorder="1" applyAlignment="1">
      <alignment horizontal="center" wrapText="1"/>
    </xf>
    <xf numFmtId="0" fontId="8" fillId="2" borderId="9" xfId="0" applyFont="1" applyFill="1" applyBorder="1"/>
    <xf numFmtId="165" fontId="8" fillId="2" borderId="10" xfId="0" applyNumberFormat="1" applyFont="1" applyFill="1" applyBorder="1" applyAlignment="1">
      <alignment horizontal="center"/>
    </xf>
    <xf numFmtId="165" fontId="2" fillId="2" borderId="9" xfId="0" applyNumberFormat="1" applyFont="1" applyFill="1" applyBorder="1"/>
    <xf numFmtId="165" fontId="8" fillId="0" borderId="10" xfId="0" applyNumberFormat="1" applyFont="1" applyBorder="1" applyAlignment="1">
      <alignment horizontal="center" wrapText="1"/>
    </xf>
    <xf numFmtId="165" fontId="15" fillId="2" borderId="9" xfId="0" applyNumberFormat="1" applyFont="1" applyFill="1" applyBorder="1"/>
    <xf numFmtId="165" fontId="5" fillId="2" borderId="9" xfId="0" applyNumberFormat="1" applyFont="1" applyFill="1" applyBorder="1"/>
    <xf numFmtId="165" fontId="2" fillId="10" borderId="8" xfId="0" applyNumberFormat="1" applyFont="1" applyFill="1" applyBorder="1"/>
    <xf numFmtId="165" fontId="2" fillId="10" borderId="9" xfId="0" applyNumberFormat="1" applyFont="1" applyFill="1" applyBorder="1"/>
    <xf numFmtId="0" fontId="5" fillId="0" borderId="9" xfId="0" applyFont="1" applyBorder="1"/>
    <xf numFmtId="0" fontId="2" fillId="0" borderId="0" xfId="0" applyFont="1"/>
    <xf numFmtId="164" fontId="7" fillId="24" borderId="10" xfId="0" applyNumberFormat="1" applyFont="1" applyFill="1" applyBorder="1" applyAlignment="1">
      <alignment horizontal="right"/>
    </xf>
    <xf numFmtId="165" fontId="2" fillId="0" borderId="11" xfId="0" applyNumberFormat="1" applyFont="1" applyBorder="1"/>
    <xf numFmtId="165" fontId="2" fillId="0" borderId="12" xfId="0" applyNumberFormat="1" applyFont="1" applyBorder="1"/>
    <xf numFmtId="165" fontId="7" fillId="0" borderId="12" xfId="0" applyNumberFormat="1" applyFont="1" applyBorder="1"/>
    <xf numFmtId="0" fontId="2" fillId="0" borderId="12" xfId="0" applyFont="1" applyBorder="1"/>
    <xf numFmtId="0" fontId="2" fillId="0" borderId="13" xfId="0" applyFont="1" applyBorder="1"/>
    <xf numFmtId="0" fontId="7" fillId="0" borderId="13" xfId="0" applyFont="1" applyBorder="1" applyAlignment="1">
      <alignment horizontal="center"/>
    </xf>
    <xf numFmtId="164" fontId="7" fillId="0" borderId="13" xfId="0" applyNumberFormat="1" applyFont="1" applyBorder="1" applyAlignment="1">
      <alignment horizontal="right"/>
    </xf>
    <xf numFmtId="164" fontId="7" fillId="24" borderId="13" xfId="0" applyNumberFormat="1" applyFont="1" applyFill="1" applyBorder="1" applyAlignment="1">
      <alignment horizontal="right"/>
    </xf>
    <xf numFmtId="166" fontId="7" fillId="2" borderId="13" xfId="0" applyNumberFormat="1" applyFont="1" applyFill="1" applyBorder="1" applyAlignment="1">
      <alignment horizontal="right"/>
    </xf>
    <xf numFmtId="166" fontId="2" fillId="2" borderId="13" xfId="0" applyNumberFormat="1" applyFont="1" applyFill="1" applyBorder="1"/>
    <xf numFmtId="166" fontId="2" fillId="0" borderId="13" xfId="0" applyNumberFormat="1" applyFont="1" applyBorder="1"/>
    <xf numFmtId="167" fontId="2" fillId="22" borderId="9" xfId="0" applyNumberFormat="1" applyFont="1" applyFill="1" applyBorder="1"/>
    <xf numFmtId="164" fontId="2" fillId="22" borderId="9" xfId="0" applyNumberFormat="1" applyFont="1" applyFill="1" applyBorder="1"/>
    <xf numFmtId="166" fontId="2" fillId="22" borderId="9" xfId="0" applyNumberFormat="1" applyFont="1" applyFill="1" applyBorder="1"/>
    <xf numFmtId="165" fontId="5" fillId="12" borderId="9" xfId="0" applyNumberFormat="1" applyFont="1" applyFill="1" applyBorder="1"/>
    <xf numFmtId="167" fontId="2" fillId="12" borderId="9" xfId="0" applyNumberFormat="1" applyFont="1" applyFill="1" applyBorder="1"/>
    <xf numFmtId="165" fontId="5" fillId="12" borderId="10" xfId="0" applyNumberFormat="1" applyFont="1" applyFill="1" applyBorder="1" applyAlignment="1">
      <alignment horizontal="center"/>
    </xf>
    <xf numFmtId="167" fontId="2" fillId="2" borderId="9" xfId="0" applyNumberFormat="1" applyFont="1" applyFill="1" applyBorder="1"/>
    <xf numFmtId="165" fontId="7" fillId="2" borderId="10" xfId="0" applyNumberFormat="1" applyFont="1" applyFill="1" applyBorder="1" applyAlignment="1">
      <alignment horizontal="center" wrapText="1"/>
    </xf>
    <xf numFmtId="165" fontId="8" fillId="2" borderId="10" xfId="0" applyNumberFormat="1" applyFont="1" applyFill="1" applyBorder="1" applyAlignment="1">
      <alignment horizontal="center" wrapText="1"/>
    </xf>
    <xf numFmtId="165" fontId="16" fillId="2" borderId="9" xfId="0" applyNumberFormat="1" applyFont="1" applyFill="1" applyBorder="1" applyAlignment="1">
      <alignment horizontal="center"/>
    </xf>
    <xf numFmtId="165" fontId="2" fillId="0" borderId="10" xfId="0" applyNumberFormat="1" applyFont="1" applyBorder="1"/>
    <xf numFmtId="0" fontId="8" fillId="0" borderId="9" xfId="0" applyFont="1" applyBorder="1"/>
    <xf numFmtId="165" fontId="2" fillId="2" borderId="10" xfId="0" applyNumberFormat="1" applyFont="1" applyFill="1" applyBorder="1"/>
    <xf numFmtId="165" fontId="2" fillId="10" borderId="10" xfId="0" applyNumberFormat="1" applyFont="1" applyFill="1" applyBorder="1"/>
    <xf numFmtId="164" fontId="2" fillId="12" borderId="9" xfId="0" applyNumberFormat="1" applyFont="1" applyFill="1" applyBorder="1"/>
    <xf numFmtId="167" fontId="5" fillId="12" borderId="9" xfId="0" applyNumberFormat="1" applyFont="1" applyFill="1" applyBorder="1"/>
    <xf numFmtId="167" fontId="2" fillId="2" borderId="7" xfId="0" applyNumberFormat="1" applyFont="1" applyFill="1" applyBorder="1"/>
    <xf numFmtId="165" fontId="7" fillId="0" borderId="2" xfId="0" applyNumberFormat="1" applyFont="1" applyBorder="1" applyAlignment="1">
      <alignment horizontal="center"/>
    </xf>
    <xf numFmtId="164" fontId="7" fillId="2" borderId="2" xfId="0" applyNumberFormat="1" applyFont="1" applyFill="1" applyBorder="1" applyAlignment="1">
      <alignment horizontal="right"/>
    </xf>
    <xf numFmtId="165" fontId="5" fillId="9" borderId="7" xfId="0" applyNumberFormat="1" applyFont="1" applyFill="1" applyBorder="1"/>
    <xf numFmtId="165" fontId="2" fillId="9" borderId="1" xfId="0" applyNumberFormat="1" applyFont="1" applyFill="1" applyBorder="1"/>
    <xf numFmtId="0" fontId="2" fillId="9" borderId="1" xfId="0" applyFont="1" applyFill="1" applyBorder="1"/>
    <xf numFmtId="164" fontId="2" fillId="9" borderId="1" xfId="0" applyNumberFormat="1" applyFont="1" applyFill="1" applyBorder="1"/>
    <xf numFmtId="166" fontId="2" fillId="9" borderId="1" xfId="0" applyNumberFormat="1" applyFont="1" applyFill="1" applyBorder="1"/>
    <xf numFmtId="166" fontId="2" fillId="9" borderId="2" xfId="0" applyNumberFormat="1" applyFont="1" applyFill="1" applyBorder="1"/>
    <xf numFmtId="165" fontId="5" fillId="25" borderId="8" xfId="0" applyNumberFormat="1" applyFont="1" applyFill="1" applyBorder="1"/>
    <xf numFmtId="165" fontId="2" fillId="25" borderId="9" xfId="0" applyNumberFormat="1" applyFont="1" applyFill="1" applyBorder="1"/>
    <xf numFmtId="0" fontId="2" fillId="25" borderId="9" xfId="0" applyFont="1" applyFill="1" applyBorder="1"/>
    <xf numFmtId="0" fontId="2" fillId="25" borderId="10" xfId="0" applyFont="1" applyFill="1" applyBorder="1"/>
    <xf numFmtId="164" fontId="2" fillId="25" borderId="10" xfId="0" applyNumberFormat="1" applyFont="1" applyFill="1" applyBorder="1"/>
    <xf numFmtId="166" fontId="2" fillId="25" borderId="10" xfId="0" applyNumberFormat="1" applyFont="1" applyFill="1" applyBorder="1"/>
    <xf numFmtId="165" fontId="2" fillId="23" borderId="8" xfId="0" applyNumberFormat="1" applyFont="1" applyFill="1" applyBorder="1"/>
    <xf numFmtId="0" fontId="5" fillId="23" borderId="9" xfId="0" applyFont="1" applyFill="1" applyBorder="1"/>
    <xf numFmtId="165" fontId="2" fillId="23" borderId="9" xfId="0" applyNumberFormat="1" applyFont="1" applyFill="1" applyBorder="1"/>
    <xf numFmtId="0" fontId="5" fillId="23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right"/>
    </xf>
    <xf numFmtId="166" fontId="5" fillId="23" borderId="10" xfId="0" applyNumberFormat="1" applyFont="1" applyFill="1" applyBorder="1" applyAlignment="1">
      <alignment horizontal="right"/>
    </xf>
    <xf numFmtId="166" fontId="2" fillId="23" borderId="10" xfId="0" applyNumberFormat="1" applyFont="1" applyFill="1" applyBorder="1"/>
    <xf numFmtId="165" fontId="2" fillId="2" borderId="8" xfId="0" applyNumberFormat="1" applyFont="1" applyFill="1" applyBorder="1"/>
    <xf numFmtId="165" fontId="7" fillId="2" borderId="9" xfId="0" applyNumberFormat="1" applyFont="1" applyFill="1" applyBorder="1"/>
    <xf numFmtId="0" fontId="7" fillId="2" borderId="10" xfId="0" applyFont="1" applyFill="1" applyBorder="1" applyAlignment="1">
      <alignment horizontal="center" wrapText="1"/>
    </xf>
    <xf numFmtId="164" fontId="5" fillId="23" borderId="10" xfId="0" applyNumberFormat="1" applyFont="1" applyFill="1" applyBorder="1" applyAlignment="1">
      <alignment horizontal="center"/>
    </xf>
    <xf numFmtId="166" fontId="5" fillId="23" borderId="10" xfId="0" applyNumberFormat="1" applyFont="1" applyFill="1" applyBorder="1" applyAlignment="1">
      <alignment horizontal="center"/>
    </xf>
    <xf numFmtId="165" fontId="2" fillId="26" borderId="8" xfId="0" applyNumberFormat="1" applyFont="1" applyFill="1" applyBorder="1"/>
    <xf numFmtId="165" fontId="2" fillId="26" borderId="9" xfId="0" applyNumberFormat="1" applyFont="1" applyFill="1" applyBorder="1"/>
    <xf numFmtId="0" fontId="5" fillId="26" borderId="9" xfId="0" applyFont="1" applyFill="1" applyBorder="1"/>
    <xf numFmtId="0" fontId="2" fillId="26" borderId="9" xfId="0" applyFont="1" applyFill="1" applyBorder="1"/>
    <xf numFmtId="0" fontId="2" fillId="26" borderId="10" xfId="0" applyFont="1" applyFill="1" applyBorder="1"/>
    <xf numFmtId="0" fontId="5" fillId="26" borderId="10" xfId="0" applyFont="1" applyFill="1" applyBorder="1" applyAlignment="1">
      <alignment horizontal="center" wrapText="1"/>
    </xf>
    <xf numFmtId="164" fontId="5" fillId="26" borderId="10" xfId="0" applyNumberFormat="1" applyFont="1" applyFill="1" applyBorder="1" applyAlignment="1">
      <alignment horizontal="right"/>
    </xf>
    <xf numFmtId="166" fontId="5" fillId="26" borderId="10" xfId="0" applyNumberFormat="1" applyFont="1" applyFill="1" applyBorder="1" applyAlignment="1">
      <alignment horizontal="right"/>
    </xf>
    <xf numFmtId="166" fontId="2" fillId="26" borderId="10" xfId="0" applyNumberFormat="1" applyFont="1" applyFill="1" applyBorder="1"/>
    <xf numFmtId="0" fontId="17" fillId="2" borderId="9" xfId="0" quotePrefix="1" applyFont="1" applyFill="1" applyBorder="1"/>
    <xf numFmtId="165" fontId="5" fillId="0" borderId="10" xfId="0" applyNumberFormat="1" applyFont="1" applyBorder="1" applyAlignment="1">
      <alignment horizontal="center" wrapText="1"/>
    </xf>
    <xf numFmtId="0" fontId="5" fillId="2" borderId="10" xfId="0" applyFont="1" applyFill="1" applyBorder="1" applyAlignment="1">
      <alignment horizontal="center" wrapText="1"/>
    </xf>
    <xf numFmtId="0" fontId="5" fillId="26" borderId="10" xfId="0" applyFont="1" applyFill="1" applyBorder="1" applyAlignment="1">
      <alignment horizontal="center"/>
    </xf>
    <xf numFmtId="164" fontId="5" fillId="26" borderId="10" xfId="0" applyNumberFormat="1" applyFont="1" applyFill="1" applyBorder="1" applyAlignment="1">
      <alignment horizontal="center"/>
    </xf>
    <xf numFmtId="166" fontId="5" fillId="26" borderId="10" xfId="0" applyNumberFormat="1" applyFont="1" applyFill="1" applyBorder="1" applyAlignment="1">
      <alignment horizontal="center"/>
    </xf>
    <xf numFmtId="0" fontId="7" fillId="0" borderId="10" xfId="0" applyFont="1" applyBorder="1"/>
    <xf numFmtId="164" fontId="7" fillId="2" borderId="10" xfId="0" applyNumberFormat="1" applyFont="1" applyFill="1" applyBorder="1" applyAlignment="1">
      <alignment horizontal="center"/>
    </xf>
    <xf numFmtId="166" fontId="7" fillId="0" borderId="10" xfId="0" applyNumberFormat="1" applyFont="1" applyBorder="1" applyAlignment="1">
      <alignment horizontal="center"/>
    </xf>
    <xf numFmtId="166" fontId="7" fillId="2" borderId="10" xfId="0" applyNumberFormat="1" applyFont="1" applyFill="1" applyBorder="1" applyAlignment="1">
      <alignment horizontal="center"/>
    </xf>
    <xf numFmtId="165" fontId="2" fillId="27" borderId="8" xfId="0" applyNumberFormat="1" applyFont="1" applyFill="1" applyBorder="1"/>
    <xf numFmtId="165" fontId="2" fillId="27" borderId="9" xfId="0" applyNumberFormat="1" applyFont="1" applyFill="1" applyBorder="1"/>
    <xf numFmtId="0" fontId="2" fillId="27" borderId="9" xfId="0" applyFont="1" applyFill="1" applyBorder="1"/>
    <xf numFmtId="0" fontId="2" fillId="27" borderId="10" xfId="0" applyFont="1" applyFill="1" applyBorder="1"/>
    <xf numFmtId="165" fontId="2" fillId="27" borderId="10" xfId="0" applyNumberFormat="1" applyFont="1" applyFill="1" applyBorder="1"/>
    <xf numFmtId="164" fontId="2" fillId="27" borderId="10" xfId="0" applyNumberFormat="1" applyFont="1" applyFill="1" applyBorder="1"/>
    <xf numFmtId="166" fontId="2" fillId="27" borderId="10" xfId="0" applyNumberFormat="1" applyFont="1" applyFill="1" applyBorder="1"/>
    <xf numFmtId="165" fontId="7" fillId="0" borderId="9" xfId="0" quotePrefix="1" applyNumberFormat="1" applyFont="1" applyBorder="1"/>
    <xf numFmtId="0" fontId="16" fillId="27" borderId="9" xfId="0" applyFont="1" applyFill="1" applyBorder="1"/>
    <xf numFmtId="0" fontId="16" fillId="27" borderId="10" xfId="0" applyFont="1" applyFill="1" applyBorder="1" applyAlignment="1">
      <alignment horizontal="center" wrapText="1"/>
    </xf>
    <xf numFmtId="167" fontId="2" fillId="27" borderId="8" xfId="0" applyNumberFormat="1" applyFont="1" applyFill="1" applyBorder="1"/>
    <xf numFmtId="0" fontId="18" fillId="27" borderId="9" xfId="0" applyFont="1" applyFill="1" applyBorder="1"/>
    <xf numFmtId="165" fontId="16" fillId="27" borderId="10" xfId="0" applyNumberFormat="1" applyFont="1" applyFill="1" applyBorder="1" applyAlignment="1">
      <alignment horizontal="center" wrapText="1"/>
    </xf>
    <xf numFmtId="0" fontId="8" fillId="27" borderId="9" xfId="0" applyFont="1" applyFill="1" applyBorder="1"/>
    <xf numFmtId="165" fontId="8" fillId="27" borderId="10" xfId="0" applyNumberFormat="1" applyFont="1" applyFill="1" applyBorder="1" applyAlignment="1">
      <alignment horizontal="center" wrapText="1"/>
    </xf>
    <xf numFmtId="165" fontId="16" fillId="27" borderId="9" xfId="0" applyNumberFormat="1" applyFont="1" applyFill="1" applyBorder="1"/>
    <xf numFmtId="0" fontId="19" fillId="27" borderId="9" xfId="0" quotePrefix="1" applyFont="1" applyFill="1" applyBorder="1"/>
    <xf numFmtId="0" fontId="8" fillId="27" borderId="10" xfId="0" applyFont="1" applyFill="1" applyBorder="1" applyAlignment="1">
      <alignment horizontal="center"/>
    </xf>
    <xf numFmtId="165" fontId="8" fillId="27" borderId="9" xfId="0" quotePrefix="1" applyNumberFormat="1" applyFont="1" applyFill="1" applyBorder="1"/>
    <xf numFmtId="0" fontId="8" fillId="27" borderId="9" xfId="0" quotePrefix="1" applyFont="1" applyFill="1" applyBorder="1"/>
    <xf numFmtId="46" fontId="2" fillId="2" borderId="8" xfId="0" applyNumberFormat="1" applyFont="1" applyFill="1" applyBorder="1"/>
    <xf numFmtId="0" fontId="7" fillId="2" borderId="9" xfId="0" quotePrefix="1" applyFont="1" applyFill="1" applyBorder="1"/>
    <xf numFmtId="165" fontId="2" fillId="0" borderId="7" xfId="0" applyNumberFormat="1" applyFont="1" applyBorder="1"/>
    <xf numFmtId="165" fontId="2" fillId="0" borderId="1" xfId="0" applyNumberFormat="1" applyFont="1" applyBorder="1"/>
    <xf numFmtId="0" fontId="7" fillId="0" borderId="1" xfId="0" quotePrefix="1" applyFont="1" applyBorder="1"/>
    <xf numFmtId="0" fontId="2" fillId="0" borderId="1" xfId="0" applyFont="1" applyBorder="1"/>
    <xf numFmtId="0" fontId="2" fillId="0" borderId="2" xfId="0" applyFont="1" applyBorder="1"/>
    <xf numFmtId="166" fontId="7" fillId="0" borderId="2" xfId="0" applyNumberFormat="1" applyFont="1" applyBorder="1" applyAlignment="1">
      <alignment horizontal="right"/>
    </xf>
    <xf numFmtId="166" fontId="2" fillId="0" borderId="2" xfId="0" applyNumberFormat="1" applyFont="1" applyBorder="1"/>
    <xf numFmtId="165" fontId="3" fillId="28" borderId="7" xfId="0" applyNumberFormat="1" applyFont="1" applyFill="1" applyBorder="1"/>
    <xf numFmtId="165" fontId="2" fillId="28" borderId="1" xfId="0" applyNumberFormat="1" applyFont="1" applyFill="1" applyBorder="1"/>
    <xf numFmtId="0" fontId="2" fillId="28" borderId="1" xfId="0" applyFont="1" applyFill="1" applyBorder="1"/>
    <xf numFmtId="164" fontId="2" fillId="28" borderId="1" xfId="0" applyNumberFormat="1" applyFont="1" applyFill="1" applyBorder="1"/>
    <xf numFmtId="166" fontId="2" fillId="28" borderId="1" xfId="0" applyNumberFormat="1" applyFont="1" applyFill="1" applyBorder="1"/>
    <xf numFmtId="166" fontId="2" fillId="28" borderId="2" xfId="0" applyNumberFormat="1" applyFont="1" applyFill="1" applyBorder="1"/>
    <xf numFmtId="165" fontId="5" fillId="29" borderId="8" xfId="0" applyNumberFormat="1" applyFont="1" applyFill="1" applyBorder="1"/>
    <xf numFmtId="0" fontId="2" fillId="29" borderId="9" xfId="0" applyFont="1" applyFill="1" applyBorder="1"/>
    <xf numFmtId="165" fontId="2" fillId="29" borderId="9" xfId="0" applyNumberFormat="1" applyFont="1" applyFill="1" applyBorder="1"/>
    <xf numFmtId="164" fontId="2" fillId="29" borderId="9" xfId="0" applyNumberFormat="1" applyFont="1" applyFill="1" applyBorder="1"/>
    <xf numFmtId="164" fontId="2" fillId="29" borderId="10" xfId="0" applyNumberFormat="1" applyFont="1" applyFill="1" applyBorder="1"/>
    <xf numFmtId="166" fontId="2" fillId="29" borderId="10" xfId="0" applyNumberFormat="1" applyFont="1" applyFill="1" applyBorder="1"/>
    <xf numFmtId="167" fontId="2" fillId="30" borderId="8" xfId="0" applyNumberFormat="1" applyFont="1" applyFill="1" applyBorder="1"/>
    <xf numFmtId="0" fontId="5" fillId="30" borderId="9" xfId="0" applyFont="1" applyFill="1" applyBorder="1"/>
    <xf numFmtId="0" fontId="2" fillId="30" borderId="9" xfId="0" applyFont="1" applyFill="1" applyBorder="1"/>
    <xf numFmtId="165" fontId="2" fillId="30" borderId="9" xfId="0" applyNumberFormat="1" applyFont="1" applyFill="1" applyBorder="1"/>
    <xf numFmtId="0" fontId="2" fillId="30" borderId="10" xfId="0" applyFont="1" applyFill="1" applyBorder="1"/>
    <xf numFmtId="0" fontId="5" fillId="30" borderId="10" xfId="0" applyFont="1" applyFill="1" applyBorder="1" applyAlignment="1">
      <alignment horizontal="center" wrapText="1"/>
    </xf>
    <xf numFmtId="164" fontId="5" fillId="30" borderId="10" xfId="0" applyNumberFormat="1" applyFont="1" applyFill="1" applyBorder="1" applyAlignment="1">
      <alignment horizontal="right"/>
    </xf>
    <xf numFmtId="166" fontId="5" fillId="30" borderId="10" xfId="0" applyNumberFormat="1" applyFont="1" applyFill="1" applyBorder="1" applyAlignment="1">
      <alignment horizontal="right"/>
    </xf>
    <xf numFmtId="166" fontId="2" fillId="30" borderId="10" xfId="0" applyNumberFormat="1" applyFont="1" applyFill="1" applyBorder="1"/>
    <xf numFmtId="165" fontId="2" fillId="10" borderId="7" xfId="0" applyNumberFormat="1" applyFont="1" applyFill="1" applyBorder="1"/>
    <xf numFmtId="165" fontId="2" fillId="10" borderId="1" xfId="0" applyNumberFormat="1" applyFont="1" applyFill="1" applyBorder="1"/>
    <xf numFmtId="165" fontId="5" fillId="31" borderId="7" xfId="0" applyNumberFormat="1" applyFont="1" applyFill="1" applyBorder="1"/>
    <xf numFmtId="165" fontId="2" fillId="31" borderId="1" xfId="0" applyNumberFormat="1" applyFont="1" applyFill="1" applyBorder="1"/>
    <xf numFmtId="0" fontId="2" fillId="31" borderId="1" xfId="0" applyFont="1" applyFill="1" applyBorder="1"/>
    <xf numFmtId="164" fontId="2" fillId="31" borderId="1" xfId="0" applyNumberFormat="1" applyFont="1" applyFill="1" applyBorder="1"/>
    <xf numFmtId="166" fontId="2" fillId="31" borderId="1" xfId="0" applyNumberFormat="1" applyFont="1" applyFill="1" applyBorder="1"/>
    <xf numFmtId="166" fontId="2" fillId="31" borderId="2" xfId="0" applyNumberFormat="1" applyFont="1" applyFill="1" applyBorder="1"/>
    <xf numFmtId="165" fontId="5" fillId="32" borderId="8" xfId="0" applyNumberFormat="1" applyFont="1" applyFill="1" applyBorder="1"/>
    <xf numFmtId="165" fontId="2" fillId="32" borderId="9" xfId="0" applyNumberFormat="1" applyFont="1" applyFill="1" applyBorder="1"/>
    <xf numFmtId="0" fontId="2" fillId="32" borderId="9" xfId="0" applyFont="1" applyFill="1" applyBorder="1"/>
    <xf numFmtId="0" fontId="2" fillId="32" borderId="10" xfId="0" applyFont="1" applyFill="1" applyBorder="1"/>
    <xf numFmtId="164" fontId="2" fillId="32" borderId="10" xfId="0" applyNumberFormat="1" applyFont="1" applyFill="1" applyBorder="1"/>
    <xf numFmtId="166" fontId="2" fillId="32" borderId="10" xfId="0" applyNumberFormat="1" applyFont="1" applyFill="1" applyBorder="1"/>
    <xf numFmtId="165" fontId="2" fillId="33" borderId="8" xfId="0" applyNumberFormat="1" applyFont="1" applyFill="1" applyBorder="1"/>
    <xf numFmtId="0" fontId="5" fillId="33" borderId="9" xfId="0" applyFont="1" applyFill="1" applyBorder="1"/>
    <xf numFmtId="0" fontId="2" fillId="33" borderId="9" xfId="0" applyFont="1" applyFill="1" applyBorder="1"/>
    <xf numFmtId="0" fontId="2" fillId="33" borderId="10" xfId="0" applyFont="1" applyFill="1" applyBorder="1"/>
    <xf numFmtId="0" fontId="5" fillId="33" borderId="10" xfId="0" applyFont="1" applyFill="1" applyBorder="1" applyAlignment="1">
      <alignment horizontal="center" wrapText="1"/>
    </xf>
    <xf numFmtId="164" fontId="5" fillId="33" borderId="10" xfId="0" applyNumberFormat="1" applyFont="1" applyFill="1" applyBorder="1" applyAlignment="1">
      <alignment horizontal="right"/>
    </xf>
    <xf numFmtId="166" fontId="5" fillId="33" borderId="10" xfId="0" applyNumberFormat="1" applyFont="1" applyFill="1" applyBorder="1" applyAlignment="1">
      <alignment horizontal="right"/>
    </xf>
    <xf numFmtId="166" fontId="2" fillId="33" borderId="10" xfId="0" applyNumberFormat="1" applyFont="1" applyFill="1" applyBorder="1"/>
    <xf numFmtId="167" fontId="2" fillId="33" borderId="8" xfId="0" applyNumberFormat="1" applyFont="1" applyFill="1" applyBorder="1"/>
    <xf numFmtId="167" fontId="2" fillId="33" borderId="9" xfId="0" applyNumberFormat="1" applyFont="1" applyFill="1" applyBorder="1"/>
    <xf numFmtId="165" fontId="2" fillId="33" borderId="9" xfId="0" applyNumberFormat="1" applyFont="1" applyFill="1" applyBorder="1"/>
    <xf numFmtId="165" fontId="20" fillId="26" borderId="9" xfId="0" applyNumberFormat="1" applyFont="1" applyFill="1" applyBorder="1"/>
    <xf numFmtId="165" fontId="21" fillId="2" borderId="9" xfId="0" applyNumberFormat="1" applyFont="1" applyFill="1" applyBorder="1"/>
    <xf numFmtId="0" fontId="22" fillId="26" borderId="9" xfId="0" applyFont="1" applyFill="1" applyBorder="1"/>
    <xf numFmtId="164" fontId="2" fillId="33" borderId="10" xfId="0" applyNumberFormat="1" applyFont="1" applyFill="1" applyBorder="1"/>
    <xf numFmtId="0" fontId="23" fillId="0" borderId="9" xfId="0" quotePrefix="1" applyFont="1" applyBorder="1"/>
    <xf numFmtId="165" fontId="21" fillId="2" borderId="1" xfId="0" applyNumberFormat="1" applyFont="1" applyFill="1" applyBorder="1"/>
    <xf numFmtId="165" fontId="5" fillId="33" borderId="9" xfId="0" applyNumberFormat="1" applyFont="1" applyFill="1" applyBorder="1"/>
    <xf numFmtId="165" fontId="5" fillId="33" borderId="10" xfId="0" applyNumberFormat="1" applyFont="1" applyFill="1" applyBorder="1" applyAlignment="1">
      <alignment horizontal="center" wrapText="1"/>
    </xf>
    <xf numFmtId="165" fontId="24" fillId="2" borderId="9" xfId="0" applyNumberFormat="1" applyFont="1" applyFill="1" applyBorder="1"/>
    <xf numFmtId="165" fontId="25" fillId="23" borderId="9" xfId="0" quotePrefix="1" applyNumberFormat="1" applyFont="1" applyFill="1" applyBorder="1"/>
    <xf numFmtId="165" fontId="26" fillId="2" borderId="9" xfId="0" applyNumberFormat="1" applyFont="1" applyFill="1" applyBorder="1"/>
    <xf numFmtId="165" fontId="23" fillId="2" borderId="9" xfId="0" applyNumberFormat="1" applyFont="1" applyFill="1" applyBorder="1"/>
    <xf numFmtId="165" fontId="26" fillId="2" borderId="10" xfId="0" applyNumberFormat="1" applyFont="1" applyFill="1" applyBorder="1"/>
    <xf numFmtId="165" fontId="23" fillId="2" borderId="10" xfId="0" applyNumberFormat="1" applyFont="1" applyFill="1" applyBorder="1" applyAlignment="1">
      <alignment horizontal="center"/>
    </xf>
    <xf numFmtId="164" fontId="23" fillId="2" borderId="10" xfId="0" applyNumberFormat="1" applyFont="1" applyFill="1" applyBorder="1" applyAlignment="1">
      <alignment horizontal="right"/>
    </xf>
    <xf numFmtId="166" fontId="23" fillId="2" borderId="10" xfId="0" applyNumberFormat="1" applyFont="1" applyFill="1" applyBorder="1" applyAlignment="1">
      <alignment horizontal="right"/>
    </xf>
    <xf numFmtId="166" fontId="26" fillId="2" borderId="10" xfId="0" applyNumberFormat="1" applyFont="1" applyFill="1" applyBorder="1"/>
    <xf numFmtId="165" fontId="2" fillId="27" borderId="1" xfId="0" applyNumberFormat="1" applyFont="1" applyFill="1" applyBorder="1"/>
    <xf numFmtId="165" fontId="2" fillId="27" borderId="2" xfId="0" applyNumberFormat="1" applyFont="1" applyFill="1" applyBorder="1"/>
    <xf numFmtId="164" fontId="2" fillId="27" borderId="2" xfId="0" applyNumberFormat="1" applyFont="1" applyFill="1" applyBorder="1"/>
    <xf numFmtId="166" fontId="2" fillId="27" borderId="2" xfId="0" applyNumberFormat="1" applyFont="1" applyFill="1" applyBorder="1"/>
    <xf numFmtId="164" fontId="5" fillId="33" borderId="10" xfId="0" applyNumberFormat="1" applyFont="1" applyFill="1" applyBorder="1"/>
    <xf numFmtId="165" fontId="2" fillId="33" borderId="10" xfId="0" applyNumberFormat="1" applyFont="1" applyFill="1" applyBorder="1"/>
    <xf numFmtId="165" fontId="5" fillId="33" borderId="10" xfId="0" applyNumberFormat="1" applyFont="1" applyFill="1" applyBorder="1" applyAlignment="1">
      <alignment horizontal="center"/>
    </xf>
    <xf numFmtId="165" fontId="5" fillId="2" borderId="9" xfId="0" applyNumberFormat="1" applyFont="1" applyFill="1" applyBorder="1" applyAlignment="1">
      <alignment horizontal="center"/>
    </xf>
    <xf numFmtId="165" fontId="5" fillId="2" borderId="10" xfId="0" applyNumberFormat="1" applyFont="1" applyFill="1" applyBorder="1" applyAlignment="1">
      <alignment horizontal="center" wrapText="1"/>
    </xf>
    <xf numFmtId="165" fontId="2" fillId="2" borderId="12" xfId="0" applyNumberFormat="1" applyFont="1" applyFill="1" applyBorder="1"/>
    <xf numFmtId="165" fontId="8" fillId="2" borderId="12" xfId="0" applyNumberFormat="1" applyFont="1" applyFill="1" applyBorder="1"/>
    <xf numFmtId="165" fontId="2" fillId="2" borderId="13" xfId="0" applyNumberFormat="1" applyFont="1" applyFill="1" applyBorder="1"/>
    <xf numFmtId="165" fontId="8" fillId="2" borderId="9" xfId="0" applyNumberFormat="1" applyFont="1" applyFill="1" applyBorder="1"/>
    <xf numFmtId="165" fontId="28" fillId="2" borderId="9" xfId="0" quotePrefix="1" applyNumberFormat="1" applyFont="1" applyFill="1" applyBorder="1"/>
    <xf numFmtId="168" fontId="7" fillId="2" borderId="10" xfId="0" applyNumberFormat="1" applyFont="1" applyFill="1" applyBorder="1" applyAlignment="1">
      <alignment horizontal="right"/>
    </xf>
    <xf numFmtId="165" fontId="7" fillId="2" borderId="9" xfId="0" quotePrefix="1" applyNumberFormat="1" applyFont="1" applyFill="1" applyBorder="1"/>
    <xf numFmtId="165" fontId="29" fillId="2" borderId="9" xfId="0" applyNumberFormat="1" applyFont="1" applyFill="1" applyBorder="1"/>
    <xf numFmtId="165" fontId="2" fillId="2" borderId="7" xfId="0" applyNumberFormat="1" applyFont="1" applyFill="1" applyBorder="1"/>
    <xf numFmtId="165" fontId="2" fillId="2" borderId="2" xfId="0" applyNumberFormat="1" applyFont="1" applyFill="1" applyBorder="1"/>
    <xf numFmtId="165" fontId="7" fillId="2" borderId="2" xfId="0" applyNumberFormat="1" applyFont="1" applyFill="1" applyBorder="1" applyAlignment="1">
      <alignment horizontal="center"/>
    </xf>
    <xf numFmtId="0" fontId="31" fillId="2" borderId="9" xfId="0" applyFont="1" applyFill="1" applyBorder="1"/>
    <xf numFmtId="165" fontId="5" fillId="2" borderId="1" xfId="0" applyNumberFormat="1" applyFont="1" applyFill="1" applyBorder="1"/>
    <xf numFmtId="164" fontId="7" fillId="24" borderId="2" xfId="0" applyNumberFormat="1" applyFont="1" applyFill="1" applyBorder="1" applyAlignment="1">
      <alignment horizontal="right"/>
    </xf>
    <xf numFmtId="165" fontId="5" fillId="34" borderId="7" xfId="0" applyNumberFormat="1" applyFont="1" applyFill="1" applyBorder="1"/>
    <xf numFmtId="165" fontId="2" fillId="34" borderId="1" xfId="0" applyNumberFormat="1" applyFont="1" applyFill="1" applyBorder="1"/>
    <xf numFmtId="0" fontId="2" fillId="34" borderId="1" xfId="0" applyFont="1" applyFill="1" applyBorder="1"/>
    <xf numFmtId="164" fontId="2" fillId="34" borderId="1" xfId="0" applyNumberFormat="1" applyFont="1" applyFill="1" applyBorder="1"/>
    <xf numFmtId="166" fontId="2" fillId="34" borderId="1" xfId="0" applyNumberFormat="1" applyFont="1" applyFill="1" applyBorder="1"/>
    <xf numFmtId="166" fontId="2" fillId="34" borderId="2" xfId="0" applyNumberFormat="1" applyFont="1" applyFill="1" applyBorder="1"/>
    <xf numFmtId="166" fontId="2" fillId="35" borderId="2" xfId="0" applyNumberFormat="1" applyFont="1" applyFill="1" applyBorder="1"/>
    <xf numFmtId="165" fontId="5" fillId="36" borderId="8" xfId="0" applyNumberFormat="1" applyFont="1" applyFill="1" applyBorder="1"/>
    <xf numFmtId="165" fontId="2" fillId="36" borderId="9" xfId="0" applyNumberFormat="1" applyFont="1" applyFill="1" applyBorder="1"/>
    <xf numFmtId="0" fontId="2" fillId="36" borderId="9" xfId="0" applyFont="1" applyFill="1" applyBorder="1"/>
    <xf numFmtId="0" fontId="2" fillId="36" borderId="10" xfId="0" applyFont="1" applyFill="1" applyBorder="1"/>
    <xf numFmtId="164" fontId="2" fillId="36" borderId="10" xfId="0" applyNumberFormat="1" applyFont="1" applyFill="1" applyBorder="1"/>
    <xf numFmtId="166" fontId="2" fillId="36" borderId="10" xfId="0" applyNumberFormat="1" applyFont="1" applyFill="1" applyBorder="1"/>
    <xf numFmtId="166" fontId="2" fillId="36" borderId="6" xfId="0" applyNumberFormat="1" applyFont="1" applyFill="1" applyBorder="1"/>
    <xf numFmtId="165" fontId="2" fillId="37" borderId="8" xfId="0" applyNumberFormat="1" applyFont="1" applyFill="1" applyBorder="1"/>
    <xf numFmtId="0" fontId="5" fillId="37" borderId="9" xfId="0" applyFont="1" applyFill="1" applyBorder="1"/>
    <xf numFmtId="165" fontId="2" fillId="37" borderId="9" xfId="0" applyNumberFormat="1" applyFont="1" applyFill="1" applyBorder="1"/>
    <xf numFmtId="0" fontId="2" fillId="37" borderId="9" xfId="0" applyFont="1" applyFill="1" applyBorder="1"/>
    <xf numFmtId="0" fontId="2" fillId="37" borderId="10" xfId="0" applyFont="1" applyFill="1" applyBorder="1"/>
    <xf numFmtId="0" fontId="5" fillId="37" borderId="10" xfId="0" applyFont="1" applyFill="1" applyBorder="1" applyAlignment="1">
      <alignment horizontal="center" wrapText="1"/>
    </xf>
    <xf numFmtId="164" fontId="5" fillId="37" borderId="10" xfId="0" applyNumberFormat="1" applyFont="1" applyFill="1" applyBorder="1" applyAlignment="1">
      <alignment horizontal="right"/>
    </xf>
    <xf numFmtId="166" fontId="5" fillId="37" borderId="10" xfId="0" applyNumberFormat="1" applyFont="1" applyFill="1" applyBorder="1" applyAlignment="1">
      <alignment horizontal="right"/>
    </xf>
    <xf numFmtId="166" fontId="2" fillId="37" borderId="10" xfId="0" applyNumberFormat="1" applyFont="1" applyFill="1" applyBorder="1"/>
    <xf numFmtId="0" fontId="7" fillId="0" borderId="1" xfId="0" applyFont="1" applyBorder="1"/>
    <xf numFmtId="0" fontId="7" fillId="2" borderId="2" xfId="0" applyFont="1" applyFill="1" applyBorder="1" applyAlignment="1">
      <alignment horizontal="center" wrapText="1"/>
    </xf>
    <xf numFmtId="165" fontId="2" fillId="27" borderId="7" xfId="0" applyNumberFormat="1" applyFont="1" applyFill="1" applyBorder="1"/>
    <xf numFmtId="0" fontId="2" fillId="27" borderId="1" xfId="0" applyFont="1" applyFill="1" applyBorder="1"/>
    <xf numFmtId="0" fontId="2" fillId="27" borderId="2" xfId="0" applyFont="1" applyFill="1" applyBorder="1"/>
    <xf numFmtId="165" fontId="5" fillId="37" borderId="10" xfId="0" applyNumberFormat="1" applyFont="1" applyFill="1" applyBorder="1" applyAlignment="1">
      <alignment horizontal="center" wrapText="1"/>
    </xf>
    <xf numFmtId="164" fontId="5" fillId="37" borderId="10" xfId="0" applyNumberFormat="1" applyFont="1" applyFill="1" applyBorder="1"/>
    <xf numFmtId="0" fontId="5" fillId="2" borderId="9" xfId="0" applyFont="1" applyFill="1" applyBorder="1" applyAlignment="1">
      <alignment horizontal="center"/>
    </xf>
    <xf numFmtId="165" fontId="2" fillId="2" borderId="11" xfId="0" applyNumberFormat="1" applyFont="1" applyFill="1" applyBorder="1"/>
    <xf numFmtId="0" fontId="2" fillId="2" borderId="12" xfId="0" applyFont="1" applyFill="1" applyBorder="1"/>
    <xf numFmtId="0" fontId="7" fillId="0" borderId="12" xfId="0" applyFont="1" applyBorder="1"/>
    <xf numFmtId="0" fontId="2" fillId="2" borderId="13" xfId="0" applyFont="1" applyFill="1" applyBorder="1"/>
    <xf numFmtId="165" fontId="7" fillId="2" borderId="13" xfId="0" applyNumberFormat="1" applyFont="1" applyFill="1" applyBorder="1" applyAlignment="1">
      <alignment horizontal="center" wrapText="1"/>
    </xf>
    <xf numFmtId="164" fontId="7" fillId="2" borderId="13" xfId="0" applyNumberFormat="1" applyFont="1" applyFill="1" applyBorder="1" applyAlignment="1">
      <alignment horizontal="right"/>
    </xf>
    <xf numFmtId="165" fontId="32" fillId="37" borderId="8" xfId="0" applyNumberFormat="1" applyFont="1" applyFill="1" applyBorder="1"/>
    <xf numFmtId="0" fontId="7" fillId="2" borderId="12" xfId="0" applyFont="1" applyFill="1" applyBorder="1"/>
    <xf numFmtId="0" fontId="7" fillId="2" borderId="13" xfId="0" applyFont="1" applyFill="1" applyBorder="1" applyAlignment="1">
      <alignment horizontal="center"/>
    </xf>
    <xf numFmtId="165" fontId="1" fillId="22" borderId="8" xfId="0" applyNumberFormat="1" applyFont="1" applyFill="1" applyBorder="1"/>
    <xf numFmtId="0" fontId="26" fillId="22" borderId="9" xfId="0" applyFont="1" applyFill="1" applyBorder="1"/>
    <xf numFmtId="167" fontId="26" fillId="22" borderId="9" xfId="0" applyNumberFormat="1" applyFont="1" applyFill="1" applyBorder="1"/>
    <xf numFmtId="165" fontId="26" fillId="22" borderId="9" xfId="0" applyNumberFormat="1" applyFont="1" applyFill="1" applyBorder="1"/>
    <xf numFmtId="164" fontId="26" fillId="22" borderId="9" xfId="0" applyNumberFormat="1" applyFont="1" applyFill="1" applyBorder="1"/>
    <xf numFmtId="166" fontId="26" fillId="22" borderId="9" xfId="0" applyNumberFormat="1" applyFont="1" applyFill="1" applyBorder="1"/>
    <xf numFmtId="166" fontId="26" fillId="22" borderId="10" xfId="0" applyNumberFormat="1" applyFont="1" applyFill="1" applyBorder="1"/>
    <xf numFmtId="167" fontId="26" fillId="12" borderId="8" xfId="0" applyNumberFormat="1" applyFont="1" applyFill="1" applyBorder="1"/>
    <xf numFmtId="0" fontId="1" fillId="12" borderId="9" xfId="0" applyFont="1" applyFill="1" applyBorder="1"/>
    <xf numFmtId="167" fontId="26" fillId="12" borderId="9" xfId="0" applyNumberFormat="1" applyFont="1" applyFill="1" applyBorder="1"/>
    <xf numFmtId="165" fontId="26" fillId="12" borderId="9" xfId="0" applyNumberFormat="1" applyFont="1" applyFill="1" applyBorder="1"/>
    <xf numFmtId="0" fontId="26" fillId="12" borderId="9" xfId="0" applyFont="1" applyFill="1" applyBorder="1"/>
    <xf numFmtId="165" fontId="1" fillId="12" borderId="9" xfId="0" applyNumberFormat="1" applyFont="1" applyFill="1" applyBorder="1" applyAlignment="1">
      <alignment horizontal="center"/>
    </xf>
    <xf numFmtId="164" fontId="26" fillId="12" borderId="9" xfId="0" applyNumberFormat="1" applyFont="1" applyFill="1" applyBorder="1"/>
    <xf numFmtId="164" fontId="26" fillId="12" borderId="10" xfId="0" applyNumberFormat="1" applyFont="1" applyFill="1" applyBorder="1"/>
    <xf numFmtId="166" fontId="26" fillId="12" borderId="10" xfId="0" applyNumberFormat="1" applyFont="1" applyFill="1" applyBorder="1"/>
    <xf numFmtId="165" fontId="26" fillId="12" borderId="8" xfId="0" applyNumberFormat="1" applyFont="1" applyFill="1" applyBorder="1"/>
    <xf numFmtId="165" fontId="23" fillId="12" borderId="9" xfId="0" applyNumberFormat="1" applyFont="1" applyFill="1" applyBorder="1"/>
    <xf numFmtId="0" fontId="26" fillId="12" borderId="10" xfId="0" applyFont="1" applyFill="1" applyBorder="1"/>
    <xf numFmtId="165" fontId="1" fillId="12" borderId="10" xfId="0" applyNumberFormat="1" applyFont="1" applyFill="1" applyBorder="1" applyAlignment="1">
      <alignment horizontal="center"/>
    </xf>
    <xf numFmtId="167" fontId="26" fillId="2" borderId="8" xfId="0" applyNumberFormat="1" applyFont="1" applyFill="1" applyBorder="1"/>
    <xf numFmtId="165" fontId="1" fillId="2" borderId="9" xfId="0" applyNumberFormat="1" applyFont="1" applyFill="1" applyBorder="1" applyAlignment="1">
      <alignment horizontal="center"/>
    </xf>
    <xf numFmtId="0" fontId="33" fillId="2" borderId="9" xfId="0" applyFont="1" applyFill="1" applyBorder="1"/>
    <xf numFmtId="165" fontId="1" fillId="0" borderId="10" xfId="0" applyNumberFormat="1" applyFont="1" applyBorder="1" applyAlignment="1">
      <alignment horizontal="center" wrapText="1"/>
    </xf>
    <xf numFmtId="164" fontId="26" fillId="2" borderId="10" xfId="0" applyNumberFormat="1" applyFont="1" applyFill="1" applyBorder="1"/>
    <xf numFmtId="166" fontId="1" fillId="2" borderId="10" xfId="0" applyNumberFormat="1" applyFont="1" applyFill="1" applyBorder="1" applyAlignment="1">
      <alignment horizontal="right"/>
    </xf>
    <xf numFmtId="0" fontId="26" fillId="0" borderId="9" xfId="0" applyFont="1" applyBorder="1"/>
    <xf numFmtId="0" fontId="23" fillId="2" borderId="9" xfId="0" applyFont="1" applyFill="1" applyBorder="1"/>
    <xf numFmtId="0" fontId="26" fillId="2" borderId="9" xfId="0" applyFont="1" applyFill="1" applyBorder="1"/>
    <xf numFmtId="0" fontId="26" fillId="2" borderId="10" xfId="0" applyFont="1" applyFill="1" applyBorder="1"/>
    <xf numFmtId="165" fontId="23" fillId="0" borderId="10" xfId="0" applyNumberFormat="1" applyFont="1" applyBorder="1" applyAlignment="1">
      <alignment horizontal="center" wrapText="1"/>
    </xf>
    <xf numFmtId="0" fontId="34" fillId="2" borderId="9" xfId="0" applyFont="1" applyFill="1" applyBorder="1"/>
    <xf numFmtId="164" fontId="26" fillId="0" borderId="10" xfId="0" applyNumberFormat="1" applyFont="1" applyBorder="1"/>
    <xf numFmtId="166" fontId="26" fillId="0" borderId="10" xfId="0" applyNumberFormat="1" applyFont="1" applyBorder="1"/>
    <xf numFmtId="165" fontId="1" fillId="0" borderId="10" xfId="0" applyNumberFormat="1" applyFont="1" applyBorder="1" applyAlignment="1">
      <alignment horizontal="center"/>
    </xf>
    <xf numFmtId="165" fontId="23" fillId="0" borderId="10" xfId="0" applyNumberFormat="1" applyFont="1" applyBorder="1" applyAlignment="1">
      <alignment horizontal="center"/>
    </xf>
    <xf numFmtId="165" fontId="26" fillId="0" borderId="8" xfId="0" applyNumberFormat="1" applyFont="1" applyBorder="1"/>
    <xf numFmtId="165" fontId="26" fillId="0" borderId="9" xfId="0" applyNumberFormat="1" applyFont="1" applyBorder="1"/>
    <xf numFmtId="0" fontId="35" fillId="23" borderId="9" xfId="0" quotePrefix="1" applyFont="1" applyFill="1" applyBorder="1"/>
    <xf numFmtId="0" fontId="26" fillId="23" borderId="9" xfId="0" applyFont="1" applyFill="1" applyBorder="1"/>
    <xf numFmtId="0" fontId="26" fillId="23" borderId="10" xfId="0" applyFont="1" applyFill="1" applyBorder="1"/>
    <xf numFmtId="165" fontId="26" fillId="0" borderId="10" xfId="0" applyNumberFormat="1" applyFont="1" applyBorder="1"/>
    <xf numFmtId="165" fontId="23" fillId="0" borderId="9" xfId="0" applyNumberFormat="1" applyFont="1" applyBorder="1"/>
    <xf numFmtId="0" fontId="26" fillId="0" borderId="10" xfId="0" applyFont="1" applyBorder="1"/>
    <xf numFmtId="165" fontId="26" fillId="0" borderId="14" xfId="0" applyNumberFormat="1" applyFont="1" applyBorder="1"/>
    <xf numFmtId="165" fontId="26" fillId="0" borderId="15" xfId="0" applyNumberFormat="1" applyFont="1" applyBorder="1"/>
    <xf numFmtId="165" fontId="23" fillId="0" borderId="15" xfId="0" applyNumberFormat="1" applyFont="1" applyBorder="1"/>
    <xf numFmtId="0" fontId="26" fillId="0" borderId="15" xfId="0" applyFont="1" applyBorder="1"/>
    <xf numFmtId="0" fontId="26" fillId="0" borderId="16" xfId="0" applyFont="1" applyBorder="1"/>
    <xf numFmtId="165" fontId="23" fillId="0" borderId="16" xfId="0" applyNumberFormat="1" applyFont="1" applyBorder="1" applyAlignment="1">
      <alignment horizontal="center" wrapText="1"/>
    </xf>
    <xf numFmtId="164" fontId="26" fillId="2" borderId="16" xfId="0" applyNumberFormat="1" applyFont="1" applyFill="1" applyBorder="1"/>
    <xf numFmtId="166" fontId="26" fillId="0" borderId="16" xfId="0" applyNumberFormat="1" applyFont="1" applyBorder="1"/>
    <xf numFmtId="166" fontId="26" fillId="2" borderId="16" xfId="0" applyNumberFormat="1" applyFont="1" applyFill="1" applyBorder="1"/>
    <xf numFmtId="165" fontId="3" fillId="38" borderId="7" xfId="0" applyNumberFormat="1" applyFont="1" applyFill="1" applyBorder="1"/>
    <xf numFmtId="165" fontId="2" fillId="38" borderId="1" xfId="0" applyNumberFormat="1" applyFont="1" applyFill="1" applyBorder="1"/>
    <xf numFmtId="0" fontId="2" fillId="38" borderId="1" xfId="0" applyFont="1" applyFill="1" applyBorder="1"/>
    <xf numFmtId="0" fontId="2" fillId="38" borderId="2" xfId="0" applyFont="1" applyFill="1" applyBorder="1"/>
    <xf numFmtId="165" fontId="2" fillId="38" borderId="2" xfId="0" applyNumberFormat="1" applyFont="1" applyFill="1" applyBorder="1"/>
    <xf numFmtId="164" fontId="2" fillId="38" borderId="2" xfId="0" applyNumberFormat="1" applyFont="1" applyFill="1" applyBorder="1"/>
    <xf numFmtId="166" fontId="2" fillId="38" borderId="2" xfId="0" applyNumberFormat="1" applyFont="1" applyFill="1" applyBorder="1"/>
    <xf numFmtId="165" fontId="2" fillId="39" borderId="9" xfId="0" applyNumberFormat="1" applyFont="1" applyFill="1" applyBorder="1"/>
    <xf numFmtId="165" fontId="5" fillId="39" borderId="9" xfId="0" applyNumberFormat="1" applyFont="1" applyFill="1" applyBorder="1"/>
    <xf numFmtId="0" fontId="2" fillId="39" borderId="9" xfId="0" applyFont="1" applyFill="1" applyBorder="1"/>
    <xf numFmtId="0" fontId="2" fillId="39" borderId="10" xfId="0" applyFont="1" applyFill="1" applyBorder="1"/>
    <xf numFmtId="165" fontId="2" fillId="39" borderId="10" xfId="0" applyNumberFormat="1" applyFont="1" applyFill="1" applyBorder="1"/>
    <xf numFmtId="164" fontId="2" fillId="39" borderId="10" xfId="0" applyNumberFormat="1" applyFont="1" applyFill="1" applyBorder="1"/>
    <xf numFmtId="166" fontId="2" fillId="39" borderId="10" xfId="0" applyNumberFormat="1" applyFont="1" applyFill="1" applyBorder="1"/>
    <xf numFmtId="165" fontId="2" fillId="40" borderId="9" xfId="0" applyNumberFormat="1" applyFont="1" applyFill="1" applyBorder="1"/>
    <xf numFmtId="165" fontId="5" fillId="40" borderId="9" xfId="0" applyNumberFormat="1" applyFont="1" applyFill="1" applyBorder="1"/>
    <xf numFmtId="0" fontId="2" fillId="40" borderId="9" xfId="0" applyFont="1" applyFill="1" applyBorder="1"/>
    <xf numFmtId="0" fontId="2" fillId="40" borderId="10" xfId="0" applyFont="1" applyFill="1" applyBorder="1"/>
    <xf numFmtId="165" fontId="5" fillId="40" borderId="10" xfId="0" applyNumberFormat="1" applyFont="1" applyFill="1" applyBorder="1" applyAlignment="1">
      <alignment horizontal="center"/>
    </xf>
    <xf numFmtId="164" fontId="5" fillId="40" borderId="10" xfId="0" applyNumberFormat="1" applyFont="1" applyFill="1" applyBorder="1" applyAlignment="1">
      <alignment horizontal="right"/>
    </xf>
    <xf numFmtId="166" fontId="5" fillId="40" borderId="10" xfId="0" applyNumberFormat="1" applyFont="1" applyFill="1" applyBorder="1" applyAlignment="1">
      <alignment horizontal="right"/>
    </xf>
    <xf numFmtId="166" fontId="2" fillId="40" borderId="10" xfId="0" applyNumberFormat="1" applyFont="1" applyFill="1" applyBorder="1"/>
    <xf numFmtId="165" fontId="37" fillId="23" borderId="9" xfId="0" applyNumberFormat="1" applyFont="1" applyFill="1" applyBorder="1"/>
    <xf numFmtId="165" fontId="7" fillId="0" borderId="9" xfId="0" applyNumberFormat="1" applyFont="1" applyBorder="1"/>
    <xf numFmtId="165" fontId="5" fillId="0" borderId="10" xfId="0" applyNumberFormat="1" applyFont="1" applyBorder="1" applyAlignment="1">
      <alignment horizontal="center"/>
    </xf>
    <xf numFmtId="165" fontId="2" fillId="40" borderId="10" xfId="0" applyNumberFormat="1" applyFont="1" applyFill="1" applyBorder="1"/>
    <xf numFmtId="164" fontId="2" fillId="40" borderId="10" xfId="0" applyNumberFormat="1" applyFont="1" applyFill="1" applyBorder="1"/>
    <xf numFmtId="0" fontId="38" fillId="23" borderId="9" xfId="0" applyFont="1" applyFill="1" applyBorder="1"/>
    <xf numFmtId="165" fontId="7" fillId="2" borderId="10" xfId="0" applyNumberFormat="1" applyFont="1" applyFill="1" applyBorder="1" applyAlignment="1">
      <alignment horizontal="right"/>
    </xf>
    <xf numFmtId="165" fontId="5" fillId="2" borderId="10" xfId="0" applyNumberFormat="1" applyFont="1" applyFill="1" applyBorder="1" applyAlignment="1">
      <alignment horizontal="right"/>
    </xf>
    <xf numFmtId="169" fontId="2" fillId="2" borderId="10" xfId="0" applyNumberFormat="1" applyFont="1" applyFill="1" applyBorder="1"/>
    <xf numFmtId="165" fontId="39" fillId="0" borderId="1" xfId="0" applyNumberFormat="1" applyFont="1" applyBorder="1"/>
    <xf numFmtId="169" fontId="2" fillId="2" borderId="2" xfId="0" applyNumberFormat="1" applyFont="1" applyFill="1" applyBorder="1"/>
    <xf numFmtId="165" fontId="5" fillId="39" borderId="10" xfId="0" applyNumberFormat="1" applyFont="1" applyFill="1" applyBorder="1" applyAlignment="1">
      <alignment horizontal="center"/>
    </xf>
    <xf numFmtId="164" fontId="5" fillId="39" borderId="10" xfId="0" applyNumberFormat="1" applyFont="1" applyFill="1" applyBorder="1" applyAlignment="1">
      <alignment horizontal="right"/>
    </xf>
    <xf numFmtId="166" fontId="5" fillId="39" borderId="10" xfId="0" applyNumberFormat="1" applyFont="1" applyFill="1" applyBorder="1" applyAlignment="1">
      <alignment horizontal="right"/>
    </xf>
    <xf numFmtId="0" fontId="5" fillId="0" borderId="9" xfId="0" quotePrefix="1" applyFont="1" applyBorder="1"/>
    <xf numFmtId="0" fontId="40" fillId="0" borderId="9" xfId="0" applyFont="1" applyBorder="1"/>
    <xf numFmtId="165" fontId="16" fillId="39" borderId="9" xfId="0" applyNumberFormat="1" applyFont="1" applyFill="1" applyBorder="1"/>
    <xf numFmtId="165" fontId="16" fillId="39" borderId="10" xfId="0" applyNumberFormat="1" applyFont="1" applyFill="1" applyBorder="1" applyAlignment="1">
      <alignment horizontal="center"/>
    </xf>
    <xf numFmtId="166" fontId="16" fillId="39" borderId="10" xfId="0" applyNumberFormat="1" applyFont="1" applyFill="1" applyBorder="1" applyAlignment="1">
      <alignment horizontal="right"/>
    </xf>
    <xf numFmtId="165" fontId="16" fillId="0" borderId="10" xfId="0" applyNumberFormat="1" applyFont="1" applyBorder="1" applyAlignment="1">
      <alignment horizontal="center" wrapText="1"/>
    </xf>
    <xf numFmtId="0" fontId="42" fillId="2" borderId="9" xfId="0" applyFont="1" applyFill="1" applyBorder="1"/>
    <xf numFmtId="165" fontId="16" fillId="0" borderId="10" xfId="0" applyNumberFormat="1" applyFont="1" applyBorder="1" applyAlignment="1">
      <alignment horizontal="center"/>
    </xf>
    <xf numFmtId="165" fontId="8" fillId="0" borderId="10" xfId="0" applyNumberFormat="1" applyFont="1" applyBorder="1" applyAlignment="1">
      <alignment horizontal="center"/>
    </xf>
    <xf numFmtId="0" fontId="43" fillId="23" borderId="9" xfId="0" applyFont="1" applyFill="1" applyBorder="1"/>
    <xf numFmtId="164" fontId="8" fillId="2" borderId="10" xfId="0" applyNumberFormat="1" applyFont="1" applyFill="1" applyBorder="1" applyAlignment="1">
      <alignment horizontal="right"/>
    </xf>
    <xf numFmtId="0" fontId="8" fillId="2" borderId="1" xfId="0" applyFont="1" applyFill="1" applyBorder="1"/>
    <xf numFmtId="165" fontId="8" fillId="0" borderId="2" xfId="0" applyNumberFormat="1" applyFont="1" applyBorder="1" applyAlignment="1">
      <alignment horizontal="center" wrapText="1"/>
    </xf>
    <xf numFmtId="164" fontId="8" fillId="2" borderId="2" xfId="0" applyNumberFormat="1" applyFont="1" applyFill="1" applyBorder="1" applyAlignment="1">
      <alignment horizontal="right"/>
    </xf>
    <xf numFmtId="165" fontId="2" fillId="39" borderId="8" xfId="0" applyNumberFormat="1" applyFont="1" applyFill="1" applyBorder="1"/>
    <xf numFmtId="165" fontId="5" fillId="0" borderId="9" xfId="0" applyNumberFormat="1" applyFont="1" applyBorder="1"/>
    <xf numFmtId="165" fontId="7" fillId="0" borderId="13" xfId="0" applyNumberFormat="1" applyFont="1" applyBorder="1" applyAlignment="1">
      <alignment horizontal="center"/>
    </xf>
    <xf numFmtId="164" fontId="2" fillId="0" borderId="13" xfId="0" applyNumberFormat="1" applyFont="1" applyBorder="1"/>
    <xf numFmtId="167" fontId="16" fillId="2" borderId="9" xfId="0" applyNumberFormat="1" applyFont="1" applyFill="1" applyBorder="1" applyAlignment="1">
      <alignment horizontal="center"/>
    </xf>
    <xf numFmtId="165" fontId="8" fillId="0" borderId="9" xfId="0" applyNumberFormat="1" applyFont="1" applyBorder="1"/>
    <xf numFmtId="165" fontId="5" fillId="13" borderId="17" xfId="0" applyNumberFormat="1" applyFont="1" applyFill="1" applyBorder="1"/>
    <xf numFmtId="165" fontId="2" fillId="13" borderId="18" xfId="0" applyNumberFormat="1" applyFont="1" applyFill="1" applyBorder="1"/>
    <xf numFmtId="0" fontId="2" fillId="13" borderId="18" xfId="0" applyFont="1" applyFill="1" applyBorder="1"/>
    <xf numFmtId="0" fontId="2" fillId="13" borderId="19" xfId="0" applyFont="1" applyFill="1" applyBorder="1"/>
    <xf numFmtId="165" fontId="5" fillId="13" borderId="18" xfId="0" applyNumberFormat="1" applyFont="1" applyFill="1" applyBorder="1"/>
    <xf numFmtId="164" fontId="2" fillId="13" borderId="18" xfId="0" applyNumberFormat="1" applyFont="1" applyFill="1" applyBorder="1"/>
    <xf numFmtId="164" fontId="2" fillId="13" borderId="19" xfId="0" applyNumberFormat="1" applyFont="1" applyFill="1" applyBorder="1"/>
    <xf numFmtId="166" fontId="2" fillId="13" borderId="19" xfId="0" applyNumberFormat="1" applyFont="1" applyFill="1" applyBorder="1"/>
    <xf numFmtId="165" fontId="2" fillId="0" borderId="0" xfId="0" applyNumberFormat="1" applyFont="1"/>
    <xf numFmtId="164" fontId="2" fillId="0" borderId="0" xfId="0" applyNumberFormat="1" applyFont="1"/>
    <xf numFmtId="166" fontId="2" fillId="0" borderId="0" xfId="0" applyNumberFormat="1" applyFont="1"/>
    <xf numFmtId="165" fontId="21" fillId="0" borderId="0" xfId="0" applyNumberFormat="1" applyFont="1"/>
    <xf numFmtId="166" fontId="5" fillId="8" borderId="1" xfId="0" applyNumberFormat="1" applyFont="1" applyFill="1" applyBorder="1" applyAlignment="1">
      <alignment horizontal="center"/>
    </xf>
    <xf numFmtId="0" fontId="4" fillId="0" borderId="1" xfId="0" applyFont="1" applyBorder="1"/>
    <xf numFmtId="0" fontId="4" fillId="0" borderId="2" xfId="0" applyFont="1" applyBorder="1"/>
    <xf numFmtId="166" fontId="5" fillId="7" borderId="1" xfId="0" applyNumberFormat="1" applyFont="1" applyFill="1" applyBorder="1" applyAlignment="1">
      <alignment horizontal="center" wrapText="1"/>
    </xf>
    <xf numFmtId="0" fontId="1" fillId="0" borderId="0" xfId="0" applyFont="1" applyAlignment="1">
      <alignment horizontal="center"/>
    </xf>
    <xf numFmtId="0" fontId="0" fillId="0" borderId="0" xfId="0"/>
    <xf numFmtId="165" fontId="3" fillId="3" borderId="3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4" xfId="0" applyFont="1" applyBorder="1"/>
    <xf numFmtId="165" fontId="3" fillId="4" borderId="3" xfId="0" applyNumberFormat="1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/>
    </xf>
    <xf numFmtId="165" fontId="30" fillId="2" borderId="1" xfId="0" applyNumberFormat="1" applyFont="1" applyFill="1" applyBorder="1"/>
    <xf numFmtId="0" fontId="33" fillId="2" borderId="9" xfId="0" applyFont="1" applyFill="1" applyBorder="1"/>
    <xf numFmtId="0" fontId="4" fillId="0" borderId="9" xfId="0" applyFont="1" applyBorder="1"/>
    <xf numFmtId="0" fontId="4" fillId="0" borderId="10" xfId="0" applyFont="1" applyBorder="1"/>
    <xf numFmtId="0" fontId="36" fillId="2" borderId="9" xfId="0" applyFont="1" applyFill="1" applyBorder="1"/>
    <xf numFmtId="0" fontId="41" fillId="2" borderId="9" xfId="0" applyFont="1" applyFill="1" applyBorder="1"/>
    <xf numFmtId="0" fontId="5" fillId="5" borderId="5" xfId="0" applyFont="1" applyFill="1" applyBorder="1" applyAlignment="1">
      <alignment horizontal="center"/>
    </xf>
    <xf numFmtId="0" fontId="4" fillId="0" borderId="6" xfId="0" applyFont="1" applyBorder="1"/>
    <xf numFmtId="0" fontId="4" fillId="0" borderId="7" xfId="0" applyFont="1" applyBorder="1"/>
    <xf numFmtId="0" fontId="2" fillId="10" borderId="7" xfId="0" applyFont="1" applyFill="1" applyBorder="1"/>
    <xf numFmtId="0" fontId="5" fillId="11" borderId="7" xfId="0" applyFont="1" applyFill="1" applyBorder="1"/>
    <xf numFmtId="0" fontId="5" fillId="17" borderId="7" xfId="0" applyFont="1" applyFill="1" applyBorder="1"/>
    <xf numFmtId="0" fontId="5" fillId="18" borderId="9" xfId="0" applyFont="1" applyFill="1" applyBorder="1"/>
    <xf numFmtId="165" fontId="27" fillId="2" borderId="0" xfId="0" applyNumberFormat="1" applyFont="1" applyFill="1"/>
    <xf numFmtId="0" fontId="21" fillId="0" borderId="0" xfId="0" applyFont="1"/>
    <xf numFmtId="0" fontId="5" fillId="13" borderId="18" xfId="0" applyFont="1" applyFill="1" applyBorder="1"/>
    <xf numFmtId="0" fontId="5" fillId="13" borderId="17" xfId="0" applyFont="1" applyFill="1" applyBorder="1"/>
    <xf numFmtId="166" fontId="2" fillId="2" borderId="20" xfId="0" applyNumberFormat="1" applyFont="1" applyFill="1" applyBorder="1"/>
    <xf numFmtId="166" fontId="2" fillId="2" borderId="21" xfId="0" applyNumberFormat="1" applyFont="1" applyFill="1" applyBorder="1"/>
    <xf numFmtId="165" fontId="6" fillId="23" borderId="9" xfId="0" applyNumberFormat="1" applyFont="1" applyFill="1" applyBorder="1"/>
    <xf numFmtId="166" fontId="7" fillId="2" borderId="21" xfId="0" applyNumberFormat="1" applyFont="1" applyFill="1" applyBorder="1" applyAlignment="1">
      <alignment horizontal="right"/>
    </xf>
    <xf numFmtId="166" fontId="8" fillId="2" borderId="21" xfId="0" applyNumberFormat="1" applyFont="1" applyFill="1" applyBorder="1" applyAlignment="1">
      <alignment horizontal="right"/>
    </xf>
    <xf numFmtId="166" fontId="5" fillId="2" borderId="21" xfId="0" applyNumberFormat="1" applyFont="1" applyFill="1" applyBorder="1" applyAlignment="1">
      <alignment horizontal="right"/>
    </xf>
    <xf numFmtId="0" fontId="6" fillId="2" borderId="9" xfId="0" applyFont="1" applyFill="1" applyBorder="1"/>
    <xf numFmtId="166" fontId="2" fillId="39" borderId="21" xfId="0" applyNumberFormat="1" applyFont="1" applyFill="1" applyBorder="1"/>
    <xf numFmtId="166" fontId="26" fillId="2" borderId="21" xfId="0" applyNumberFormat="1" applyFont="1" applyFill="1" applyBorder="1"/>
    <xf numFmtId="164" fontId="23" fillId="24" borderId="10" xfId="0" applyNumberFormat="1" applyFont="1" applyFill="1" applyBorder="1" applyAlignment="1">
      <alignment horizontal="right"/>
    </xf>
    <xf numFmtId="0" fontId="23" fillId="0" borderId="9" xfId="0" applyFont="1" applyBorder="1"/>
    <xf numFmtId="165" fontId="1" fillId="0" borderId="9" xfId="0" applyNumberFormat="1" applyFont="1" applyBorder="1"/>
    <xf numFmtId="165" fontId="6" fillId="23" borderId="9" xfId="0" quotePrefix="1" applyNumberFormat="1" applyFont="1" applyFill="1" applyBorder="1"/>
    <xf numFmtId="166" fontId="2" fillId="0" borderId="21" xfId="0" applyNumberFormat="1" applyFont="1" applyBorder="1"/>
    <xf numFmtId="0" fontId="18" fillId="23" borderId="9" xfId="0" applyFont="1" applyFill="1" applyBorder="1"/>
    <xf numFmtId="0" fontId="18" fillId="2" borderId="9" xfId="0" applyFont="1" applyFill="1" applyBorder="1"/>
    <xf numFmtId="0" fontId="18" fillId="2" borderId="9" xfId="0" applyFont="1" applyFill="1" applyBorder="1"/>
    <xf numFmtId="166" fontId="2" fillId="27" borderId="20" xfId="0" applyNumberFormat="1" applyFont="1" applyFill="1" applyBorder="1"/>
    <xf numFmtId="0" fontId="6" fillId="23" borderId="9" xfId="0" quotePrefix="1" applyFont="1" applyFill="1" applyBorder="1"/>
    <xf numFmtId="164" fontId="7" fillId="39" borderId="10" xfId="0" applyNumberFormat="1" applyFont="1" applyFill="1" applyBorder="1" applyAlignment="1">
      <alignment horizontal="right"/>
    </xf>
    <xf numFmtId="165" fontId="7" fillId="39" borderId="10" xfId="0" applyNumberFormat="1" applyFont="1" applyFill="1" applyBorder="1" applyAlignment="1">
      <alignment horizontal="center"/>
    </xf>
    <xf numFmtId="169" fontId="2" fillId="2" borderId="20" xfId="0" applyNumberFormat="1" applyFont="1" applyFill="1" applyBorder="1"/>
    <xf numFmtId="169" fontId="2" fillId="2" borderId="21" xfId="0" applyNumberFormat="1" applyFont="1" applyFill="1" applyBorder="1"/>
    <xf numFmtId="0" fontId="6" fillId="23" borderId="9" xfId="0" applyFont="1" applyFill="1" applyBorder="1"/>
    <xf numFmtId="166" fontId="2" fillId="40" borderId="21" xfId="0" applyNumberFormat="1" applyFont="1" applyFill="1" applyBorder="1"/>
    <xf numFmtId="165" fontId="2" fillId="40" borderId="8" xfId="0" applyNumberFormat="1" applyFont="1" applyFill="1" applyBorder="1"/>
    <xf numFmtId="166" fontId="2" fillId="38" borderId="20" xfId="0" applyNumberFormat="1" applyFont="1" applyFill="1" applyBorder="1"/>
    <xf numFmtId="166" fontId="2" fillId="2" borderId="16" xfId="0" applyNumberFormat="1" applyFont="1" applyFill="1" applyBorder="1"/>
    <xf numFmtId="166" fontId="2" fillId="2" borderId="22" xfId="0" applyNumberFormat="1" applyFont="1" applyFill="1" applyBorder="1"/>
    <xf numFmtId="166" fontId="2" fillId="0" borderId="16" xfId="0" applyNumberFormat="1" applyFont="1" applyBorder="1"/>
    <xf numFmtId="164" fontId="2" fillId="2" borderId="16" xfId="0" applyNumberFormat="1" applyFont="1" applyFill="1" applyBorder="1"/>
    <xf numFmtId="165" fontId="8" fillId="0" borderId="16" xfId="0" applyNumberFormat="1" applyFont="1" applyBorder="1" applyAlignment="1">
      <alignment horizontal="center" wrapText="1"/>
    </xf>
    <xf numFmtId="0" fontId="2" fillId="0" borderId="16" xfId="0" applyFont="1" applyBorder="1"/>
    <xf numFmtId="0" fontId="2" fillId="0" borderId="15" xfId="0" applyFont="1" applyBorder="1"/>
    <xf numFmtId="165" fontId="8" fillId="0" borderId="15" xfId="0" applyNumberFormat="1" applyFont="1" applyBorder="1"/>
    <xf numFmtId="165" fontId="2" fillId="0" borderId="15" xfId="0" applyNumberFormat="1" applyFont="1" applyBorder="1"/>
    <xf numFmtId="165" fontId="2" fillId="0" borderId="14" xfId="0" applyNumberFormat="1" applyFont="1" applyBorder="1"/>
    <xf numFmtId="0" fontId="18" fillId="23" borderId="9" xfId="0" quotePrefix="1" applyFont="1" applyFill="1" applyBorder="1"/>
    <xf numFmtId="166" fontId="2" fillId="12" borderId="21" xfId="0" applyNumberFormat="1" applyFont="1" applyFill="1" applyBorder="1"/>
    <xf numFmtId="165" fontId="16" fillId="12" borderId="10" xfId="0" applyNumberFormat="1" applyFont="1" applyFill="1" applyBorder="1" applyAlignment="1">
      <alignment horizontal="center"/>
    </xf>
    <xf numFmtId="165" fontId="8" fillId="12" borderId="9" xfId="0" applyNumberFormat="1" applyFont="1" applyFill="1" applyBorder="1"/>
    <xf numFmtId="165" fontId="2" fillId="12" borderId="8" xfId="0" applyNumberFormat="1" applyFont="1" applyFill="1" applyBorder="1"/>
    <xf numFmtId="165" fontId="16" fillId="12" borderId="9" xfId="0" applyNumberFormat="1" applyFont="1" applyFill="1" applyBorder="1" applyAlignment="1">
      <alignment horizontal="center"/>
    </xf>
    <xf numFmtId="0" fontId="16" fillId="12" borderId="9" xfId="0" applyFont="1" applyFill="1" applyBorder="1"/>
    <xf numFmtId="165" fontId="16" fillId="22" borderId="8" xfId="0" applyNumberFormat="1" applyFont="1" applyFill="1" applyBorder="1"/>
    <xf numFmtId="166" fontId="2" fillId="27" borderId="21" xfId="0" applyNumberFormat="1" applyFont="1" applyFill="1" applyBorder="1"/>
    <xf numFmtId="0" fontId="6" fillId="2" borderId="9" xfId="0" applyFont="1" applyFill="1" applyBorder="1"/>
    <xf numFmtId="166" fontId="2" fillId="37" borderId="21" xfId="0" applyNumberFormat="1" applyFont="1" applyFill="1" applyBorder="1"/>
    <xf numFmtId="164" fontId="2" fillId="37" borderId="10" xfId="0" applyNumberFormat="1" applyFont="1" applyFill="1" applyBorder="1"/>
    <xf numFmtId="166" fontId="5" fillId="37" borderId="13" xfId="0" applyNumberFormat="1" applyFont="1" applyFill="1" applyBorder="1" applyAlignment="1">
      <alignment horizontal="right"/>
    </xf>
    <xf numFmtId="164" fontId="2" fillId="37" borderId="13" xfId="0" applyNumberFormat="1" applyFont="1" applyFill="1" applyBorder="1"/>
    <xf numFmtId="165" fontId="5" fillId="37" borderId="13" xfId="0" applyNumberFormat="1" applyFont="1" applyFill="1" applyBorder="1" applyAlignment="1">
      <alignment horizontal="center" wrapText="1"/>
    </xf>
    <xf numFmtId="0" fontId="2" fillId="37" borderId="13" xfId="0" applyFont="1" applyFill="1" applyBorder="1"/>
    <xf numFmtId="0" fontId="2" fillId="37" borderId="12" xfId="0" applyFont="1" applyFill="1" applyBorder="1"/>
    <xf numFmtId="165" fontId="2" fillId="37" borderId="12" xfId="0" applyNumberFormat="1" applyFont="1" applyFill="1" applyBorder="1"/>
    <xf numFmtId="0" fontId="5" fillId="37" borderId="12" xfId="0" applyFont="1" applyFill="1" applyBorder="1"/>
    <xf numFmtId="165" fontId="2" fillId="37" borderId="11" xfId="0" applyNumberFormat="1" applyFont="1" applyFill="1" applyBorder="1"/>
    <xf numFmtId="166" fontId="2" fillId="27" borderId="6" xfId="0" applyNumberFormat="1" applyFont="1" applyFill="1" applyBorder="1"/>
    <xf numFmtId="164" fontId="2" fillId="27" borderId="6" xfId="0" applyNumberFormat="1" applyFont="1" applyFill="1" applyBorder="1"/>
    <xf numFmtId="165" fontId="2" fillId="27" borderId="6" xfId="0" applyNumberFormat="1" applyFont="1" applyFill="1" applyBorder="1"/>
    <xf numFmtId="0" fontId="2" fillId="27" borderId="6" xfId="0" applyFont="1" applyFill="1" applyBorder="1"/>
    <xf numFmtId="0" fontId="2" fillId="27" borderId="0" xfId="0" applyFont="1" applyFill="1"/>
    <xf numFmtId="165" fontId="2" fillId="27" borderId="0" xfId="0" applyNumberFormat="1" applyFont="1" applyFill="1"/>
    <xf numFmtId="165" fontId="2" fillId="27" borderId="5" xfId="0" applyNumberFormat="1" applyFont="1" applyFill="1" applyBorder="1"/>
    <xf numFmtId="166" fontId="2" fillId="27" borderId="13" xfId="0" applyNumberFormat="1" applyFont="1" applyFill="1" applyBorder="1"/>
    <xf numFmtId="164" fontId="2" fillId="27" borderId="13" xfId="0" applyNumberFormat="1" applyFont="1" applyFill="1" applyBorder="1"/>
    <xf numFmtId="165" fontId="2" fillId="27" borderId="13" xfId="0" applyNumberFormat="1" applyFont="1" applyFill="1" applyBorder="1"/>
    <xf numFmtId="0" fontId="2" fillId="27" borderId="13" xfId="0" applyFont="1" applyFill="1" applyBorder="1"/>
    <xf numFmtId="0" fontId="2" fillId="27" borderId="12" xfId="0" applyFont="1" applyFill="1" applyBorder="1"/>
    <xf numFmtId="165" fontId="2" fillId="27" borderId="12" xfId="0" applyNumberFormat="1" applyFont="1" applyFill="1" applyBorder="1"/>
    <xf numFmtId="165" fontId="2" fillId="27" borderId="11" xfId="0" applyNumberFormat="1" applyFont="1" applyFill="1" applyBorder="1"/>
    <xf numFmtId="0" fontId="23" fillId="2" borderId="10" xfId="0" applyFont="1" applyFill="1" applyBorder="1" applyAlignment="1">
      <alignment horizontal="center" wrapText="1"/>
    </xf>
    <xf numFmtId="165" fontId="26" fillId="2" borderId="8" xfId="0" applyNumberFormat="1" applyFont="1" applyFill="1" applyBorder="1"/>
    <xf numFmtId="0" fontId="33" fillId="23" borderId="9" xfId="0" quotePrefix="1" applyFont="1" applyFill="1" applyBorder="1"/>
    <xf numFmtId="166" fontId="44" fillId="0" borderId="10" xfId="0" applyNumberFormat="1" applyFont="1" applyBorder="1"/>
    <xf numFmtId="164" fontId="44" fillId="0" borderId="10" xfId="0" applyNumberFormat="1" applyFont="1" applyBorder="1"/>
    <xf numFmtId="0" fontId="44" fillId="2" borderId="10" xfId="0" applyFont="1" applyFill="1" applyBorder="1"/>
    <xf numFmtId="0" fontId="44" fillId="2" borderId="9" xfId="0" applyFont="1" applyFill="1" applyBorder="1"/>
    <xf numFmtId="167" fontId="44" fillId="2" borderId="8" xfId="0" applyNumberFormat="1" applyFont="1" applyFill="1" applyBorder="1"/>
    <xf numFmtId="0" fontId="45" fillId="2" borderId="9" xfId="0" applyFont="1" applyFill="1" applyBorder="1"/>
    <xf numFmtId="166" fontId="44" fillId="2" borderId="10" xfId="0" applyNumberFormat="1" applyFont="1" applyFill="1" applyBorder="1"/>
    <xf numFmtId="164" fontId="44" fillId="2" borderId="10" xfId="0" applyNumberFormat="1" applyFont="1" applyFill="1" applyBorder="1"/>
    <xf numFmtId="165" fontId="1" fillId="2" borderId="10" xfId="0" applyNumberFormat="1" applyFont="1" applyFill="1" applyBorder="1" applyAlignment="1">
      <alignment horizontal="center"/>
    </xf>
    <xf numFmtId="166" fontId="1" fillId="37" borderId="10" xfId="0" applyNumberFormat="1" applyFont="1" applyFill="1" applyBorder="1" applyAlignment="1">
      <alignment horizontal="right"/>
    </xf>
    <xf numFmtId="164" fontId="1" fillId="37" borderId="10" xfId="0" applyNumberFormat="1" applyFont="1" applyFill="1" applyBorder="1" applyAlignment="1">
      <alignment horizontal="right"/>
    </xf>
    <xf numFmtId="0" fontId="1" fillId="37" borderId="10" xfId="0" applyFont="1" applyFill="1" applyBorder="1" applyAlignment="1">
      <alignment horizontal="center" wrapText="1"/>
    </xf>
    <xf numFmtId="0" fontId="26" fillId="37" borderId="10" xfId="0" applyFont="1" applyFill="1" applyBorder="1"/>
    <xf numFmtId="0" fontId="26" fillId="37" borderId="9" xfId="0" applyFont="1" applyFill="1" applyBorder="1"/>
    <xf numFmtId="165" fontId="26" fillId="37" borderId="9" xfId="0" applyNumberFormat="1" applyFont="1" applyFill="1" applyBorder="1"/>
    <xf numFmtId="0" fontId="1" fillId="37" borderId="9" xfId="0" applyFont="1" applyFill="1" applyBorder="1"/>
    <xf numFmtId="165" fontId="26" fillId="37" borderId="8" xfId="0" applyNumberFormat="1" applyFont="1" applyFill="1" applyBorder="1"/>
    <xf numFmtId="166" fontId="2" fillId="36" borderId="23" xfId="0" applyNumberFormat="1" applyFont="1" applyFill="1" applyBorder="1"/>
    <xf numFmtId="166" fontId="26" fillId="36" borderId="10" xfId="0" applyNumberFormat="1" applyFont="1" applyFill="1" applyBorder="1"/>
    <xf numFmtId="164" fontId="26" fillId="36" borderId="10" xfId="0" applyNumberFormat="1" applyFont="1" applyFill="1" applyBorder="1"/>
    <xf numFmtId="0" fontId="26" fillId="36" borderId="10" xfId="0" applyFont="1" applyFill="1" applyBorder="1"/>
    <xf numFmtId="165" fontId="26" fillId="36" borderId="9" xfId="0" applyNumberFormat="1" applyFont="1" applyFill="1" applyBorder="1"/>
    <xf numFmtId="0" fontId="26" fillId="36" borderId="9" xfId="0" applyFont="1" applyFill="1" applyBorder="1"/>
    <xf numFmtId="165" fontId="1" fillId="36" borderId="8" xfId="0" applyNumberFormat="1" applyFont="1" applyFill="1" applyBorder="1"/>
    <xf numFmtId="166" fontId="2" fillId="35" borderId="20" xfId="0" applyNumberFormat="1" applyFont="1" applyFill="1" applyBorder="1"/>
    <xf numFmtId="166" fontId="26" fillId="34" borderId="1" xfId="0" applyNumberFormat="1" applyFont="1" applyFill="1" applyBorder="1"/>
    <xf numFmtId="164" fontId="26" fillId="34" borderId="1" xfId="0" applyNumberFormat="1" applyFont="1" applyFill="1" applyBorder="1"/>
    <xf numFmtId="0" fontId="26" fillId="34" borderId="1" xfId="0" applyFont="1" applyFill="1" applyBorder="1"/>
    <xf numFmtId="165" fontId="26" fillId="34" borderId="1" xfId="0" applyNumberFormat="1" applyFont="1" applyFill="1" applyBorder="1"/>
    <xf numFmtId="165" fontId="1" fillId="34" borderId="7" xfId="0" applyNumberFormat="1" applyFont="1" applyFill="1" applyBorder="1"/>
    <xf numFmtId="165" fontId="9" fillId="2" borderId="9" xfId="0" applyNumberFormat="1" applyFont="1" applyFill="1" applyBorder="1"/>
    <xf numFmtId="165" fontId="6" fillId="2" borderId="9" xfId="0" applyNumberFormat="1" applyFont="1" applyFill="1" applyBorder="1"/>
    <xf numFmtId="166" fontId="2" fillId="33" borderId="21" xfId="0" applyNumberFormat="1" applyFont="1" applyFill="1" applyBorder="1"/>
    <xf numFmtId="164" fontId="7" fillId="24" borderId="20" xfId="0" applyNumberFormat="1" applyFont="1" applyFill="1" applyBorder="1" applyAlignment="1">
      <alignment horizontal="right"/>
    </xf>
    <xf numFmtId="164" fontId="7" fillId="24" borderId="21" xfId="0" applyNumberFormat="1" applyFont="1" applyFill="1" applyBorder="1" applyAlignment="1">
      <alignment horizontal="right"/>
    </xf>
    <xf numFmtId="166" fontId="2" fillId="41" borderId="10" xfId="0" applyNumberFormat="1" applyFont="1" applyFill="1" applyBorder="1"/>
    <xf numFmtId="166" fontId="2" fillId="41" borderId="21" xfId="0" applyNumberFormat="1" applyFont="1" applyFill="1" applyBorder="1"/>
    <xf numFmtId="166" fontId="5" fillId="41" borderId="10" xfId="0" applyNumberFormat="1" applyFont="1" applyFill="1" applyBorder="1" applyAlignment="1">
      <alignment horizontal="right"/>
    </xf>
    <xf numFmtId="164" fontId="5" fillId="41" borderId="21" xfId="0" applyNumberFormat="1" applyFont="1" applyFill="1" applyBorder="1" applyAlignment="1">
      <alignment horizontal="right"/>
    </xf>
    <xf numFmtId="164" fontId="2" fillId="41" borderId="10" xfId="0" applyNumberFormat="1" applyFont="1" applyFill="1" applyBorder="1"/>
    <xf numFmtId="165" fontId="5" fillId="41" borderId="10" xfId="0" applyNumberFormat="1" applyFont="1" applyFill="1" applyBorder="1" applyAlignment="1">
      <alignment horizontal="center"/>
    </xf>
    <xf numFmtId="165" fontId="2" fillId="41" borderId="10" xfId="0" applyNumberFormat="1" applyFont="1" applyFill="1" applyBorder="1"/>
    <xf numFmtId="165" fontId="2" fillId="41" borderId="9" xfId="0" applyNumberFormat="1" applyFont="1" applyFill="1" applyBorder="1"/>
    <xf numFmtId="165" fontId="7" fillId="41" borderId="9" xfId="0" applyNumberFormat="1" applyFont="1" applyFill="1" applyBorder="1"/>
    <xf numFmtId="165" fontId="2" fillId="41" borderId="8" xfId="0" applyNumberFormat="1" applyFont="1" applyFill="1" applyBorder="1"/>
    <xf numFmtId="165" fontId="5" fillId="41" borderId="9" xfId="0" applyNumberFormat="1" applyFont="1" applyFill="1" applyBorder="1"/>
    <xf numFmtId="164" fontId="7" fillId="2" borderId="21" xfId="0" applyNumberFormat="1" applyFont="1" applyFill="1" applyBorder="1" applyAlignment="1">
      <alignment horizontal="right"/>
    </xf>
    <xf numFmtId="164" fontId="5" fillId="41" borderId="10" xfId="0" applyNumberFormat="1" applyFont="1" applyFill="1" applyBorder="1" applyAlignment="1">
      <alignment horizontal="right"/>
    </xf>
    <xf numFmtId="164" fontId="5" fillId="40" borderId="21" xfId="0" applyNumberFormat="1" applyFont="1" applyFill="1" applyBorder="1" applyAlignment="1">
      <alignment horizontal="right"/>
    </xf>
    <xf numFmtId="165" fontId="29" fillId="40" borderId="9" xfId="0" applyNumberFormat="1" applyFont="1" applyFill="1" applyBorder="1"/>
    <xf numFmtId="164" fontId="5" fillId="2" borderId="21" xfId="0" applyNumberFormat="1" applyFont="1" applyFill="1" applyBorder="1" applyAlignment="1">
      <alignment horizontal="right"/>
    </xf>
    <xf numFmtId="165" fontId="5" fillId="40" borderId="10" xfId="0" applyNumberFormat="1" applyFont="1" applyFill="1" applyBorder="1" applyAlignment="1">
      <alignment horizontal="center" wrapText="1"/>
    </xf>
    <xf numFmtId="168" fontId="7" fillId="24" borderId="21" xfId="0" applyNumberFormat="1" applyFont="1" applyFill="1" applyBorder="1" applyAlignment="1">
      <alignment horizontal="right"/>
    </xf>
    <xf numFmtId="164" fontId="5" fillId="40" borderId="24" xfId="0" applyNumberFormat="1" applyFont="1" applyFill="1" applyBorder="1" applyAlignment="1">
      <alignment horizontal="right"/>
    </xf>
    <xf numFmtId="165" fontId="6" fillId="2" borderId="9" xfId="0" quotePrefix="1" applyNumberFormat="1" applyFont="1" applyFill="1" applyBorder="1"/>
    <xf numFmtId="165" fontId="6" fillId="2" borderId="0" xfId="0" applyNumberFormat="1" applyFont="1" applyFill="1"/>
    <xf numFmtId="165" fontId="6" fillId="2" borderId="9" xfId="0" applyNumberFormat="1" applyFont="1" applyFill="1" applyBorder="1"/>
    <xf numFmtId="166" fontId="5" fillId="33" borderId="19" xfId="0" applyNumberFormat="1" applyFont="1" applyFill="1" applyBorder="1" applyAlignment="1">
      <alignment horizontal="right"/>
    </xf>
    <xf numFmtId="164" fontId="5" fillId="33" borderId="19" xfId="0" applyNumberFormat="1" applyFont="1" applyFill="1" applyBorder="1" applyAlignment="1">
      <alignment horizontal="right"/>
    </xf>
    <xf numFmtId="165" fontId="5" fillId="33" borderId="19" xfId="0" applyNumberFormat="1" applyFont="1" applyFill="1" applyBorder="1" applyAlignment="1">
      <alignment horizontal="center" wrapText="1"/>
    </xf>
    <xf numFmtId="0" fontId="2" fillId="33" borderId="19" xfId="0" applyFont="1" applyFill="1" applyBorder="1"/>
    <xf numFmtId="0" fontId="2" fillId="33" borderId="18" xfId="0" applyFont="1" applyFill="1" applyBorder="1"/>
    <xf numFmtId="165" fontId="2" fillId="33" borderId="18" xfId="0" applyNumberFormat="1" applyFont="1" applyFill="1" applyBorder="1"/>
    <xf numFmtId="167" fontId="2" fillId="33" borderId="18" xfId="0" applyNumberFormat="1" applyFont="1" applyFill="1" applyBorder="1"/>
    <xf numFmtId="165" fontId="5" fillId="33" borderId="18" xfId="0" applyNumberFormat="1" applyFont="1" applyFill="1" applyBorder="1"/>
    <xf numFmtId="167" fontId="2" fillId="33" borderId="17" xfId="0" applyNumberFormat="1" applyFont="1" applyFill="1" applyBorder="1"/>
    <xf numFmtId="170" fontId="7" fillId="2" borderId="10" xfId="0" applyNumberFormat="1" applyFont="1" applyFill="1" applyBorder="1" applyAlignment="1">
      <alignment horizontal="right"/>
    </xf>
    <xf numFmtId="166" fontId="2" fillId="26" borderId="21" xfId="0" applyNumberFormat="1" applyFont="1" applyFill="1" applyBorder="1"/>
    <xf numFmtId="0" fontId="6" fillId="26" borderId="9" xfId="0" applyFont="1" applyFill="1" applyBorder="1"/>
    <xf numFmtId="166" fontId="5" fillId="26" borderId="13" xfId="0" applyNumberFormat="1" applyFont="1" applyFill="1" applyBorder="1" applyAlignment="1">
      <alignment horizontal="right"/>
    </xf>
    <xf numFmtId="164" fontId="5" fillId="26" borderId="13" xfId="0" applyNumberFormat="1" applyFont="1" applyFill="1" applyBorder="1" applyAlignment="1">
      <alignment horizontal="right"/>
    </xf>
    <xf numFmtId="0" fontId="5" fillId="26" borderId="13" xfId="0" applyFont="1" applyFill="1" applyBorder="1" applyAlignment="1">
      <alignment horizontal="center" wrapText="1"/>
    </xf>
    <xf numFmtId="0" fontId="2" fillId="26" borderId="13" xfId="0" applyFont="1" applyFill="1" applyBorder="1"/>
    <xf numFmtId="0" fontId="2" fillId="26" borderId="12" xfId="0" applyFont="1" applyFill="1" applyBorder="1"/>
    <xf numFmtId="165" fontId="6" fillId="26" borderId="12" xfId="0" applyNumberFormat="1" applyFont="1" applyFill="1" applyBorder="1"/>
    <xf numFmtId="165" fontId="2" fillId="26" borderId="12" xfId="0" applyNumberFormat="1" applyFont="1" applyFill="1" applyBorder="1"/>
    <xf numFmtId="165" fontId="2" fillId="26" borderId="11" xfId="0" applyNumberFormat="1" applyFont="1" applyFill="1" applyBorder="1"/>
    <xf numFmtId="166" fontId="5" fillId="33" borderId="13" xfId="0" applyNumberFormat="1" applyFont="1" applyFill="1" applyBorder="1" applyAlignment="1">
      <alignment horizontal="right"/>
    </xf>
    <xf numFmtId="164" fontId="5" fillId="33" borderId="13" xfId="0" applyNumberFormat="1" applyFont="1" applyFill="1" applyBorder="1" applyAlignment="1">
      <alignment horizontal="right"/>
    </xf>
    <xf numFmtId="164" fontId="5" fillId="33" borderId="24" xfId="0" applyNumberFormat="1" applyFont="1" applyFill="1" applyBorder="1" applyAlignment="1">
      <alignment horizontal="right"/>
    </xf>
    <xf numFmtId="166" fontId="2" fillId="32" borderId="21" xfId="0" applyNumberFormat="1" applyFont="1" applyFill="1" applyBorder="1"/>
    <xf numFmtId="166" fontId="2" fillId="10" borderId="21" xfId="0" applyNumberFormat="1" applyFont="1" applyFill="1" applyBorder="1"/>
    <xf numFmtId="166" fontId="8" fillId="10" borderId="10" xfId="0" applyNumberFormat="1" applyFont="1" applyFill="1" applyBorder="1" applyAlignment="1">
      <alignment horizontal="right"/>
    </xf>
    <xf numFmtId="164" fontId="8" fillId="10" borderId="10" xfId="0" applyNumberFormat="1" applyFont="1" applyFill="1" applyBorder="1" applyAlignment="1">
      <alignment horizontal="right"/>
    </xf>
    <xf numFmtId="0" fontId="8" fillId="10" borderId="10" xfId="0" applyFont="1" applyFill="1" applyBorder="1" applyAlignment="1">
      <alignment horizontal="center"/>
    </xf>
    <xf numFmtId="0" fontId="8" fillId="10" borderId="9" xfId="0" applyFont="1" applyFill="1" applyBorder="1"/>
    <xf numFmtId="166" fontId="7" fillId="10" borderId="10" xfId="0" applyNumberFormat="1" applyFont="1" applyFill="1" applyBorder="1" applyAlignment="1">
      <alignment horizontal="right"/>
    </xf>
    <xf numFmtId="164" fontId="7" fillId="10" borderId="10" xfId="0" applyNumberFormat="1" applyFont="1" applyFill="1" applyBorder="1" applyAlignment="1">
      <alignment horizontal="right"/>
    </xf>
    <xf numFmtId="0" fontId="7" fillId="10" borderId="10" xfId="0" applyFont="1" applyFill="1" applyBorder="1" applyAlignment="1">
      <alignment horizontal="center"/>
    </xf>
    <xf numFmtId="0" fontId="7" fillId="10" borderId="9" xfId="0" applyFont="1" applyFill="1" applyBorder="1"/>
    <xf numFmtId="166" fontId="2" fillId="10" borderId="20" xfId="0" applyNumberFormat="1" applyFont="1" applyFill="1" applyBorder="1"/>
    <xf numFmtId="166" fontId="2" fillId="30" borderId="21" xfId="0" applyNumberFormat="1" applyFont="1" applyFill="1" applyBorder="1"/>
    <xf numFmtId="166" fontId="2" fillId="29" borderId="21" xfId="0" applyNumberFormat="1" applyFont="1" applyFill="1" applyBorder="1"/>
    <xf numFmtId="166" fontId="2" fillId="0" borderId="20" xfId="0" applyNumberFormat="1" applyFont="1" applyBorder="1"/>
    <xf numFmtId="166" fontId="8" fillId="0" borderId="2" xfId="0" applyNumberFormat="1" applyFont="1" applyBorder="1" applyAlignment="1">
      <alignment horizontal="right"/>
    </xf>
    <xf numFmtId="0" fontId="8" fillId="2" borderId="2" xfId="0" applyFont="1" applyFill="1" applyBorder="1" applyAlignment="1">
      <alignment horizontal="center"/>
    </xf>
    <xf numFmtId="0" fontId="8" fillId="0" borderId="1" xfId="0" quotePrefix="1" applyFont="1" applyBorder="1"/>
    <xf numFmtId="165" fontId="7" fillId="2" borderId="13" xfId="0" applyNumberFormat="1" applyFont="1" applyFill="1" applyBorder="1" applyAlignment="1">
      <alignment horizontal="center"/>
    </xf>
    <xf numFmtId="0" fontId="7" fillId="2" borderId="12" xfId="0" quotePrefix="1" applyFont="1" applyFill="1" applyBorder="1"/>
    <xf numFmtId="46" fontId="2" fillId="2" borderId="11" xfId="0" applyNumberFormat="1" applyFont="1" applyFill="1" applyBorder="1"/>
    <xf numFmtId="166" fontId="26" fillId="0" borderId="21" xfId="0" applyNumberFormat="1" applyFont="1" applyBorder="1"/>
    <xf numFmtId="166" fontId="23" fillId="2" borderId="21" xfId="0" applyNumberFormat="1" applyFont="1" applyFill="1" applyBorder="1" applyAlignment="1">
      <alignment horizontal="right"/>
    </xf>
    <xf numFmtId="166" fontId="1" fillId="2" borderId="21" xfId="0" applyNumberFormat="1" applyFont="1" applyFill="1" applyBorder="1" applyAlignment="1">
      <alignment horizontal="right"/>
    </xf>
    <xf numFmtId="166" fontId="26" fillId="23" borderId="10" xfId="0" applyNumberFormat="1" applyFont="1" applyFill="1" applyBorder="1"/>
    <xf numFmtId="166" fontId="26" fillId="23" borderId="21" xfId="0" applyNumberFormat="1" applyFont="1" applyFill="1" applyBorder="1"/>
    <xf numFmtId="166" fontId="1" fillId="23" borderId="10" xfId="0" applyNumberFormat="1" applyFont="1" applyFill="1" applyBorder="1" applyAlignment="1">
      <alignment horizontal="right"/>
    </xf>
    <xf numFmtId="164" fontId="1" fillId="23" borderId="10" xfId="0" applyNumberFormat="1" applyFont="1" applyFill="1" applyBorder="1"/>
    <xf numFmtId="0" fontId="1" fillId="23" borderId="10" xfId="0" applyFont="1" applyFill="1" applyBorder="1" applyAlignment="1">
      <alignment horizontal="center" wrapText="1"/>
    </xf>
    <xf numFmtId="165" fontId="26" fillId="23" borderId="9" xfId="0" applyNumberFormat="1" applyFont="1" applyFill="1" applyBorder="1"/>
    <xf numFmtId="0" fontId="1" fillId="23" borderId="9" xfId="0" applyFont="1" applyFill="1" applyBorder="1"/>
    <xf numFmtId="165" fontId="26" fillId="23" borderId="8" xfId="0" applyNumberFormat="1" applyFont="1" applyFill="1" applyBorder="1"/>
    <xf numFmtId="166" fontId="26" fillId="25" borderId="10" xfId="0" applyNumberFormat="1" applyFont="1" applyFill="1" applyBorder="1"/>
    <xf numFmtId="166" fontId="26" fillId="25" borderId="21" xfId="0" applyNumberFormat="1" applyFont="1" applyFill="1" applyBorder="1"/>
    <xf numFmtId="164" fontId="26" fillId="25" borderId="10" xfId="0" applyNumberFormat="1" applyFont="1" applyFill="1" applyBorder="1"/>
    <xf numFmtId="0" fontId="26" fillId="25" borderId="10" xfId="0" applyFont="1" applyFill="1" applyBorder="1"/>
    <xf numFmtId="0" fontId="26" fillId="25" borderId="9" xfId="0" applyFont="1" applyFill="1" applyBorder="1"/>
    <xf numFmtId="165" fontId="26" fillId="25" borderId="9" xfId="0" applyNumberFormat="1" applyFont="1" applyFill="1" applyBorder="1"/>
    <xf numFmtId="165" fontId="1" fillId="25" borderId="8" xfId="0" applyNumberFormat="1" applyFont="1" applyFill="1" applyBorder="1"/>
    <xf numFmtId="164" fontId="8" fillId="24" borderId="10" xfId="0" applyNumberFormat="1" applyFont="1" applyFill="1" applyBorder="1" applyAlignment="1">
      <alignment horizontal="right"/>
    </xf>
    <xf numFmtId="0" fontId="8" fillId="0" borderId="10" xfId="0" applyFont="1" applyBorder="1" applyAlignment="1">
      <alignment horizontal="center"/>
    </xf>
    <xf numFmtId="0" fontId="8" fillId="0" borderId="9" xfId="0" quotePrefix="1" applyFont="1" applyBorder="1"/>
    <xf numFmtId="165" fontId="8" fillId="0" borderId="9" xfId="0" quotePrefix="1" applyNumberFormat="1" applyFont="1" applyBorder="1"/>
    <xf numFmtId="165" fontId="16" fillId="2" borderId="9" xfId="0" applyNumberFormat="1" applyFont="1" applyFill="1" applyBorder="1"/>
    <xf numFmtId="166" fontId="7" fillId="24" borderId="10" xfId="0" applyNumberFormat="1" applyFont="1" applyFill="1" applyBorder="1" applyAlignment="1">
      <alignment horizontal="right"/>
    </xf>
    <xf numFmtId="0" fontId="18" fillId="2" borderId="9" xfId="0" quotePrefix="1" applyFont="1" applyFill="1" applyBorder="1"/>
    <xf numFmtId="0" fontId="16" fillId="2" borderId="9" xfId="0" applyFont="1" applyFill="1" applyBorder="1"/>
    <xf numFmtId="166" fontId="16" fillId="26" borderId="10" xfId="0" applyNumberFormat="1" applyFont="1" applyFill="1" applyBorder="1" applyAlignment="1">
      <alignment horizontal="right"/>
    </xf>
    <xf numFmtId="164" fontId="16" fillId="26" borderId="10" xfId="0" applyNumberFormat="1" applyFont="1" applyFill="1" applyBorder="1" applyAlignment="1">
      <alignment horizontal="right"/>
    </xf>
    <xf numFmtId="0" fontId="16" fillId="26" borderId="10" xfId="0" applyFont="1" applyFill="1" applyBorder="1" applyAlignment="1">
      <alignment horizontal="center" wrapText="1"/>
    </xf>
    <xf numFmtId="0" fontId="16" fillId="26" borderId="9" xfId="0" applyFont="1" applyFill="1" applyBorder="1"/>
    <xf numFmtId="0" fontId="44" fillId="0" borderId="10" xfId="0" applyFont="1" applyBorder="1"/>
    <xf numFmtId="0" fontId="44" fillId="0" borderId="9" xfId="0" applyFont="1" applyBorder="1"/>
    <xf numFmtId="165" fontId="44" fillId="0" borderId="9" xfId="0" applyNumberFormat="1" applyFont="1" applyBorder="1"/>
    <xf numFmtId="165" fontId="44" fillId="0" borderId="8" xfId="0" applyNumberFormat="1" applyFont="1" applyBorder="1"/>
    <xf numFmtId="0" fontId="44" fillId="23" borderId="10" xfId="0" applyFont="1" applyFill="1" applyBorder="1"/>
    <xf numFmtId="0" fontId="44" fillId="23" borderId="9" xfId="0" applyFont="1" applyFill="1" applyBorder="1"/>
    <xf numFmtId="165" fontId="44" fillId="2" borderId="9" xfId="0" applyNumberFormat="1" applyFont="1" applyFill="1" applyBorder="1"/>
    <xf numFmtId="165" fontId="44" fillId="2" borderId="8" xfId="0" applyNumberFormat="1" applyFont="1" applyFill="1" applyBorder="1"/>
    <xf numFmtId="166" fontId="7" fillId="2" borderId="24" xfId="0" applyNumberFormat="1" applyFont="1" applyFill="1" applyBorder="1" applyAlignment="1">
      <alignment horizontal="right"/>
    </xf>
    <xf numFmtId="166" fontId="32" fillId="2" borderId="10" xfId="0" applyNumberFormat="1" applyFont="1" applyFill="1" applyBorder="1"/>
    <xf numFmtId="166" fontId="16" fillId="2" borderId="10" xfId="0" applyNumberFormat="1" applyFont="1" applyFill="1" applyBorder="1" applyAlignment="1">
      <alignment horizontal="right"/>
    </xf>
    <xf numFmtId="166" fontId="16" fillId="2" borderId="21" xfId="0" applyNumberFormat="1" applyFont="1" applyFill="1" applyBorder="1" applyAlignment="1">
      <alignment horizontal="right"/>
    </xf>
    <xf numFmtId="0" fontId="44" fillId="26" borderId="10" xfId="0" applyFont="1" applyFill="1" applyBorder="1"/>
    <xf numFmtId="0" fontId="44" fillId="26" borderId="9" xfId="0" applyFont="1" applyFill="1" applyBorder="1"/>
    <xf numFmtId="165" fontId="44" fillId="26" borderId="9" xfId="0" applyNumberFormat="1" applyFont="1" applyFill="1" applyBorder="1"/>
    <xf numFmtId="165" fontId="44" fillId="26" borderId="8" xfId="0" applyNumberFormat="1" applyFont="1" applyFill="1" applyBorder="1"/>
    <xf numFmtId="0" fontId="6" fillId="2" borderId="9" xfId="0" quotePrefix="1" applyFont="1" applyFill="1" applyBorder="1"/>
    <xf numFmtId="166" fontId="5" fillId="2" borderId="13" xfId="0" applyNumberFormat="1" applyFont="1" applyFill="1" applyBorder="1" applyAlignment="1">
      <alignment horizontal="right"/>
    </xf>
    <xf numFmtId="166" fontId="5" fillId="2" borderId="24" xfId="0" applyNumberFormat="1" applyFont="1" applyFill="1" applyBorder="1" applyAlignment="1">
      <alignment horizontal="right"/>
    </xf>
    <xf numFmtId="166" fontId="5" fillId="24" borderId="10" xfId="0" applyNumberFormat="1" applyFont="1" applyFill="1" applyBorder="1" applyAlignment="1">
      <alignment horizontal="right"/>
    </xf>
    <xf numFmtId="166" fontId="2" fillId="23" borderId="21" xfId="0" applyNumberFormat="1" applyFont="1" applyFill="1" applyBorder="1"/>
    <xf numFmtId="0" fontId="8" fillId="2" borderId="10" xfId="0" applyFont="1" applyFill="1" applyBorder="1" applyAlignment="1">
      <alignment horizontal="center" wrapText="1"/>
    </xf>
    <xf numFmtId="166" fontId="2" fillId="25" borderId="21" xfId="0" applyNumberFormat="1" applyFont="1" applyFill="1" applyBorder="1"/>
    <xf numFmtId="166" fontId="8" fillId="2" borderId="2" xfId="0" applyNumberFormat="1" applyFont="1" applyFill="1" applyBorder="1" applyAlignment="1">
      <alignment horizontal="right"/>
    </xf>
    <xf numFmtId="164" fontId="8" fillId="24" borderId="2" xfId="0" applyNumberFormat="1" applyFont="1" applyFill="1" applyBorder="1" applyAlignment="1">
      <alignment horizontal="right"/>
    </xf>
    <xf numFmtId="165" fontId="8" fillId="0" borderId="2" xfId="0" applyNumberFormat="1" applyFont="1" applyBorder="1" applyAlignment="1">
      <alignment horizontal="center"/>
    </xf>
    <xf numFmtId="166" fontId="2" fillId="22" borderId="12" xfId="0" applyNumberFormat="1" applyFont="1" applyFill="1" applyBorder="1"/>
    <xf numFmtId="164" fontId="2" fillId="22" borderId="12" xfId="0" applyNumberFormat="1" applyFont="1" applyFill="1" applyBorder="1"/>
    <xf numFmtId="165" fontId="2" fillId="22" borderId="12" xfId="0" applyNumberFormat="1" applyFont="1" applyFill="1" applyBorder="1"/>
    <xf numFmtId="0" fontId="2" fillId="22" borderId="12" xfId="0" applyFont="1" applyFill="1" applyBorder="1"/>
    <xf numFmtId="167" fontId="2" fillId="22" borderId="12" xfId="0" applyNumberFormat="1" applyFont="1" applyFill="1" applyBorder="1"/>
    <xf numFmtId="165" fontId="5" fillId="22" borderId="11" xfId="0" applyNumberFormat="1" applyFont="1" applyFill="1" applyBorder="1"/>
    <xf numFmtId="166" fontId="2" fillId="22" borderId="21" xfId="0" applyNumberFormat="1" applyFont="1" applyFill="1" applyBorder="1"/>
    <xf numFmtId="166" fontId="7" fillId="2" borderId="20" xfId="0" applyNumberFormat="1" applyFont="1" applyFill="1" applyBorder="1" applyAlignment="1">
      <alignment horizontal="right"/>
    </xf>
    <xf numFmtId="0" fontId="8" fillId="2" borderId="10" xfId="0" applyFont="1" applyFill="1" applyBorder="1" applyAlignment="1">
      <alignment horizontal="center"/>
    </xf>
    <xf numFmtId="166" fontId="7" fillId="20" borderId="21" xfId="0" applyNumberFormat="1" applyFont="1" applyFill="1" applyBorder="1" applyAlignment="1">
      <alignment horizontal="right"/>
    </xf>
    <xf numFmtId="166" fontId="8" fillId="20" borderId="21" xfId="0" applyNumberFormat="1" applyFont="1" applyFill="1" applyBorder="1" applyAlignment="1">
      <alignment horizontal="right"/>
    </xf>
    <xf numFmtId="0" fontId="8" fillId="20" borderId="10" xfId="0" applyFont="1" applyFill="1" applyBorder="1" applyAlignment="1">
      <alignment horizontal="center"/>
    </xf>
    <xf numFmtId="0" fontId="8" fillId="20" borderId="9" xfId="0" applyFont="1" applyFill="1" applyBorder="1"/>
    <xf numFmtId="166" fontId="5" fillId="20" borderId="21" xfId="0" applyNumberFormat="1" applyFont="1" applyFill="1" applyBorder="1" applyAlignment="1">
      <alignment horizontal="right"/>
    </xf>
    <xf numFmtId="0" fontId="6" fillId="20" borderId="9" xfId="0" applyFont="1" applyFill="1" applyBorder="1"/>
    <xf numFmtId="0" fontId="5" fillId="20" borderId="9" xfId="0" applyFont="1" applyFill="1" applyBorder="1" applyAlignment="1">
      <alignment horizontal="center"/>
    </xf>
    <xf numFmtId="166" fontId="2" fillId="19" borderId="21" xfId="0" applyNumberFormat="1" applyFont="1" applyFill="1" applyBorder="1"/>
    <xf numFmtId="166" fontId="2" fillId="18" borderId="21" xfId="0" applyNumberFormat="1" applyFont="1" applyFill="1" applyBorder="1"/>
    <xf numFmtId="166" fontId="7" fillId="16" borderId="21" xfId="0" applyNumberFormat="1" applyFont="1" applyFill="1" applyBorder="1" applyAlignment="1">
      <alignment horizontal="right"/>
    </xf>
    <xf numFmtId="166" fontId="8" fillId="16" borderId="21" xfId="0" applyNumberFormat="1" applyFont="1" applyFill="1" applyBorder="1" applyAlignment="1">
      <alignment horizontal="right"/>
    </xf>
    <xf numFmtId="0" fontId="8" fillId="16" borderId="10" xfId="0" applyFont="1" applyFill="1" applyBorder="1" applyAlignment="1">
      <alignment horizontal="center"/>
    </xf>
    <xf numFmtId="0" fontId="8" fillId="16" borderId="9" xfId="0" applyFont="1" applyFill="1" applyBorder="1"/>
    <xf numFmtId="166" fontId="5" fillId="16" borderId="21" xfId="0" applyNumberFormat="1" applyFont="1" applyFill="1" applyBorder="1" applyAlignment="1">
      <alignment horizontal="right"/>
    </xf>
    <xf numFmtId="0" fontId="6" fillId="16" borderId="9" xfId="0" applyFont="1" applyFill="1" applyBorder="1"/>
    <xf numFmtId="0" fontId="5" fillId="16" borderId="9" xfId="0" applyFont="1" applyFill="1" applyBorder="1" applyAlignment="1">
      <alignment horizontal="center"/>
    </xf>
    <xf numFmtId="166" fontId="2" fillId="15" borderId="21" xfId="0" applyNumberFormat="1" applyFont="1" applyFill="1" applyBorder="1"/>
    <xf numFmtId="0" fontId="2" fillId="15" borderId="8" xfId="0" applyFont="1" applyFill="1" applyBorder="1"/>
    <xf numFmtId="166" fontId="5" fillId="13" borderId="2" xfId="0" applyNumberFormat="1" applyFont="1" applyFill="1" applyBorder="1" applyAlignment="1">
      <alignment horizontal="right"/>
    </xf>
    <xf numFmtId="166" fontId="5" fillId="13" borderId="20" xfId="0" applyNumberFormat="1" applyFont="1" applyFill="1" applyBorder="1" applyAlignment="1">
      <alignment horizontal="right"/>
    </xf>
    <xf numFmtId="0" fontId="46" fillId="0" borderId="7" xfId="0" applyFont="1" applyBorder="1"/>
    <xf numFmtId="166" fontId="7" fillId="12" borderId="21" xfId="0" applyNumberFormat="1" applyFont="1" applyFill="1" applyBorder="1" applyAlignment="1">
      <alignment horizontal="right"/>
    </xf>
    <xf numFmtId="166" fontId="8" fillId="12" borderId="21" xfId="0" applyNumberFormat="1" applyFont="1" applyFill="1" applyBorder="1" applyAlignment="1">
      <alignment horizontal="right"/>
    </xf>
    <xf numFmtId="0" fontId="8" fillId="12" borderId="10" xfId="0" applyFont="1" applyFill="1" applyBorder="1" applyAlignment="1">
      <alignment horizontal="center"/>
    </xf>
    <xf numFmtId="0" fontId="8" fillId="12" borderId="9" xfId="0" applyFont="1" applyFill="1" applyBorder="1"/>
    <xf numFmtId="166" fontId="5" fillId="12" borderId="21" xfId="0" applyNumberFormat="1" applyFont="1" applyFill="1" applyBorder="1" applyAlignment="1">
      <alignment horizontal="right"/>
    </xf>
    <xf numFmtId="0" fontId="5" fillId="12" borderId="9" xfId="0" applyFont="1" applyFill="1" applyBorder="1" applyAlignment="1">
      <alignment horizontal="center"/>
    </xf>
    <xf numFmtId="166" fontId="2" fillId="11" borderId="20" xfId="0" applyNumberFormat="1" applyFont="1" applyFill="1" applyBorder="1"/>
    <xf numFmtId="166" fontId="5" fillId="7" borderId="20" xfId="0" applyNumberFormat="1" applyFont="1" applyFill="1" applyBorder="1" applyAlignment="1">
      <alignment horizontal="center" wrapText="1"/>
    </xf>
    <xf numFmtId="166" fontId="5" fillId="6" borderId="25" xfId="0" applyNumberFormat="1" applyFont="1" applyFill="1" applyBorder="1" applyAlignment="1">
      <alignment horizontal="center" vertical="center"/>
    </xf>
    <xf numFmtId="165" fontId="5" fillId="6" borderId="25" xfId="0" applyNumberFormat="1" applyFont="1" applyFill="1" applyBorder="1" applyAlignment="1">
      <alignment horizontal="center" vertical="center" wrapText="1"/>
    </xf>
    <xf numFmtId="0" fontId="4" fillId="0" borderId="20" xfId="0" applyFont="1" applyBorder="1"/>
    <xf numFmtId="166" fontId="5" fillId="7" borderId="7" xfId="0" applyNumberFormat="1" applyFont="1" applyFill="1" applyBorder="1" applyAlignment="1">
      <alignment horizontal="center" wrapText="1"/>
    </xf>
    <xf numFmtId="0" fontId="4" fillId="0" borderId="23" xfId="0" applyFont="1" applyBorder="1"/>
    <xf numFmtId="0" fontId="4" fillId="0" borderId="5" xfId="0" applyFont="1" applyBorder="1"/>
    <xf numFmtId="165" fontId="3" fillId="3" borderId="26" xfId="0" applyNumberFormat="1" applyFont="1" applyFill="1" applyBorder="1" applyAlignment="1">
      <alignment horizontal="center"/>
    </xf>
    <xf numFmtId="0" fontId="4" fillId="0" borderId="27" xfId="0" applyFont="1" applyBorder="1"/>
    <xf numFmtId="0" fontId="4" fillId="0" borderId="28" xfId="0" applyFont="1" applyBorder="1"/>
    <xf numFmtId="0" fontId="5" fillId="6" borderId="29" xfId="0" applyFont="1" applyFill="1" applyBorder="1" applyAlignment="1">
      <alignment horizontal="center" vertical="center"/>
    </xf>
    <xf numFmtId="0" fontId="3" fillId="5" borderId="30" xfId="0" applyFont="1" applyFill="1" applyBorder="1" applyAlignment="1">
      <alignment horizontal="center" vertical="center"/>
    </xf>
    <xf numFmtId="0" fontId="3" fillId="5" borderId="29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8" fillId="2" borderId="2" xfId="0" applyFont="1" applyFill="1" applyBorder="1" applyAlignment="1">
      <alignment horizontal="center" wrapText="1"/>
    </xf>
    <xf numFmtId="0" fontId="8" fillId="0" borderId="1" xfId="0" applyFont="1" applyBorder="1"/>
    <xf numFmtId="0" fontId="47" fillId="2" borderId="9" xfId="0" applyFont="1" applyFill="1" applyBorder="1"/>
    <xf numFmtId="165" fontId="16" fillId="2" borderId="10" xfId="0" applyNumberFormat="1" applyFont="1" applyFill="1" applyBorder="1" applyAlignment="1">
      <alignment horizontal="center"/>
    </xf>
    <xf numFmtId="166" fontId="16" fillId="37" borderId="10" xfId="0" applyNumberFormat="1" applyFont="1" applyFill="1" applyBorder="1" applyAlignment="1">
      <alignment horizontal="right"/>
    </xf>
    <xf numFmtId="164" fontId="16" fillId="37" borderId="10" xfId="0" applyNumberFormat="1" applyFont="1" applyFill="1" applyBorder="1" applyAlignment="1">
      <alignment horizontal="right"/>
    </xf>
    <xf numFmtId="0" fontId="16" fillId="37" borderId="10" xfId="0" applyFont="1" applyFill="1" applyBorder="1" applyAlignment="1">
      <alignment horizontal="center" wrapText="1"/>
    </xf>
    <xf numFmtId="0" fontId="16" fillId="37" borderId="9" xfId="0" applyFont="1" applyFill="1" applyBorder="1"/>
    <xf numFmtId="165" fontId="16" fillId="36" borderId="8" xfId="0" applyNumberFormat="1" applyFont="1" applyFill="1" applyBorder="1"/>
    <xf numFmtId="166" fontId="26" fillId="35" borderId="2" xfId="0" applyNumberFormat="1" applyFont="1" applyFill="1" applyBorder="1"/>
    <xf numFmtId="166" fontId="26" fillId="35" borderId="20" xfId="0" applyNumberFormat="1" applyFont="1" applyFill="1" applyBorder="1"/>
    <xf numFmtId="165" fontId="16" fillId="34" borderId="7" xfId="0" applyNumberFormat="1" applyFont="1" applyFill="1" applyBorder="1"/>
    <xf numFmtId="165" fontId="6" fillId="2" borderId="1" xfId="0" applyNumberFormat="1" applyFont="1" applyFill="1" applyBorder="1"/>
    <xf numFmtId="0" fontId="44" fillId="0" borderId="2" xfId="0" applyFont="1" applyBorder="1"/>
    <xf numFmtId="0" fontId="44" fillId="0" borderId="1" xfId="0" applyFont="1" applyBorder="1"/>
    <xf numFmtId="165" fontId="44" fillId="0" borderId="1" xfId="0" applyNumberFormat="1" applyFont="1" applyBorder="1"/>
    <xf numFmtId="165" fontId="44" fillId="0" borderId="7" xfId="0" applyNumberFormat="1" applyFont="1" applyBorder="1"/>
    <xf numFmtId="166" fontId="26" fillId="2" borderId="22" xfId="0" applyNumberFormat="1" applyFont="1" applyFill="1" applyBorder="1"/>
    <xf numFmtId="166" fontId="26" fillId="12" borderId="21" xfId="0" applyNumberFormat="1" applyFont="1" applyFill="1" applyBorder="1"/>
    <xf numFmtId="166" fontId="26" fillId="27" borderId="2" xfId="0" applyNumberFormat="1" applyFont="1" applyFill="1" applyBorder="1"/>
    <xf numFmtId="166" fontId="26" fillId="27" borderId="20" xfId="0" applyNumberFormat="1" applyFont="1" applyFill="1" applyBorder="1"/>
    <xf numFmtId="164" fontId="26" fillId="27" borderId="2" xfId="0" applyNumberFormat="1" applyFont="1" applyFill="1" applyBorder="1"/>
    <xf numFmtId="165" fontId="26" fillId="27" borderId="2" xfId="0" applyNumberFormat="1" applyFont="1" applyFill="1" applyBorder="1"/>
    <xf numFmtId="0" fontId="26" fillId="27" borderId="2" xfId="0" applyFont="1" applyFill="1" applyBorder="1"/>
    <xf numFmtId="0" fontId="26" fillId="27" borderId="1" xfId="0" applyFont="1" applyFill="1" applyBorder="1"/>
    <xf numFmtId="165" fontId="26" fillId="27" borderId="1" xfId="0" applyNumberFormat="1" applyFont="1" applyFill="1" applyBorder="1"/>
    <xf numFmtId="165" fontId="26" fillId="27" borderId="7" xfId="0" applyNumberFormat="1" applyFont="1" applyFill="1" applyBorder="1"/>
    <xf numFmtId="166" fontId="26" fillId="27" borderId="10" xfId="0" applyNumberFormat="1" applyFont="1" applyFill="1" applyBorder="1"/>
    <xf numFmtId="166" fontId="26" fillId="27" borderId="21" xfId="0" applyNumberFormat="1" applyFont="1" applyFill="1" applyBorder="1"/>
    <xf numFmtId="164" fontId="26" fillId="27" borderId="10" xfId="0" applyNumberFormat="1" applyFont="1" applyFill="1" applyBorder="1"/>
    <xf numFmtId="165" fontId="26" fillId="27" borderId="10" xfId="0" applyNumberFormat="1" applyFont="1" applyFill="1" applyBorder="1"/>
    <xf numFmtId="0" fontId="26" fillId="27" borderId="10" xfId="0" applyFont="1" applyFill="1" applyBorder="1"/>
    <xf numFmtId="0" fontId="26" fillId="27" borderId="9" xfId="0" applyFont="1" applyFill="1" applyBorder="1"/>
    <xf numFmtId="165" fontId="26" fillId="27" borderId="9" xfId="0" applyNumberFormat="1" applyFont="1" applyFill="1" applyBorder="1"/>
    <xf numFmtId="165" fontId="26" fillId="27" borderId="8" xfId="0" applyNumberFormat="1" applyFont="1" applyFill="1" applyBorder="1"/>
    <xf numFmtId="165" fontId="7" fillId="2" borderId="12" xfId="0" applyNumberFormat="1" applyFont="1" applyFill="1" applyBorder="1"/>
    <xf numFmtId="0" fontId="23" fillId="0" borderId="10" xfId="0" applyFont="1" applyBorder="1" applyAlignment="1">
      <alignment horizontal="center"/>
    </xf>
    <xf numFmtId="165" fontId="23" fillId="0" borderId="9" xfId="0" quotePrefix="1" applyNumberFormat="1" applyFont="1" applyBorder="1"/>
    <xf numFmtId="166" fontId="1" fillId="26" borderId="10" xfId="0" applyNumberFormat="1" applyFont="1" applyFill="1" applyBorder="1" applyAlignment="1">
      <alignment horizontal="right"/>
    </xf>
    <xf numFmtId="164" fontId="1" fillId="26" borderId="10" xfId="0" applyNumberFormat="1" applyFont="1" applyFill="1" applyBorder="1" applyAlignment="1">
      <alignment horizontal="right"/>
    </xf>
    <xf numFmtId="0" fontId="1" fillId="26" borderId="10" xfId="0" applyFont="1" applyFill="1" applyBorder="1" applyAlignment="1">
      <alignment horizontal="center" wrapText="1"/>
    </xf>
    <xf numFmtId="0" fontId="26" fillId="26" borderId="10" xfId="0" applyFont="1" applyFill="1" applyBorder="1"/>
    <xf numFmtId="0" fontId="26" fillId="26" borderId="9" xfId="0" applyFont="1" applyFill="1" applyBorder="1"/>
    <xf numFmtId="0" fontId="1" fillId="26" borderId="9" xfId="0" applyFont="1" applyFill="1" applyBorder="1"/>
    <xf numFmtId="165" fontId="26" fillId="26" borderId="9" xfId="0" applyNumberFormat="1" applyFont="1" applyFill="1" applyBorder="1"/>
    <xf numFmtId="165" fontId="26" fillId="26" borderId="8" xfId="0" applyNumberFormat="1" applyFont="1" applyFill="1" applyBorder="1"/>
    <xf numFmtId="170" fontId="5" fillId="2" borderId="10" xfId="0" applyNumberFormat="1" applyFont="1" applyFill="1" applyBorder="1" applyAlignment="1">
      <alignment horizontal="right"/>
    </xf>
    <xf numFmtId="164" fontId="7" fillId="2" borderId="10" xfId="0" applyNumberFormat="1" applyFont="1" applyFill="1" applyBorder="1"/>
    <xf numFmtId="166" fontId="23" fillId="2" borderId="13" xfId="0" applyNumberFormat="1" applyFont="1" applyFill="1" applyBorder="1" applyAlignment="1">
      <alignment horizontal="right"/>
    </xf>
    <xf numFmtId="164" fontId="23" fillId="24" borderId="13" xfId="0" applyNumberFormat="1" applyFont="1" applyFill="1" applyBorder="1" applyAlignment="1">
      <alignment horizontal="right"/>
    </xf>
    <xf numFmtId="164" fontId="23" fillId="2" borderId="13" xfId="0" applyNumberFormat="1" applyFont="1" applyFill="1" applyBorder="1" applyAlignment="1">
      <alignment horizontal="right"/>
    </xf>
    <xf numFmtId="165" fontId="23" fillId="2" borderId="13" xfId="0" applyNumberFormat="1" applyFont="1" applyFill="1" applyBorder="1" applyAlignment="1">
      <alignment horizontal="center"/>
    </xf>
    <xf numFmtId="0" fontId="26" fillId="2" borderId="13" xfId="0" applyFont="1" applyFill="1" applyBorder="1"/>
    <xf numFmtId="0" fontId="26" fillId="2" borderId="12" xfId="0" applyFont="1" applyFill="1" applyBorder="1"/>
    <xf numFmtId="0" fontId="23" fillId="2" borderId="12" xfId="0" quotePrefix="1" applyFont="1" applyFill="1" applyBorder="1"/>
    <xf numFmtId="165" fontId="26" fillId="2" borderId="12" xfId="0" applyNumberFormat="1" applyFont="1" applyFill="1" applyBorder="1"/>
    <xf numFmtId="46" fontId="26" fillId="2" borderId="11" xfId="0" applyNumberFormat="1" applyFont="1" applyFill="1" applyBorder="1"/>
    <xf numFmtId="166" fontId="44" fillId="0" borderId="2" xfId="0" applyNumberFormat="1" applyFont="1" applyBorder="1"/>
    <xf numFmtId="166" fontId="44" fillId="0" borderId="20" xfId="0" applyNumberFormat="1" applyFont="1" applyBorder="1"/>
    <xf numFmtId="166" fontId="2" fillId="13" borderId="10" xfId="0" applyNumberFormat="1" applyFont="1" applyFill="1" applyBorder="1"/>
    <xf numFmtId="166" fontId="2" fillId="13" borderId="21" xfId="0" applyNumberFormat="1" applyFont="1" applyFill="1" applyBorder="1"/>
    <xf numFmtId="166" fontId="2" fillId="31" borderId="7" xfId="0" applyNumberFormat="1" applyFont="1" applyFill="1" applyBorder="1"/>
    <xf numFmtId="166" fontId="2" fillId="28" borderId="7" xfId="0" applyNumberFormat="1" applyFont="1" applyFill="1" applyBorder="1"/>
    <xf numFmtId="166" fontId="32" fillId="2" borderId="21" xfId="0" applyNumberFormat="1" applyFont="1" applyFill="1" applyBorder="1"/>
    <xf numFmtId="166" fontId="2" fillId="9" borderId="7" xfId="0" applyNumberFormat="1" applyFont="1" applyFill="1" applyBorder="1"/>
    <xf numFmtId="166" fontId="2" fillId="21" borderId="7" xfId="0" applyNumberFormat="1" applyFont="1" applyFill="1" applyBorder="1"/>
    <xf numFmtId="166" fontId="2" fillId="17" borderId="7" xfId="0" applyNumberFormat="1" applyFont="1" applyFill="1" applyBorder="1"/>
    <xf numFmtId="166" fontId="2" fillId="14" borderId="7" xfId="0" applyNumberFormat="1" applyFont="1" applyFill="1" applyBorder="1"/>
    <xf numFmtId="166" fontId="2" fillId="13" borderId="20" xfId="0" applyNumberFormat="1" applyFont="1" applyFill="1" applyBorder="1"/>
    <xf numFmtId="166" fontId="5" fillId="12" borderId="19" xfId="0" applyNumberFormat="1" applyFont="1" applyFill="1" applyBorder="1" applyAlignment="1">
      <alignment horizontal="right"/>
    </xf>
    <xf numFmtId="166" fontId="5" fillId="12" borderId="31" xfId="0" applyNumberFormat="1" applyFont="1" applyFill="1" applyBorder="1" applyAlignment="1">
      <alignment horizontal="right"/>
    </xf>
    <xf numFmtId="166" fontId="23" fillId="0" borderId="10" xfId="0" applyNumberFormat="1" applyFont="1" applyBorder="1" applyAlignment="1">
      <alignment horizontal="right"/>
    </xf>
    <xf numFmtId="164" fontId="23" fillId="0" borderId="10" xfId="0" applyNumberFormat="1" applyFont="1" applyBorder="1" applyAlignment="1">
      <alignment horizontal="right"/>
    </xf>
    <xf numFmtId="0" fontId="1" fillId="0" borderId="9" xfId="0" applyFont="1" applyBorder="1"/>
    <xf numFmtId="166" fontId="1" fillId="0" borderId="10" xfId="0" applyNumberFormat="1" applyFont="1" applyBorder="1" applyAlignment="1">
      <alignment horizontal="right"/>
    </xf>
    <xf numFmtId="164" fontId="1" fillId="2" borderId="10" xfId="0" applyNumberFormat="1" applyFont="1" applyFill="1" applyBorder="1" applyAlignment="1">
      <alignment horizontal="right"/>
    </xf>
    <xf numFmtId="0" fontId="1" fillId="0" borderId="10" xfId="0" applyFont="1" applyBorder="1" applyAlignment="1">
      <alignment horizontal="center" wrapText="1"/>
    </xf>
    <xf numFmtId="0" fontId="23" fillId="0" borderId="10" xfId="0" applyFont="1" applyBorder="1" applyAlignment="1">
      <alignment horizontal="center" wrapText="1"/>
    </xf>
    <xf numFmtId="0" fontId="1" fillId="2" borderId="9" xfId="0" applyFont="1" applyFill="1" applyBorder="1"/>
    <xf numFmtId="164" fontId="2" fillId="2" borderId="13" xfId="0" applyNumberFormat="1" applyFont="1" applyFill="1" applyBorder="1"/>
    <xf numFmtId="0" fontId="5" fillId="0" borderId="1" xfId="0" applyFont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8.7109375" bestFit="1" customWidth="1"/>
    <col min="11" max="11" width="12.5703125" bestFit="1" customWidth="1"/>
    <col min="12" max="14" width="23" bestFit="1" customWidth="1"/>
    <col min="15" max="15" width="19.28515625" bestFit="1" customWidth="1"/>
    <col min="16" max="16" width="20.85546875" bestFit="1" customWidth="1"/>
    <col min="17" max="18" width="23" bestFit="1" customWidth="1"/>
    <col min="19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521" t="s">
        <v>0</v>
      </c>
      <c r="B1" s="521"/>
      <c r="C1" s="521"/>
      <c r="D1" s="521"/>
      <c r="E1" s="521"/>
      <c r="F1" s="521"/>
      <c r="G1" s="521"/>
      <c r="H1" s="521"/>
      <c r="I1" s="521"/>
      <c r="J1" s="521"/>
      <c r="K1" s="521"/>
      <c r="L1" s="521"/>
      <c r="M1" s="521"/>
      <c r="N1" s="521"/>
      <c r="O1" s="521"/>
      <c r="P1" s="521"/>
      <c r="Q1" s="521"/>
      <c r="R1" s="521"/>
      <c r="S1" s="521"/>
      <c r="T1" s="521"/>
      <c r="U1" s="521"/>
    </row>
    <row r="2" spans="1:21" ht="19.5" x14ac:dyDescent="0.3">
      <c r="A2" s="521" t="s">
        <v>1</v>
      </c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1"/>
      <c r="O2" s="521"/>
      <c r="P2" s="521"/>
      <c r="Q2" s="521"/>
      <c r="R2" s="521"/>
      <c r="S2" s="521"/>
      <c r="T2" s="521"/>
      <c r="U2" s="521"/>
    </row>
    <row r="3" spans="1:21" ht="19.5" x14ac:dyDescent="0.3">
      <c r="A3" s="521" t="s">
        <v>332</v>
      </c>
      <c r="B3" s="521"/>
      <c r="C3" s="521"/>
      <c r="D3" s="521"/>
      <c r="E3" s="521"/>
      <c r="F3" s="521"/>
      <c r="G3" s="521"/>
      <c r="H3" s="521"/>
      <c r="I3" s="521"/>
      <c r="J3" s="521"/>
      <c r="K3" s="521"/>
      <c r="L3" s="521"/>
      <c r="M3" s="521"/>
      <c r="N3" s="521"/>
      <c r="O3" s="521"/>
      <c r="P3" s="521"/>
      <c r="Q3" s="521"/>
      <c r="R3" s="521"/>
      <c r="S3" s="521"/>
      <c r="T3" s="521"/>
      <c r="U3" s="521"/>
    </row>
    <row r="4" spans="1:21" ht="19.5" x14ac:dyDescent="0.3">
      <c r="A4" s="1"/>
      <c r="B4" s="1"/>
      <c r="C4" s="1"/>
      <c r="D4" s="1"/>
      <c r="E4" s="1"/>
      <c r="F4" s="1"/>
      <c r="G4" s="2"/>
      <c r="H4" s="1"/>
      <c r="I4" s="1"/>
      <c r="J4" s="3"/>
      <c r="K4" s="4"/>
      <c r="L4" s="523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534" t="s">
        <v>4</v>
      </c>
      <c r="B5" s="522"/>
      <c r="C5" s="522"/>
      <c r="D5" s="522"/>
      <c r="E5" s="522"/>
      <c r="F5" s="522"/>
      <c r="G5" s="535"/>
      <c r="H5" s="5" t="s">
        <v>5</v>
      </c>
      <c r="I5" s="527" t="s">
        <v>6</v>
      </c>
      <c r="J5" s="518"/>
      <c r="K5" s="519"/>
      <c r="L5" s="520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6"/>
      <c r="I6" s="7" t="s">
        <v>9</v>
      </c>
      <c r="J6" s="8" t="s">
        <v>10</v>
      </c>
      <c r="K6" s="7" t="s">
        <v>11</v>
      </c>
      <c r="L6" s="9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537"/>
      <c r="B7" s="518"/>
      <c r="C7" s="518"/>
      <c r="D7" s="518"/>
      <c r="E7" s="518"/>
      <c r="F7" s="518"/>
      <c r="G7" s="519"/>
      <c r="H7" s="15"/>
      <c r="I7" s="16"/>
      <c r="J7" s="16"/>
      <c r="K7" s="17"/>
      <c r="L7" s="17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22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22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22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22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22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22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22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22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17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29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35">
        <f t="shared" ref="L18:N18" ca="1" si="0">L19+L20</f>
        <v>92824043</v>
      </c>
      <c r="M18" s="35">
        <f t="shared" ca="1" si="0"/>
        <v>94784726.920000002</v>
      </c>
      <c r="N18" s="35">
        <f t="shared" ca="1" si="0"/>
        <v>29475608.240000006</v>
      </c>
      <c r="O18" s="35">
        <f t="shared" ref="O18:O26" ca="1" si="1">IF(L18&gt;0,N18*100/L18,0)</f>
        <v>31.754281851308722</v>
      </c>
      <c r="P18" s="35">
        <f t="shared" ref="P18:P26" ca="1" si="2">IF(M18&gt;0,N18*100/M18,0)</f>
        <v>31.097423812676006</v>
      </c>
      <c r="Q18" s="35">
        <f t="shared" ref="Q18:S18" ca="1" si="3">Q19+Q20</f>
        <v>22276664.07</v>
      </c>
      <c r="R18" s="35">
        <f t="shared" ca="1" si="3"/>
        <v>22326237</v>
      </c>
      <c r="S18" s="35">
        <f t="shared" ca="1" si="3"/>
        <v>5771720.0899999887</v>
      </c>
      <c r="T18" s="35">
        <f t="shared" ref="T18:T26" ca="1" si="4">IF(Q18&gt;0,S18*100/Q18,0)</f>
        <v>25.90926573145558</v>
      </c>
      <c r="U18" s="35">
        <f t="shared" ref="U18:U26" ca="1" si="5">IF(R18&gt;0,S18*100/R18,0)</f>
        <v>25.851737084041471</v>
      </c>
    </row>
    <row r="19" spans="1:21" ht="18.75" hidden="1" x14ac:dyDescent="0.25">
      <c r="A19" s="27"/>
      <c r="B19" s="28"/>
      <c r="C19" s="28"/>
      <c r="D19" s="28"/>
      <c r="E19" s="36" t="s">
        <v>20</v>
      </c>
      <c r="F19" s="28"/>
      <c r="G19" s="31"/>
      <c r="H19" s="37" t="s">
        <v>14</v>
      </c>
      <c r="I19" s="33"/>
      <c r="J19" s="33"/>
      <c r="K19" s="34"/>
      <c r="L19" s="38">
        <f t="shared" ref="L19:N19" ca="1" si="6">L22+L25</f>
        <v>0</v>
      </c>
      <c r="M19" s="38">
        <f t="shared" ca="1" si="6"/>
        <v>0</v>
      </c>
      <c r="N19" s="38">
        <f t="shared" ca="1" si="6"/>
        <v>0</v>
      </c>
      <c r="O19" s="38">
        <f t="shared" ca="1" si="1"/>
        <v>0</v>
      </c>
      <c r="P19" s="38">
        <f t="shared" ca="1" si="2"/>
        <v>0</v>
      </c>
      <c r="Q19" s="38">
        <f t="shared" ref="Q19:S19" ca="1" si="7">Q22+Q25</f>
        <v>0</v>
      </c>
      <c r="R19" s="38">
        <f t="shared" ca="1" si="7"/>
        <v>0</v>
      </c>
      <c r="S19" s="38">
        <f t="shared" ca="1" si="7"/>
        <v>0</v>
      </c>
      <c r="T19" s="38">
        <f t="shared" ca="1" si="4"/>
        <v>0</v>
      </c>
      <c r="U19" s="38">
        <f t="shared" ca="1" si="5"/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39">
        <f t="shared" ref="L20:N20" ca="1" si="8">L23+L26</f>
        <v>92824043</v>
      </c>
      <c r="M20" s="39">
        <f t="shared" ca="1" si="8"/>
        <v>94784726.920000002</v>
      </c>
      <c r="N20" s="39">
        <f t="shared" ca="1" si="8"/>
        <v>29475608.240000006</v>
      </c>
      <c r="O20" s="39">
        <f t="shared" ca="1" si="1"/>
        <v>31.754281851308722</v>
      </c>
      <c r="P20" s="39">
        <f t="shared" ca="1" si="2"/>
        <v>31.097423812676006</v>
      </c>
      <c r="Q20" s="39">
        <f t="shared" ref="Q20:S20" ca="1" si="9">Q23+Q26</f>
        <v>22276664.07</v>
      </c>
      <c r="R20" s="39">
        <f t="shared" ca="1" si="9"/>
        <v>22326237</v>
      </c>
      <c r="S20" s="39">
        <f t="shared" ca="1" si="9"/>
        <v>5771720.0899999887</v>
      </c>
      <c r="T20" s="39">
        <f t="shared" ca="1" si="4"/>
        <v>25.90926573145558</v>
      </c>
      <c r="U20" s="39">
        <f t="shared" ca="1" si="5"/>
        <v>25.851737084041471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47">
        <f t="shared" ref="L21:N21" ca="1" si="10">L22+L23</f>
        <v>37765643</v>
      </c>
      <c r="M21" s="47">
        <f t="shared" ca="1" si="10"/>
        <v>39826326.920000002</v>
      </c>
      <c r="N21" s="47">
        <f t="shared" ca="1" si="10"/>
        <v>24163211.850000005</v>
      </c>
      <c r="O21" s="47">
        <f t="shared" ca="1" si="1"/>
        <v>63.98199509008758</v>
      </c>
      <c r="P21" s="47">
        <f t="shared" ca="1" si="2"/>
        <v>60.671454584644891</v>
      </c>
      <c r="Q21" s="47">
        <f t="shared" ref="Q21:S21" ca="1" si="11">Q22+Q23</f>
        <v>18926664.07</v>
      </c>
      <c r="R21" s="47">
        <f t="shared" ca="1" si="11"/>
        <v>18976237</v>
      </c>
      <c r="S21" s="47">
        <f t="shared" ca="1" si="11"/>
        <v>5771720.0899999887</v>
      </c>
      <c r="T21" s="47">
        <f t="shared" ca="1" si="4"/>
        <v>30.495179016510054</v>
      </c>
      <c r="U21" s="47">
        <f t="shared" ca="1" si="5"/>
        <v>30.415514361461589</v>
      </c>
    </row>
    <row r="22" spans="1:21" ht="18.75" hidden="1" x14ac:dyDescent="0.25">
      <c r="A22" s="40"/>
      <c r="B22" s="41"/>
      <c r="C22" s="41"/>
      <c r="D22" s="41"/>
      <c r="E22" s="48" t="s">
        <v>20</v>
      </c>
      <c r="F22" s="41"/>
      <c r="G22" s="43"/>
      <c r="H22" s="44" t="s">
        <v>14</v>
      </c>
      <c r="I22" s="45"/>
      <c r="J22" s="45"/>
      <c r="K22" s="46"/>
      <c r="L22" s="49">
        <f t="shared" ref="L22:N22" ca="1" si="12">L48+L63+L76+L98+L121+L143+L161+L190+L177+L270+L286+L307+L324+L337+L360+L379+L396+L417+L497+L517+L538+L559+L580+L603+L620+L646+L694+L718+L732+L764</f>
        <v>0</v>
      </c>
      <c r="M22" s="49">
        <f t="shared" ca="1" si="12"/>
        <v>0</v>
      </c>
      <c r="N22" s="49">
        <f t="shared" ca="1" si="12"/>
        <v>0</v>
      </c>
      <c r="O22" s="49">
        <f t="shared" ca="1" si="1"/>
        <v>0</v>
      </c>
      <c r="P22" s="49">
        <f t="shared" ca="1" si="2"/>
        <v>0</v>
      </c>
      <c r="Q22" s="49">
        <f t="shared" ref="Q22:S22" ca="1" si="13">Q48+Q63+Q76+Q98+Q121+Q143+Q161+Q190+Q177+Q270+Q286+Q307+Q324+Q337+Q360+Q379+Q396+Q417+Q497+Q517+Q538+Q559+Q580+Q603+Q620+Q646+Q694+Q718+Q732+Q764</f>
        <v>0</v>
      </c>
      <c r="R22" s="49">
        <f t="shared" ca="1" si="13"/>
        <v>0</v>
      </c>
      <c r="S22" s="49">
        <f t="shared" ca="1" si="13"/>
        <v>0</v>
      </c>
      <c r="T22" s="49">
        <f t="shared" ca="1" si="4"/>
        <v>0</v>
      </c>
      <c r="U22" s="49">
        <f t="shared" ca="1" si="5"/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47">
        <f t="shared" ref="L23:N23" ca="1" si="14">L49+L64+L77+L99+L122+L144+L162+L191+L178+L271+L287+L308+L325+L338+L361+L380+L418+L498+L518+L539+L560+L581+L604+L621+L647+L695+L719+L733+L765</f>
        <v>37765643</v>
      </c>
      <c r="M23" s="47">
        <f t="shared" ca="1" si="14"/>
        <v>39826326.920000002</v>
      </c>
      <c r="N23" s="47">
        <f t="shared" ca="1" si="14"/>
        <v>24163211.850000005</v>
      </c>
      <c r="O23" s="47">
        <f t="shared" ca="1" si="1"/>
        <v>63.98199509008758</v>
      </c>
      <c r="P23" s="47">
        <f t="shared" ca="1" si="2"/>
        <v>60.671454584644891</v>
      </c>
      <c r="Q23" s="47">
        <f t="shared" ref="Q23:S23" ca="1" si="15">Q49+Q64+Q77+Q99+Q122+Q144+Q162+Q191+Q178+Q271+Q287+Q308+Q325+Q338+Q361+Q380+Q397+Q418+Q498+Q518+Q539+Q560+Q581+Q604+Q621+Q647+Q695+Q719+Q733+Q765</f>
        <v>18926664.07</v>
      </c>
      <c r="R23" s="47">
        <f t="shared" ca="1" si="15"/>
        <v>18976237</v>
      </c>
      <c r="S23" s="47">
        <f t="shared" ca="1" si="15"/>
        <v>5771720.0899999887</v>
      </c>
      <c r="T23" s="47">
        <f t="shared" ca="1" si="4"/>
        <v>30.495179016510054</v>
      </c>
      <c r="U23" s="47">
        <f t="shared" ca="1" si="5"/>
        <v>30.415514361461589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47">
        <f t="shared" ref="L24:N24" ca="1" si="16">L25+L26</f>
        <v>55058400</v>
      </c>
      <c r="M24" s="47">
        <f t="shared" ca="1" si="16"/>
        <v>54958400</v>
      </c>
      <c r="N24" s="47">
        <f t="shared" ca="1" si="16"/>
        <v>5312396.3899999997</v>
      </c>
      <c r="O24" s="47">
        <f t="shared" ca="1" si="1"/>
        <v>9.6486574074074056</v>
      </c>
      <c r="P24" s="47">
        <f t="shared" ca="1" si="2"/>
        <v>9.6662136998165877</v>
      </c>
      <c r="Q24" s="47">
        <f t="shared" ref="Q24:S24" ca="1" si="17">Q25+Q26</f>
        <v>3350000</v>
      </c>
      <c r="R24" s="47">
        <f t="shared" ca="1" si="17"/>
        <v>3350000</v>
      </c>
      <c r="S24" s="47">
        <f t="shared" ca="1" si="17"/>
        <v>0</v>
      </c>
      <c r="T24" s="47">
        <f t="shared" ca="1" si="4"/>
        <v>0</v>
      </c>
      <c r="U24" s="47">
        <f t="shared" ca="1" si="5"/>
        <v>0</v>
      </c>
    </row>
    <row r="25" spans="1:21" ht="18.75" hidden="1" x14ac:dyDescent="0.25">
      <c r="A25" s="40"/>
      <c r="B25" s="41"/>
      <c r="C25" s="41"/>
      <c r="D25" s="41"/>
      <c r="E25" s="48" t="s">
        <v>20</v>
      </c>
      <c r="F25" s="41"/>
      <c r="G25" s="43"/>
      <c r="H25" s="44" t="s">
        <v>14</v>
      </c>
      <c r="I25" s="45"/>
      <c r="J25" s="45"/>
      <c r="K25" s="46"/>
      <c r="L25" s="49">
        <f t="shared" ref="L25:N25" ca="1" si="18">L51+L66+L79+L101+L124+L146+L164+L193+L180+L273+L289+L310+L327+L340+L363+L382+L399+L420+L500+L520+L541+L562+L583+L606+L623+L649+L697+L721+L735+L767</f>
        <v>0</v>
      </c>
      <c r="M25" s="49">
        <f t="shared" ca="1" si="18"/>
        <v>0</v>
      </c>
      <c r="N25" s="49">
        <f t="shared" ca="1" si="18"/>
        <v>0</v>
      </c>
      <c r="O25" s="49">
        <f t="shared" ca="1" si="1"/>
        <v>0</v>
      </c>
      <c r="P25" s="49">
        <f t="shared" ca="1" si="2"/>
        <v>0</v>
      </c>
      <c r="Q25" s="49">
        <f t="shared" ref="Q25:S25" ca="1" si="19">Q51+Q66+Q79+Q101+Q124+Q146+Q164+Q193+Q180+Q273+Q289+Q310+Q327+Q340+Q363+Q382+Q399+Q420+Q500+Q520+Q541+Q562+Q583+Q606+Q623+Q649+Q697+Q721+Q735+Q767</f>
        <v>0</v>
      </c>
      <c r="R25" s="49">
        <f t="shared" ca="1" si="19"/>
        <v>0</v>
      </c>
      <c r="S25" s="49">
        <f t="shared" ca="1" si="19"/>
        <v>0</v>
      </c>
      <c r="T25" s="49">
        <f t="shared" ca="1" si="4"/>
        <v>0</v>
      </c>
      <c r="U25" s="49">
        <f t="shared" ca="1" si="5"/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47">
        <f t="shared" ref="L26:N26" ca="1" si="20">L52+L67+L80+L102+L125+L147+L165+L194+L181+L274+L290+L311+L328+L341+L364+L383+L421+L501+L521+L542+L563+L584+L607+L624+L650+L698+L722+L736+L768</f>
        <v>55058400</v>
      </c>
      <c r="M26" s="47">
        <f t="shared" ca="1" si="20"/>
        <v>54958400</v>
      </c>
      <c r="N26" s="47">
        <f t="shared" ca="1" si="20"/>
        <v>5312396.3899999997</v>
      </c>
      <c r="O26" s="47">
        <f t="shared" ca="1" si="1"/>
        <v>9.6486574074074056</v>
      </c>
      <c r="P26" s="47">
        <f t="shared" ca="1" si="2"/>
        <v>9.6662136998165877</v>
      </c>
      <c r="Q26" s="47">
        <f t="shared" ref="Q26:S26" ca="1" si="21">Q52+Q67+Q80+Q102+Q125+Q147+Q165+Q194+Q181+Q274+Q290+Q311+Q328+Q341+Q364+Q383+Q400+Q421+Q501+Q521+Q542+Q563+Q584+Q607+Q624+Q650+Q698+Q722+Q736+Q768</f>
        <v>3350000</v>
      </c>
      <c r="R26" s="47">
        <f t="shared" ca="1" si="21"/>
        <v>3350000</v>
      </c>
      <c r="S26" s="47">
        <f t="shared" ca="1" si="21"/>
        <v>0</v>
      </c>
      <c r="T26" s="47">
        <f t="shared" ca="1" si="4"/>
        <v>0</v>
      </c>
      <c r="U26" s="47">
        <f t="shared" ca="1" si="5"/>
        <v>0</v>
      </c>
    </row>
    <row r="27" spans="1:21" ht="18.75" hidden="1" x14ac:dyDescent="0.25">
      <c r="A27" s="40"/>
      <c r="B27" s="41"/>
      <c r="C27" s="41"/>
      <c r="D27" s="50" t="s">
        <v>24</v>
      </c>
      <c r="E27" s="41"/>
      <c r="F27" s="41"/>
      <c r="G27" s="43"/>
      <c r="H27" s="44" t="s">
        <v>14</v>
      </c>
      <c r="I27" s="45"/>
      <c r="J27" s="45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48" t="s">
        <v>20</v>
      </c>
      <c r="F28" s="41"/>
      <c r="G28" s="43"/>
      <c r="H28" s="44" t="s">
        <v>14</v>
      </c>
      <c r="I28" s="45"/>
      <c r="J28" s="45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537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22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22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22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22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22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22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60"/>
      <c r="M40" s="60"/>
      <c r="N40" s="60"/>
      <c r="O40" s="60"/>
      <c r="P40" s="60"/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66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7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22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3" t="s">
        <v>18</v>
      </c>
      <c r="D44" s="74" t="s">
        <v>19</v>
      </c>
      <c r="E44" s="72"/>
      <c r="F44" s="72"/>
      <c r="G44" s="75"/>
      <c r="H44" s="76" t="s">
        <v>14</v>
      </c>
      <c r="I44" s="77"/>
      <c r="J44" s="77"/>
      <c r="K44" s="78"/>
      <c r="L44" s="79">
        <f t="shared" ref="L44:N44" ca="1" si="22">L45+L46</f>
        <v>5977837</v>
      </c>
      <c r="M44" s="79">
        <f t="shared" ca="1" si="22"/>
        <v>6583433.9199999999</v>
      </c>
      <c r="N44" s="79">
        <f t="shared" ca="1" si="22"/>
        <v>4743175.97</v>
      </c>
      <c r="O44" s="79">
        <f t="shared" ref="O44:O52" ca="1" si="23">IF(L44&gt;0,N44*100/L44,0)</f>
        <v>79.346023820990766</v>
      </c>
      <c r="P44" s="79">
        <f t="shared" ref="P44:P52" ca="1" si="24">IF(M44&gt;0,N44*100/M44,0)</f>
        <v>72.047141774911296</v>
      </c>
      <c r="Q44" s="79">
        <f t="shared" ref="Q44:S44" ca="1" si="25">Q45+Q46</f>
        <v>0</v>
      </c>
      <c r="R44" s="79">
        <f t="shared" ca="1" si="25"/>
        <v>0</v>
      </c>
      <c r="S44" s="79">
        <f t="shared" ca="1" si="25"/>
        <v>0</v>
      </c>
      <c r="T44" s="79">
        <f t="shared" ref="T44:T52" ca="1" si="26">IF(Q44&gt;0,S44*100/Q44,0)</f>
        <v>0</v>
      </c>
      <c r="U44" s="79">
        <f t="shared" ref="U44:U52" ca="1" si="27">IF(R44&gt;0,S44*100/R44,0)</f>
        <v>0</v>
      </c>
    </row>
    <row r="45" spans="1:21" ht="18.75" hidden="1" x14ac:dyDescent="0.25">
      <c r="A45" s="71"/>
      <c r="B45" s="72"/>
      <c r="C45" s="72"/>
      <c r="D45" s="72"/>
      <c r="E45" s="80" t="s">
        <v>20</v>
      </c>
      <c r="F45" s="72"/>
      <c r="G45" s="75"/>
      <c r="H45" s="81" t="s">
        <v>14</v>
      </c>
      <c r="I45" s="77"/>
      <c r="J45" s="77"/>
      <c r="K45" s="78"/>
      <c r="L45" s="82">
        <f t="shared" ref="L45:N45" si="28">L48+L51</f>
        <v>0</v>
      </c>
      <c r="M45" s="82">
        <f t="shared" si="28"/>
        <v>0</v>
      </c>
      <c r="N45" s="82">
        <f t="shared" si="28"/>
        <v>0</v>
      </c>
      <c r="O45" s="82">
        <f t="shared" si="23"/>
        <v>0</v>
      </c>
      <c r="P45" s="82">
        <f t="shared" si="24"/>
        <v>0</v>
      </c>
      <c r="Q45" s="82">
        <f t="shared" ref="Q45:S45" si="29">Q48+Q51</f>
        <v>0</v>
      </c>
      <c r="R45" s="82">
        <f t="shared" si="29"/>
        <v>0</v>
      </c>
      <c r="S45" s="82">
        <f t="shared" si="29"/>
        <v>0</v>
      </c>
      <c r="T45" s="82">
        <f t="shared" si="26"/>
        <v>0</v>
      </c>
      <c r="U45" s="82">
        <f t="shared" si="27"/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83">
        <f t="shared" ref="L46:N46" ca="1" si="30">L49+L52</f>
        <v>5977837</v>
      </c>
      <c r="M46" s="83">
        <f t="shared" ca="1" si="30"/>
        <v>6583433.9199999999</v>
      </c>
      <c r="N46" s="83">
        <f t="shared" ca="1" si="30"/>
        <v>4743175.97</v>
      </c>
      <c r="O46" s="83">
        <f t="shared" ca="1" si="23"/>
        <v>79.346023820990766</v>
      </c>
      <c r="P46" s="83">
        <f t="shared" ca="1" si="24"/>
        <v>72.047141774911296</v>
      </c>
      <c r="Q46" s="83">
        <f t="shared" ref="Q46:S46" ca="1" si="31">Q49+Q52</f>
        <v>0</v>
      </c>
      <c r="R46" s="83">
        <f t="shared" ca="1" si="31"/>
        <v>0</v>
      </c>
      <c r="S46" s="83">
        <f t="shared" ca="1" si="31"/>
        <v>0</v>
      </c>
      <c r="T46" s="83">
        <f t="shared" ca="1" si="26"/>
        <v>0</v>
      </c>
      <c r="U46" s="83">
        <f t="shared" ca="1" si="27"/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47">
        <f t="shared" ref="L47:N47" ca="1" si="32">L48+L49</f>
        <v>5977837</v>
      </c>
      <c r="M47" s="47">
        <f t="shared" ca="1" si="32"/>
        <v>6583433.9199999999</v>
      </c>
      <c r="N47" s="47">
        <f t="shared" ca="1" si="32"/>
        <v>4743175.97</v>
      </c>
      <c r="O47" s="47">
        <f t="shared" ca="1" si="23"/>
        <v>79.346023820990766</v>
      </c>
      <c r="P47" s="47">
        <f t="shared" ca="1" si="24"/>
        <v>72.047141774911296</v>
      </c>
      <c r="Q47" s="47">
        <f t="shared" ref="Q47:S47" ca="1" si="33">Q48+Q49</f>
        <v>0</v>
      </c>
      <c r="R47" s="47">
        <f t="shared" ca="1" si="33"/>
        <v>0</v>
      </c>
      <c r="S47" s="47">
        <f t="shared" ca="1" si="33"/>
        <v>0</v>
      </c>
      <c r="T47" s="47">
        <f t="shared" ca="1" si="26"/>
        <v>0</v>
      </c>
      <c r="U47" s="47">
        <f t="shared" ca="1" si="27"/>
        <v>0</v>
      </c>
    </row>
    <row r="48" spans="1:21" ht="18.75" hidden="1" x14ac:dyDescent="0.25">
      <c r="A48" s="40"/>
      <c r="B48" s="41"/>
      <c r="C48" s="41"/>
      <c r="D48" s="41"/>
      <c r="E48" s="48" t="s">
        <v>20</v>
      </c>
      <c r="F48" s="41"/>
      <c r="G48" s="43"/>
      <c r="H48" s="44" t="s">
        <v>14</v>
      </c>
      <c r="I48" s="45"/>
      <c r="J48" s="45"/>
      <c r="K48" s="46"/>
      <c r="L48" s="49">
        <v>0</v>
      </c>
      <c r="M48" s="49">
        <v>0</v>
      </c>
      <c r="N48" s="49">
        <v>0</v>
      </c>
      <c r="O48" s="49">
        <f t="shared" si="23"/>
        <v>0</v>
      </c>
      <c r="P48" s="49">
        <f t="shared" si="24"/>
        <v>0</v>
      </c>
      <c r="Q48" s="49">
        <v>0</v>
      </c>
      <c r="R48" s="49">
        <v>0</v>
      </c>
      <c r="S48" s="49">
        <v>0</v>
      </c>
      <c r="T48" s="49">
        <f t="shared" si="26"/>
        <v>0</v>
      </c>
      <c r="U48" s="49">
        <f t="shared" si="27"/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47">
        <f ca="1">IFERROR(__xludf.DUMMYFUNCTION("IMPORTRANGE(""https://docs.google.com/spreadsheets/d/1kKUcYdkIfrgTSj8iHHHB2MD2FAtwyyocFgqGQn6ADyI/edit?usp=sharing"",""กระบี่!L49"")+IMPORTRANGE(""https://docs.google.com/spreadsheets/d/1GwtLaSlNZkLk7iDqcyZz22giiy40b_usZZBXYciEN1U/edit?usp=sharing"",""ชุม"&amp;"พร!L49"")+IMPORTRANGE(""https://docs.google.com/spreadsheets/d/16pAz3pOhQEZBhvFNMa5KGgZS6iKWpsKX0pg6tQmwFpo/edit?usp=sharing"",""ตรัง!L49"")+IMPORTRANGE(""https://docs.google.com/spreadsheets/d/1Dj4jcHCTV9JXKCaMoheSXS52JE63kDKyG7bPXnFogHk/edit?usp=sharing"&amp;""",""นครศรีธรรมราช!L49"")+IMPORTRANGE(""https://docs.google.com/spreadsheets/d/1iodCdmuK2GR3jzUwk8tpccY2JHQQA-87DLOtJP-ooyU/edit?usp=sharing"",""นราธิวาส!L49"")+IMPORTRANGE(""https://docs.google.com/spreadsheets/d/1SDNX3JhDdYRuIOsj0Wh2M-Qa_eaXl0NbWmhAOTbf"&amp;"QAs/edit?usp=sharing"",""ปัตตานี!L49"")+IMPORTRANGE(""https://docs.google.com/spreadsheets/d/16JDLGguT8s5DsGCND1KcwHP_AWR_zDMTqLHPLJUKhaU/edit?usp=sharing"",""พังงา!L49"")+IMPORTRANGE(""https://docs.google.com/spreadsheets/d/17ht0gPKzzT3PObBL1XJkeRmntBXI7"&amp;"wGjpLV7QorqlTk/edit?usp=sharing"",""พัทลุง!L49"")+IMPORTRANGE(""https://docs.google.com/spreadsheets/d/1rd4qoM1q_hsgaolqNGfrim9gbsoLxQsda4-vOz5x_BM/edit?usp=sharing"",""ภูเก็ต!L49"")+IMPORTRANGE(""https://docs.google.com/spreadsheets/d/1woKwKjgoLssDvPcPeV"&amp;"yezB5izizAn4X1JDrys69n6xI/edit?usp=sharing"",""ยะลา!L49"")+IMPORTRANGE(""https://docs.google.com/spreadsheets/d/1qfrKjzMhm2HJfxQ-qVlJlJQ25Hne1d0khsySbZyGtPA/edit?usp=sharing"",""ระนอง!L49"")+IMPORTRANGE(""https://docs.google.com/spreadsheets/d/1IbSCnFOKpZ"&amp;"snFogBHJnL_isstZVaOMnFiIN0fGTPZZw/edit?usp=sharing"",""สงขลา!L49"")+IMPORTRANGE(""https://docs.google.com/spreadsheets/d/1q9nWasZJ-K8bFGvbE9n0qSRuKGA4Toe3Y89cKCiVtCU/edit?usp=sharing"",""สตูล!L49"")+IMPORTRANGE(""https://docs.google.com/spreadsheets/d/18T"&amp;"20gbkS_WBjdscyTOV05cvq_JqvqQ17C81mpxf7Ncs/edit?usp=sharing"",""สุราษฎร์ธานี!L49"")"),5977837)</f>
        <v>5977837</v>
      </c>
      <c r="M49" s="47">
        <f ca="1">IFERROR(__xludf.DUMMYFUNCTION("IMPORTRANGE(""https://docs.google.com/spreadsheets/d/1kKUcYdkIfrgTSj8iHHHB2MD2FAtwyyocFgqGQn6ADyI/edit?usp=sharing"",""กระบี่!M49"")+IMPORTRANGE(""https://docs.google.com/spreadsheets/d/1GwtLaSlNZkLk7iDqcyZz22giiy40b_usZZBXYciEN1U/edit?usp=sharing"",""ชุม"&amp;"พร!M49"")+IMPORTRANGE(""https://docs.google.com/spreadsheets/d/16pAz3pOhQEZBhvFNMa5KGgZS6iKWpsKX0pg6tQmwFpo/edit?usp=sharing"",""ตรัง!M49"")+IMPORTRANGE(""https://docs.google.com/spreadsheets/d/1Dj4jcHCTV9JXKCaMoheSXS52JE63kDKyG7bPXnFogHk/edit?usp=sharing"&amp;""",""นครศรีธรรมราช!M49"")+IMPORTRANGE(""https://docs.google.com/spreadsheets/d/1iodCdmuK2GR3jzUwk8tpccY2JHQQA-87DLOtJP-ooyU/edit?usp=sharing"",""นราธิวาส!M49"")+IMPORTRANGE(""https://docs.google.com/spreadsheets/d/1SDNX3JhDdYRuIOsj0Wh2M-Qa_eaXl0NbWmhAOTbf"&amp;"QAs/edit?usp=sharing"",""ปัตตานี!M49"")+IMPORTRANGE(""https://docs.google.com/spreadsheets/d/16JDLGguT8s5DsGCND1KcwHP_AWR_zDMTqLHPLJUKhaU/edit?usp=sharing"",""พังงา!M49"")+IMPORTRANGE(""https://docs.google.com/spreadsheets/d/17ht0gPKzzT3PObBL1XJkeRmntBXI7"&amp;"wGjpLV7QorqlTk/edit?usp=sharing"",""พัทลุง!M49"")+IMPORTRANGE(""https://docs.google.com/spreadsheets/d/1rd4qoM1q_hsgaolqNGfrim9gbsoLxQsda4-vOz5x_BM/edit?usp=sharing"",""ภูเก็ต!M49"")+IMPORTRANGE(""https://docs.google.com/spreadsheets/d/1woKwKjgoLssDvPcPeV"&amp;"yezB5izizAn4X1JDrys69n6xI/edit?usp=sharing"",""ยะลา!M49"")+IMPORTRANGE(""https://docs.google.com/spreadsheets/d/1qfrKjzMhm2HJfxQ-qVlJlJQ25Hne1d0khsySbZyGtPA/edit?usp=sharing"",""ระนอง!M49"")+IMPORTRANGE(""https://docs.google.com/spreadsheets/d/1IbSCnFOKpZ"&amp;"snFogBHJnL_isstZVaOMnFiIN0fGTPZZw/edit?usp=sharing"",""สงขลา!M49"")+IMPORTRANGE(""https://docs.google.com/spreadsheets/d/1q9nWasZJ-K8bFGvbE9n0qSRuKGA4Toe3Y89cKCiVtCU/edit?usp=sharing"",""สตูล!M49"")+IMPORTRANGE(""https://docs.google.com/spreadsheets/d/18T"&amp;"20gbkS_WBjdscyTOV05cvq_JqvqQ17C81mpxf7Ncs/edit?usp=sharing"",""สุราษฎร์ธานี!M49"")"),6583433.92)</f>
        <v>6583433.9199999999</v>
      </c>
      <c r="N49" s="47">
        <f ca="1">IFERROR(__xludf.DUMMYFUNCTION("IMPORTRANGE(""https://docs.google.com/spreadsheets/d/1kKUcYdkIfrgTSj8iHHHB2MD2FAtwyyocFgqGQn6ADyI/edit?usp=sharing"",""กระบี่!N49"")+IMPORTRANGE(""https://docs.google.com/spreadsheets/d/1GwtLaSlNZkLk7iDqcyZz22giiy40b_usZZBXYciEN1U/edit?usp=sharing"",""ชุม"&amp;"พร!N49"")+IMPORTRANGE(""https://docs.google.com/spreadsheets/d/16pAz3pOhQEZBhvFNMa5KGgZS6iKWpsKX0pg6tQmwFpo/edit?usp=sharing"",""ตรัง!N49"")+IMPORTRANGE(""https://docs.google.com/spreadsheets/d/1Dj4jcHCTV9JXKCaMoheSXS52JE63kDKyG7bPXnFogHk/edit?usp=sharing"&amp;""",""นครศรีธรรมราช!N49"")+IMPORTRANGE(""https://docs.google.com/spreadsheets/d/1iodCdmuK2GR3jzUwk8tpccY2JHQQA-87DLOtJP-ooyU/edit?usp=sharing"",""นราธิวาส!N49"")+IMPORTRANGE(""https://docs.google.com/spreadsheets/d/1SDNX3JhDdYRuIOsj0Wh2M-Qa_eaXl0NbWmhAOTbf"&amp;"QAs/edit?usp=sharing"",""ปัตตานี!N49"")+IMPORTRANGE(""https://docs.google.com/spreadsheets/d/16JDLGguT8s5DsGCND1KcwHP_AWR_zDMTqLHPLJUKhaU/edit?usp=sharing"",""พังงา!N49"")+IMPORTRANGE(""https://docs.google.com/spreadsheets/d/17ht0gPKzzT3PObBL1XJkeRmntBXI7"&amp;"wGjpLV7QorqlTk/edit?usp=sharing"",""พัทลุง!N49"")+IMPORTRANGE(""https://docs.google.com/spreadsheets/d/1rd4qoM1q_hsgaolqNGfrim9gbsoLxQsda4-vOz5x_BM/edit?usp=sharing"",""ภูเก็ต!N49"")+IMPORTRANGE(""https://docs.google.com/spreadsheets/d/1woKwKjgoLssDvPcPeV"&amp;"yezB5izizAn4X1JDrys69n6xI/edit?usp=sharing"",""ยะลา!N49"")+IMPORTRANGE(""https://docs.google.com/spreadsheets/d/1qfrKjzMhm2HJfxQ-qVlJlJQ25Hne1d0khsySbZyGtPA/edit?usp=sharing"",""ระนอง!N49"")+IMPORTRANGE(""https://docs.google.com/spreadsheets/d/1IbSCnFOKpZ"&amp;"snFogBHJnL_isstZVaOMnFiIN0fGTPZZw/edit?usp=sharing"",""สงขลา!N49"")+IMPORTRANGE(""https://docs.google.com/spreadsheets/d/1q9nWasZJ-K8bFGvbE9n0qSRuKGA4Toe3Y89cKCiVtCU/edit?usp=sharing"",""สตูล!N49"")+IMPORTRANGE(""https://docs.google.com/spreadsheets/d/18T"&amp;"20gbkS_WBjdscyTOV05cvq_JqvqQ17C81mpxf7Ncs/edit?usp=sharing"",""สุราษฎร์ธานี!N49"")"),4743175.97)</f>
        <v>4743175.97</v>
      </c>
      <c r="O49" s="47">
        <f t="shared" ca="1" si="23"/>
        <v>79.346023820990766</v>
      </c>
      <c r="P49" s="47">
        <f t="shared" ca="1" si="24"/>
        <v>72.047141774911296</v>
      </c>
      <c r="Q49" s="47">
        <f ca="1">IFERROR(__xludf.DUMMYFUNCTION("IMPORTRANGE(""https://docs.google.com/spreadsheets/d/1kKUcYdkIfrgTSj8iHHHB2MD2FAtwyyocFgqGQn6ADyI/edit?usp=sharing"",""กระบี่!Q49"")+IMPORTRANGE(""https://docs.google.com/spreadsheets/d/1GwtLaSlNZkLk7iDqcyZz22giiy40b_usZZBXYciEN1U/edit?usp=sharing"",""ชุม"&amp;"พร!Q49"")+IMPORTRANGE(""https://docs.google.com/spreadsheets/d/16pAz3pOhQEZBhvFNMa5KGgZS6iKWpsKX0pg6tQmwFpo/edit?usp=sharing"",""ตรัง!Q49"")+IMPORTRANGE(""https://docs.google.com/spreadsheets/d/1Dj4jcHCTV9JXKCaMoheSXS52JE63kDKyG7bPXnFogHk/edit?usp=sharing"&amp;""",""นครศรีธรรมราช!Q49"")+IMPORTRANGE(""https://docs.google.com/spreadsheets/d/1iodCdmuK2GR3jzUwk8tpccY2JHQQA-87DLOtJP-ooyU/edit?usp=sharing"",""นราธิวาส!Q49"")+IMPORTRANGE(""https://docs.google.com/spreadsheets/d/1SDNX3JhDdYRuIOsj0Wh2M-Qa_eaXl0NbWmhAOTbf"&amp;"QAs/edit?usp=sharing"",""ปัตตานี!Q49"")+IMPORTRANGE(""https://docs.google.com/spreadsheets/d/16JDLGguT8s5DsGCND1KcwHP_AWR_zDMTqLHPLJUKhaU/edit?usp=sharing"",""พังงา!Q49"")+IMPORTRANGE(""https://docs.google.com/spreadsheets/d/17ht0gPKzzT3PObBL1XJkeRmntBXI7"&amp;"wGjpLV7QorqlTk/edit?usp=sharing"",""พัทลุง!Q49"")+IMPORTRANGE(""https://docs.google.com/spreadsheets/d/1rd4qoM1q_hsgaolqNGfrim9gbsoLxQsda4-vOz5x_BM/edit?usp=sharing"",""ภูเก็ต!Q49"")+IMPORTRANGE(""https://docs.google.com/spreadsheets/d/1woKwKjgoLssDvPcPeV"&amp;"yezB5izizAn4X1JDrys69n6xI/edit?usp=sharing"",""ยะลา!Q49"")+IMPORTRANGE(""https://docs.google.com/spreadsheets/d/1qfrKjzMhm2HJfxQ-qVlJlJQ25Hne1d0khsySbZyGtPA/edit?usp=sharing"",""ระนอง!Q49"")+IMPORTRANGE(""https://docs.google.com/spreadsheets/d/1IbSCnFOKpZ"&amp;"snFogBHJnL_isstZVaOMnFiIN0fGTPZZw/edit?usp=sharing"",""สงขลา!Q49"")+IMPORTRANGE(""https://docs.google.com/spreadsheets/d/1q9nWasZJ-K8bFGvbE9n0qSRuKGA4Toe3Y89cKCiVtCU/edit?usp=sharing"",""สตูล!Q49"")+IMPORTRANGE(""https://docs.google.com/spreadsheets/d/18T"&amp;"20gbkS_WBjdscyTOV05cvq_JqvqQ17C81mpxf7Ncs/edit?usp=sharing"",""สุราษฎร์ธานี!Q49"")"),0)</f>
        <v>0</v>
      </c>
      <c r="R49" s="47">
        <f ca="1">IFERROR(__xludf.DUMMYFUNCTION("IMPORTRANGE(""https://docs.google.com/spreadsheets/d/1kKUcYdkIfrgTSj8iHHHB2MD2FAtwyyocFgqGQn6ADyI/edit?usp=sharing"",""กระบี่!R49"")+IMPORTRANGE(""https://docs.google.com/spreadsheets/d/1GwtLaSlNZkLk7iDqcyZz22giiy40b_usZZBXYciEN1U/edit?usp=sharing"",""ชุม"&amp;"พร!R49"")+IMPORTRANGE(""https://docs.google.com/spreadsheets/d/16pAz3pOhQEZBhvFNMa5KGgZS6iKWpsKX0pg6tQmwFpo/edit?usp=sharing"",""ตรัง!R49"")+IMPORTRANGE(""https://docs.google.com/spreadsheets/d/1Dj4jcHCTV9JXKCaMoheSXS52JE63kDKyG7bPXnFogHk/edit?usp=sharing"&amp;""",""นครศรีธรรมราช!R49"")+IMPORTRANGE(""https://docs.google.com/spreadsheets/d/1iodCdmuK2GR3jzUwk8tpccY2JHQQA-87DLOtJP-ooyU/edit?usp=sharing"",""นราธิวาส!R49"")+IMPORTRANGE(""https://docs.google.com/spreadsheets/d/1SDNX3JhDdYRuIOsj0Wh2M-Qa_eaXl0NbWmhAOTbf"&amp;"QAs/edit?usp=sharing"",""ปัตตานี!R49"")+IMPORTRANGE(""https://docs.google.com/spreadsheets/d/16JDLGguT8s5DsGCND1KcwHP_AWR_zDMTqLHPLJUKhaU/edit?usp=sharing"",""พังงา!R49"")+IMPORTRANGE(""https://docs.google.com/spreadsheets/d/17ht0gPKzzT3PObBL1XJkeRmntBXI7"&amp;"wGjpLV7QorqlTk/edit?usp=sharing"",""พัทลุง!R49"")+IMPORTRANGE(""https://docs.google.com/spreadsheets/d/1rd4qoM1q_hsgaolqNGfrim9gbsoLxQsda4-vOz5x_BM/edit?usp=sharing"",""ภูเก็ต!R49"")+IMPORTRANGE(""https://docs.google.com/spreadsheets/d/1woKwKjgoLssDvPcPeV"&amp;"yezB5izizAn4X1JDrys69n6xI/edit?usp=sharing"",""ยะลา!R49"")+IMPORTRANGE(""https://docs.google.com/spreadsheets/d/1qfrKjzMhm2HJfxQ-qVlJlJQ25Hne1d0khsySbZyGtPA/edit?usp=sharing"",""ระนอง!R49"")+IMPORTRANGE(""https://docs.google.com/spreadsheets/d/1IbSCnFOKpZ"&amp;"snFogBHJnL_isstZVaOMnFiIN0fGTPZZw/edit?usp=sharing"",""สงขลา!R49"")+IMPORTRANGE(""https://docs.google.com/spreadsheets/d/1q9nWasZJ-K8bFGvbE9n0qSRuKGA4Toe3Y89cKCiVtCU/edit?usp=sharing"",""สตูล!R49"")+IMPORTRANGE(""https://docs.google.com/spreadsheets/d/18T"&amp;"20gbkS_WBjdscyTOV05cvq_JqvqQ17C81mpxf7Ncs/edit?usp=sharing"",""สุราษฎร์ธานี!R49"")"),0)</f>
        <v>0</v>
      </c>
      <c r="S49" s="47">
        <f ca="1">IFERROR(__xludf.DUMMYFUNCTION("IMPORTRANGE(""https://docs.google.com/spreadsheets/d/1kKUcYdkIfrgTSj8iHHHB2MD2FAtwyyocFgqGQn6ADyI/edit?usp=sharing"",""กระบี่!S49"")+IMPORTRANGE(""https://docs.google.com/spreadsheets/d/1GwtLaSlNZkLk7iDqcyZz22giiy40b_usZZBXYciEN1U/edit?usp=sharing"",""ชุม"&amp;"พร!S49"")+IMPORTRANGE(""https://docs.google.com/spreadsheets/d/16pAz3pOhQEZBhvFNMa5KGgZS6iKWpsKX0pg6tQmwFpo/edit?usp=sharing"",""ตรัง!S49"")+IMPORTRANGE(""https://docs.google.com/spreadsheets/d/1Dj4jcHCTV9JXKCaMoheSXS52JE63kDKyG7bPXnFogHk/edit?usp=sharing"&amp;""",""นครศรีธรรมราช!S49"")+IMPORTRANGE(""https://docs.google.com/spreadsheets/d/1iodCdmuK2GR3jzUwk8tpccY2JHQQA-87DLOtJP-ooyU/edit?usp=sharing"",""นราธิวาส!S49"")+IMPORTRANGE(""https://docs.google.com/spreadsheets/d/1SDNX3JhDdYRuIOsj0Wh2M-Qa_eaXl0NbWmhAOTbf"&amp;"QAs/edit?usp=sharing"",""ปัตตานี!S49"")+IMPORTRANGE(""https://docs.google.com/spreadsheets/d/16JDLGguT8s5DsGCND1KcwHP_AWR_zDMTqLHPLJUKhaU/edit?usp=sharing"",""พังงา!S49"")+IMPORTRANGE(""https://docs.google.com/spreadsheets/d/17ht0gPKzzT3PObBL1XJkeRmntBXI7"&amp;"wGjpLV7QorqlTk/edit?usp=sharing"",""พัทลุง!S49"")+IMPORTRANGE(""https://docs.google.com/spreadsheets/d/1rd4qoM1q_hsgaolqNGfrim9gbsoLxQsda4-vOz5x_BM/edit?usp=sharing"",""ภูเก็ต!S49"")+IMPORTRANGE(""https://docs.google.com/spreadsheets/d/1woKwKjgoLssDvPcPeV"&amp;"yezB5izizAn4X1JDrys69n6xI/edit?usp=sharing"",""ยะลา!S49"")+IMPORTRANGE(""https://docs.google.com/spreadsheets/d/1qfrKjzMhm2HJfxQ-qVlJlJQ25Hne1d0khsySbZyGtPA/edit?usp=sharing"",""ระนอง!S49"")+IMPORTRANGE(""https://docs.google.com/spreadsheets/d/1IbSCnFOKpZ"&amp;"snFogBHJnL_isstZVaOMnFiIN0fGTPZZw/edit?usp=sharing"",""สงขลา!S49"")+IMPORTRANGE(""https://docs.google.com/spreadsheets/d/1q9nWasZJ-K8bFGvbE9n0qSRuKGA4Toe3Y89cKCiVtCU/edit?usp=sharing"",""สตูล!S49"")+IMPORTRANGE(""https://docs.google.com/spreadsheets/d/18T"&amp;"20gbkS_WBjdscyTOV05cvq_JqvqQ17C81mpxf7Ncs/edit?usp=sharing"",""สุราษฎร์ธานี!S49"")"),0)</f>
        <v>0</v>
      </c>
      <c r="T49" s="47">
        <f t="shared" ca="1" si="26"/>
        <v>0</v>
      </c>
      <c r="U49" s="47">
        <f t="shared" ca="1" si="27"/>
        <v>0</v>
      </c>
    </row>
    <row r="50" spans="1:21" ht="18.75" x14ac:dyDescent="0.25">
      <c r="A50" s="40"/>
      <c r="B50" s="41"/>
      <c r="C50" s="41"/>
      <c r="D50" s="50" t="s">
        <v>23</v>
      </c>
      <c r="E50" s="41"/>
      <c r="F50" s="41"/>
      <c r="G50" s="43"/>
      <c r="H50" s="44" t="s">
        <v>14</v>
      </c>
      <c r="I50" s="45"/>
      <c r="J50" s="45"/>
      <c r="K50" s="46"/>
      <c r="L50" s="47">
        <f t="shared" ref="L50:N50" ca="1" si="34">L51+L52</f>
        <v>0</v>
      </c>
      <c r="M50" s="47">
        <f t="shared" ca="1" si="34"/>
        <v>0</v>
      </c>
      <c r="N50" s="47">
        <f t="shared" ca="1" si="34"/>
        <v>0</v>
      </c>
      <c r="O50" s="47">
        <f t="shared" ca="1" si="23"/>
        <v>0</v>
      </c>
      <c r="P50" s="47">
        <f t="shared" ca="1" si="24"/>
        <v>0</v>
      </c>
      <c r="Q50" s="47">
        <f t="shared" ref="Q50:S50" ca="1" si="35">Q51+Q52</f>
        <v>0</v>
      </c>
      <c r="R50" s="47">
        <f t="shared" ca="1" si="35"/>
        <v>0</v>
      </c>
      <c r="S50" s="47">
        <f t="shared" ca="1" si="35"/>
        <v>0</v>
      </c>
      <c r="T50" s="47">
        <f t="shared" ca="1" si="26"/>
        <v>0</v>
      </c>
      <c r="U50" s="47">
        <f t="shared" ca="1" si="27"/>
        <v>0</v>
      </c>
    </row>
    <row r="51" spans="1:21" ht="18.75" hidden="1" x14ac:dyDescent="0.25">
      <c r="A51" s="40"/>
      <c r="B51" s="41"/>
      <c r="C51" s="41"/>
      <c r="D51" s="41"/>
      <c r="E51" s="48" t="s">
        <v>20</v>
      </c>
      <c r="F51" s="41"/>
      <c r="G51" s="43"/>
      <c r="H51" s="44" t="s">
        <v>14</v>
      </c>
      <c r="I51" s="45"/>
      <c r="J51" s="45"/>
      <c r="K51" s="46"/>
      <c r="L51" s="49">
        <v>0</v>
      </c>
      <c r="M51" s="49">
        <v>0</v>
      </c>
      <c r="N51" s="49">
        <v>0</v>
      </c>
      <c r="O51" s="49">
        <f t="shared" si="23"/>
        <v>0</v>
      </c>
      <c r="P51" s="49">
        <f t="shared" si="24"/>
        <v>0</v>
      </c>
      <c r="Q51" s="49">
        <v>0</v>
      </c>
      <c r="R51" s="49">
        <v>0</v>
      </c>
      <c r="S51" s="49">
        <v>0</v>
      </c>
      <c r="T51" s="49">
        <f t="shared" si="26"/>
        <v>0</v>
      </c>
      <c r="U51" s="49">
        <f t="shared" si="27"/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47">
        <f ca="1">IFERROR(__xludf.DUMMYFUNCTION("IMPORTRANGE(""https://docs.google.com/spreadsheets/d/1kKUcYdkIfrgTSj8iHHHB2MD2FAtwyyocFgqGQn6ADyI/edit?usp=sharing"",""กระบี่!L52"")+IMPORTRANGE(""https://docs.google.com/spreadsheets/d/1GwtLaSlNZkLk7iDqcyZz22giiy40b_usZZBXYciEN1U/edit?usp=sharing"",""ชุม"&amp;"พร!L52"")+IMPORTRANGE(""https://docs.google.com/spreadsheets/d/16pAz3pOhQEZBhvFNMa5KGgZS6iKWpsKX0pg6tQmwFpo/edit?usp=sharing"",""ตรัง!L52"")+IMPORTRANGE(""https://docs.google.com/spreadsheets/d/1Dj4jcHCTV9JXKCaMoheSXS52JE63kDKyG7bPXnFogHk/edit?usp=sharing"&amp;""",""นครศรีธรรมราช!L52"")+IMPORTRANGE(""https://docs.google.com/spreadsheets/d/1iodCdmuK2GR3jzUwk8tpccY2JHQQA-87DLOtJP-ooyU/edit?usp=sharing"",""นราธิวาส!L52"")+IMPORTRANGE(""https://docs.google.com/spreadsheets/d/1SDNX3JhDdYRuIOsj0Wh2M-Qa_eaXl0NbWmhAOTbf"&amp;"QAs/edit?usp=sharing"",""ปัตตานี!L52"")+IMPORTRANGE(""https://docs.google.com/spreadsheets/d/16JDLGguT8s5DsGCND1KcwHP_AWR_zDMTqLHPLJUKhaU/edit?usp=sharing"",""พังงา!L52"")+IMPORTRANGE(""https://docs.google.com/spreadsheets/d/17ht0gPKzzT3PObBL1XJkeRmntBXI7"&amp;"wGjpLV7QorqlTk/edit?usp=sharing"",""พัทลุง!L52"")+IMPORTRANGE(""https://docs.google.com/spreadsheets/d/1rd4qoM1q_hsgaolqNGfrim9gbsoLxQsda4-vOz5x_BM/edit?usp=sharing"",""ภูเก็ต!L52"")+IMPORTRANGE(""https://docs.google.com/spreadsheets/d/1woKwKjgoLssDvPcPeV"&amp;"yezB5izizAn4X1JDrys69n6xI/edit?usp=sharing"",""ยะลา!L52"")+IMPORTRANGE(""https://docs.google.com/spreadsheets/d/1qfrKjzMhm2HJfxQ-qVlJlJQ25Hne1d0khsySbZyGtPA/edit?usp=sharing"",""ระนอง!L52"")+IMPORTRANGE(""https://docs.google.com/spreadsheets/d/1IbSCnFOKpZ"&amp;"snFogBHJnL_isstZVaOMnFiIN0fGTPZZw/edit?usp=sharing"",""สงขลา!L52"")+IMPORTRANGE(""https://docs.google.com/spreadsheets/d/1q9nWasZJ-K8bFGvbE9n0qSRuKGA4Toe3Y89cKCiVtCU/edit?usp=sharing"",""สตูล!L52"")+IMPORTRANGE(""https://docs.google.com/spreadsheets/d/18T"&amp;"20gbkS_WBjdscyTOV05cvq_JqvqQ17C81mpxf7Ncs/edit?usp=sharing"",""สุราษฎร์ธานี!L52"")"),0)</f>
        <v>0</v>
      </c>
      <c r="M52" s="47">
        <f ca="1">IFERROR(__xludf.DUMMYFUNCTION("IMPORTRANGE(""https://docs.google.com/spreadsheets/d/1kKUcYdkIfrgTSj8iHHHB2MD2FAtwyyocFgqGQn6ADyI/edit?usp=sharing"",""กระบี่!M52"")+IMPORTRANGE(""https://docs.google.com/spreadsheets/d/1GwtLaSlNZkLk7iDqcyZz22giiy40b_usZZBXYciEN1U/edit?usp=sharing"",""ชุม"&amp;"พร!M52"")+IMPORTRANGE(""https://docs.google.com/spreadsheets/d/16pAz3pOhQEZBhvFNMa5KGgZS6iKWpsKX0pg6tQmwFpo/edit?usp=sharing"",""ตรัง!M52"")+IMPORTRANGE(""https://docs.google.com/spreadsheets/d/1Dj4jcHCTV9JXKCaMoheSXS52JE63kDKyG7bPXnFogHk/edit?usp=sharing"&amp;""",""นครศรีธรรมราช!M52"")+IMPORTRANGE(""https://docs.google.com/spreadsheets/d/1iodCdmuK2GR3jzUwk8tpccY2JHQQA-87DLOtJP-ooyU/edit?usp=sharing"",""นราธิวาส!M52"")+IMPORTRANGE(""https://docs.google.com/spreadsheets/d/1SDNX3JhDdYRuIOsj0Wh2M-Qa_eaXl0NbWmhAOTbf"&amp;"QAs/edit?usp=sharing"",""ปัตตานี!M52"")+IMPORTRANGE(""https://docs.google.com/spreadsheets/d/16JDLGguT8s5DsGCND1KcwHP_AWR_zDMTqLHPLJUKhaU/edit?usp=sharing"",""พังงา!M52"")+IMPORTRANGE(""https://docs.google.com/spreadsheets/d/17ht0gPKzzT3PObBL1XJkeRmntBXI7"&amp;"wGjpLV7QorqlTk/edit?usp=sharing"",""พัทลุง!M52"")+IMPORTRANGE(""https://docs.google.com/spreadsheets/d/1rd4qoM1q_hsgaolqNGfrim9gbsoLxQsda4-vOz5x_BM/edit?usp=sharing"",""ภูเก็ต!M52"")+IMPORTRANGE(""https://docs.google.com/spreadsheets/d/1woKwKjgoLssDvPcPeV"&amp;"yezB5izizAn4X1JDrys69n6xI/edit?usp=sharing"",""ยะลา!M52"")+IMPORTRANGE(""https://docs.google.com/spreadsheets/d/1qfrKjzMhm2HJfxQ-qVlJlJQ25Hne1d0khsySbZyGtPA/edit?usp=sharing"",""ระนอง!M52"")+IMPORTRANGE(""https://docs.google.com/spreadsheets/d/1IbSCnFOKpZ"&amp;"snFogBHJnL_isstZVaOMnFiIN0fGTPZZw/edit?usp=sharing"",""สงขลา!M52"")+IMPORTRANGE(""https://docs.google.com/spreadsheets/d/1q9nWasZJ-K8bFGvbE9n0qSRuKGA4Toe3Y89cKCiVtCU/edit?usp=sharing"",""สตูล!M52"")+IMPORTRANGE(""https://docs.google.com/spreadsheets/d/18T"&amp;"20gbkS_WBjdscyTOV05cvq_JqvqQ17C81mpxf7Ncs/edit?usp=sharing"",""สุราษฎร์ธานี!M52"")"),0)</f>
        <v>0</v>
      </c>
      <c r="N52" s="47">
        <f ca="1">IFERROR(__xludf.DUMMYFUNCTION("IMPORTRANGE(""https://docs.google.com/spreadsheets/d/1kKUcYdkIfrgTSj8iHHHB2MD2FAtwyyocFgqGQn6ADyI/edit?usp=sharing"",""กระบี่!N52"")+IMPORTRANGE(""https://docs.google.com/spreadsheets/d/1GwtLaSlNZkLk7iDqcyZz22giiy40b_usZZBXYciEN1U/edit?usp=sharing"",""ชุม"&amp;"พร!N52"")+IMPORTRANGE(""https://docs.google.com/spreadsheets/d/16pAz3pOhQEZBhvFNMa5KGgZS6iKWpsKX0pg6tQmwFpo/edit?usp=sharing"",""ตรัง!N52"")+IMPORTRANGE(""https://docs.google.com/spreadsheets/d/1Dj4jcHCTV9JXKCaMoheSXS52JE63kDKyG7bPXnFogHk/edit?usp=sharing"&amp;""",""นครศรีธรรมราช!N52"")+IMPORTRANGE(""https://docs.google.com/spreadsheets/d/1iodCdmuK2GR3jzUwk8tpccY2JHQQA-87DLOtJP-ooyU/edit?usp=sharing"",""นราธิวาส!N52"")+IMPORTRANGE(""https://docs.google.com/spreadsheets/d/1SDNX3JhDdYRuIOsj0Wh2M-Qa_eaXl0NbWmhAOTbf"&amp;"QAs/edit?usp=sharing"",""ปัตตานี!N52"")+IMPORTRANGE(""https://docs.google.com/spreadsheets/d/16JDLGguT8s5DsGCND1KcwHP_AWR_zDMTqLHPLJUKhaU/edit?usp=sharing"",""พังงา!N52"")+IMPORTRANGE(""https://docs.google.com/spreadsheets/d/17ht0gPKzzT3PObBL1XJkeRmntBXI7"&amp;"wGjpLV7QorqlTk/edit?usp=sharing"",""พัทลุง!N52"")+IMPORTRANGE(""https://docs.google.com/spreadsheets/d/1rd4qoM1q_hsgaolqNGfrim9gbsoLxQsda4-vOz5x_BM/edit?usp=sharing"",""ภูเก็ต!N52"")+IMPORTRANGE(""https://docs.google.com/spreadsheets/d/1woKwKjgoLssDvPcPeV"&amp;"yezB5izizAn4X1JDrys69n6xI/edit?usp=sharing"",""ยะลา!N52"")+IMPORTRANGE(""https://docs.google.com/spreadsheets/d/1qfrKjzMhm2HJfxQ-qVlJlJQ25Hne1d0khsySbZyGtPA/edit?usp=sharing"",""ระนอง!N52"")+IMPORTRANGE(""https://docs.google.com/spreadsheets/d/1IbSCnFOKpZ"&amp;"snFogBHJnL_isstZVaOMnFiIN0fGTPZZw/edit?usp=sharing"",""สงขลา!N52"")+IMPORTRANGE(""https://docs.google.com/spreadsheets/d/1q9nWasZJ-K8bFGvbE9n0qSRuKGA4Toe3Y89cKCiVtCU/edit?usp=sharing"",""สตูล!N52"")+IMPORTRANGE(""https://docs.google.com/spreadsheets/d/18T"&amp;"20gbkS_WBjdscyTOV05cvq_JqvqQ17C81mpxf7Ncs/edit?usp=sharing"",""สุราษฎร์ธานี!N52"")"),0)</f>
        <v>0</v>
      </c>
      <c r="O52" s="47">
        <f t="shared" ca="1" si="23"/>
        <v>0</v>
      </c>
      <c r="P52" s="47">
        <f t="shared" ca="1" si="24"/>
        <v>0</v>
      </c>
      <c r="Q52" s="47">
        <f ca="1">IFERROR(__xludf.DUMMYFUNCTION("IMPORTRANGE(""https://docs.google.com/spreadsheets/d/1kKUcYdkIfrgTSj8iHHHB2MD2FAtwyyocFgqGQn6ADyI/edit?usp=sharing"",""กระบี่!Q52"")+IMPORTRANGE(""https://docs.google.com/spreadsheets/d/1GwtLaSlNZkLk7iDqcyZz22giiy40b_usZZBXYciEN1U/edit?usp=sharing"",""ชุม"&amp;"พร!Q52"")+IMPORTRANGE(""https://docs.google.com/spreadsheets/d/16pAz3pOhQEZBhvFNMa5KGgZS6iKWpsKX0pg6tQmwFpo/edit?usp=sharing"",""ตรัง!Q52"")+IMPORTRANGE(""https://docs.google.com/spreadsheets/d/1Dj4jcHCTV9JXKCaMoheSXS52JE63kDKyG7bPXnFogHk/edit?usp=sharing"&amp;""",""นครศรีธรรมราช!Q52"")+IMPORTRANGE(""https://docs.google.com/spreadsheets/d/1iodCdmuK2GR3jzUwk8tpccY2JHQQA-87DLOtJP-ooyU/edit?usp=sharing"",""นราธิวาส!Q52"")+IMPORTRANGE(""https://docs.google.com/spreadsheets/d/1SDNX3JhDdYRuIOsj0Wh2M-Qa_eaXl0NbWmhAOTbf"&amp;"QAs/edit?usp=sharing"",""ปัตตานี!Q52"")+IMPORTRANGE(""https://docs.google.com/spreadsheets/d/16JDLGguT8s5DsGCND1KcwHP_AWR_zDMTqLHPLJUKhaU/edit?usp=sharing"",""พังงา!Q52"")+IMPORTRANGE(""https://docs.google.com/spreadsheets/d/17ht0gPKzzT3PObBL1XJkeRmntBXI7"&amp;"wGjpLV7QorqlTk/edit?usp=sharing"",""พัทลุง!Q52"")+IMPORTRANGE(""https://docs.google.com/spreadsheets/d/1rd4qoM1q_hsgaolqNGfrim9gbsoLxQsda4-vOz5x_BM/edit?usp=sharing"",""ภูเก็ต!Q52"")+IMPORTRANGE(""https://docs.google.com/spreadsheets/d/1woKwKjgoLssDvPcPeV"&amp;"yezB5izizAn4X1JDrys69n6xI/edit?usp=sharing"",""ยะลา!Q52"")+IMPORTRANGE(""https://docs.google.com/spreadsheets/d/1qfrKjzMhm2HJfxQ-qVlJlJQ25Hne1d0khsySbZyGtPA/edit?usp=sharing"",""ระนอง!Q52"")+IMPORTRANGE(""https://docs.google.com/spreadsheets/d/1IbSCnFOKpZ"&amp;"snFogBHJnL_isstZVaOMnFiIN0fGTPZZw/edit?usp=sharing"",""สงขลา!Q52"")+IMPORTRANGE(""https://docs.google.com/spreadsheets/d/1q9nWasZJ-K8bFGvbE9n0qSRuKGA4Toe3Y89cKCiVtCU/edit?usp=sharing"",""สตูล!Q52"")+IMPORTRANGE(""https://docs.google.com/spreadsheets/d/18T"&amp;"20gbkS_WBjdscyTOV05cvq_JqvqQ17C81mpxf7Ncs/edit?usp=sharing"",""สุราษฎร์ธานี!Q52"")"),0)</f>
        <v>0</v>
      </c>
      <c r="R52" s="47">
        <f ca="1">IFERROR(__xludf.DUMMYFUNCTION("IMPORTRANGE(""https://docs.google.com/spreadsheets/d/1kKUcYdkIfrgTSj8iHHHB2MD2FAtwyyocFgqGQn6ADyI/edit?usp=sharing"",""กระบี่!R52"")+IMPORTRANGE(""https://docs.google.com/spreadsheets/d/1GwtLaSlNZkLk7iDqcyZz22giiy40b_usZZBXYciEN1U/edit?usp=sharing"",""ชุม"&amp;"พร!R52"")+IMPORTRANGE(""https://docs.google.com/spreadsheets/d/16pAz3pOhQEZBhvFNMa5KGgZS6iKWpsKX0pg6tQmwFpo/edit?usp=sharing"",""ตรัง!R52"")+IMPORTRANGE(""https://docs.google.com/spreadsheets/d/1Dj4jcHCTV9JXKCaMoheSXS52JE63kDKyG7bPXnFogHk/edit?usp=sharing"&amp;""",""นครศรีธรรมราช!R52"")+IMPORTRANGE(""https://docs.google.com/spreadsheets/d/1iodCdmuK2GR3jzUwk8tpccY2JHQQA-87DLOtJP-ooyU/edit?usp=sharing"",""นราธิวาส!R52"")+IMPORTRANGE(""https://docs.google.com/spreadsheets/d/1SDNX3JhDdYRuIOsj0Wh2M-Qa_eaXl0NbWmhAOTbf"&amp;"QAs/edit?usp=sharing"",""ปัตตานี!R52"")+IMPORTRANGE(""https://docs.google.com/spreadsheets/d/16JDLGguT8s5DsGCND1KcwHP_AWR_zDMTqLHPLJUKhaU/edit?usp=sharing"",""พังงา!R52"")+IMPORTRANGE(""https://docs.google.com/spreadsheets/d/17ht0gPKzzT3PObBL1XJkeRmntBXI7"&amp;"wGjpLV7QorqlTk/edit?usp=sharing"",""พัทลุง!R52"")+IMPORTRANGE(""https://docs.google.com/spreadsheets/d/1rd4qoM1q_hsgaolqNGfrim9gbsoLxQsda4-vOz5x_BM/edit?usp=sharing"",""ภูเก็ต!R52"")+IMPORTRANGE(""https://docs.google.com/spreadsheets/d/1woKwKjgoLssDvPcPeV"&amp;"yezB5izizAn4X1JDrys69n6xI/edit?usp=sharing"",""ยะลา!R52"")+IMPORTRANGE(""https://docs.google.com/spreadsheets/d/1qfrKjzMhm2HJfxQ-qVlJlJQ25Hne1d0khsySbZyGtPA/edit?usp=sharing"",""ระนอง!R52"")+IMPORTRANGE(""https://docs.google.com/spreadsheets/d/1IbSCnFOKpZ"&amp;"snFogBHJnL_isstZVaOMnFiIN0fGTPZZw/edit?usp=sharing"",""สงขลา!R52"")+IMPORTRANGE(""https://docs.google.com/spreadsheets/d/1q9nWasZJ-K8bFGvbE9n0qSRuKGA4Toe3Y89cKCiVtCU/edit?usp=sharing"",""สตูล!R52"")+IMPORTRANGE(""https://docs.google.com/spreadsheets/d/18T"&amp;"20gbkS_WBjdscyTOV05cvq_JqvqQ17C81mpxf7Ncs/edit?usp=sharing"",""สุราษฎร์ธานี!R52"")"),0)</f>
        <v>0</v>
      </c>
      <c r="S52" s="47">
        <f ca="1">IFERROR(__xludf.DUMMYFUNCTION("IMPORTRANGE(""https://docs.google.com/spreadsheets/d/1kKUcYdkIfrgTSj8iHHHB2MD2FAtwyyocFgqGQn6ADyI/edit?usp=sharing"",""กระบี่!S52"")+IMPORTRANGE(""https://docs.google.com/spreadsheets/d/1GwtLaSlNZkLk7iDqcyZz22giiy40b_usZZBXYciEN1U/edit?usp=sharing"",""ชุม"&amp;"พร!S52"")+IMPORTRANGE(""https://docs.google.com/spreadsheets/d/16pAz3pOhQEZBhvFNMa5KGgZS6iKWpsKX0pg6tQmwFpo/edit?usp=sharing"",""ตรัง!S52"")+IMPORTRANGE(""https://docs.google.com/spreadsheets/d/1Dj4jcHCTV9JXKCaMoheSXS52JE63kDKyG7bPXnFogHk/edit?usp=sharing"&amp;""",""นครศรีธรรมราช!S52"")+IMPORTRANGE(""https://docs.google.com/spreadsheets/d/1iodCdmuK2GR3jzUwk8tpccY2JHQQA-87DLOtJP-ooyU/edit?usp=sharing"",""นราธิวาส!S52"")+IMPORTRANGE(""https://docs.google.com/spreadsheets/d/1SDNX3JhDdYRuIOsj0Wh2M-Qa_eaXl0NbWmhAOTbf"&amp;"QAs/edit?usp=sharing"",""ปัตตานี!S52"")+IMPORTRANGE(""https://docs.google.com/spreadsheets/d/16JDLGguT8s5DsGCND1KcwHP_AWR_zDMTqLHPLJUKhaU/edit?usp=sharing"",""พังงา!S52"")+IMPORTRANGE(""https://docs.google.com/spreadsheets/d/17ht0gPKzzT3PObBL1XJkeRmntBXI7"&amp;"wGjpLV7QorqlTk/edit?usp=sharing"",""พัทลุง!S52"")+IMPORTRANGE(""https://docs.google.com/spreadsheets/d/1rd4qoM1q_hsgaolqNGfrim9gbsoLxQsda4-vOz5x_BM/edit?usp=sharing"",""ภูเก็ต!S52"")+IMPORTRANGE(""https://docs.google.com/spreadsheets/d/1woKwKjgoLssDvPcPeV"&amp;"yezB5izizAn4X1JDrys69n6xI/edit?usp=sharing"",""ยะลา!S52"")+IMPORTRANGE(""https://docs.google.com/spreadsheets/d/1qfrKjzMhm2HJfxQ-qVlJlJQ25Hne1d0khsySbZyGtPA/edit?usp=sharing"",""ระนอง!S52"")+IMPORTRANGE(""https://docs.google.com/spreadsheets/d/1IbSCnFOKpZ"&amp;"snFogBHJnL_isstZVaOMnFiIN0fGTPZZw/edit?usp=sharing"",""สงขลา!S52"")+IMPORTRANGE(""https://docs.google.com/spreadsheets/d/1q9nWasZJ-K8bFGvbE9n0qSRuKGA4Toe3Y89cKCiVtCU/edit?usp=sharing"",""สตูล!S52"")+IMPORTRANGE(""https://docs.google.com/spreadsheets/d/18T"&amp;"20gbkS_WBjdscyTOV05cvq_JqvqQ17C81mpxf7Ncs/edit?usp=sharing"",""สุราษฎร์ธานี!S52"")"),0)</f>
        <v>0</v>
      </c>
      <c r="T52" s="47">
        <f t="shared" ca="1" si="26"/>
        <v>0</v>
      </c>
      <c r="U52" s="47">
        <f t="shared" ca="1" si="27"/>
        <v>0</v>
      </c>
    </row>
    <row r="53" spans="1:21" ht="18.75" hidden="1" x14ac:dyDescent="0.25">
      <c r="A53" s="40"/>
      <c r="B53" s="41"/>
      <c r="C53" s="41"/>
      <c r="D53" s="50" t="s">
        <v>24</v>
      </c>
      <c r="E53" s="41"/>
      <c r="F53" s="41"/>
      <c r="G53" s="43"/>
      <c r="H53" s="44" t="s">
        <v>14</v>
      </c>
      <c r="I53" s="45"/>
      <c r="J53" s="45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48" t="s">
        <v>20</v>
      </c>
      <c r="F54" s="41"/>
      <c r="G54" s="43"/>
      <c r="H54" s="44" t="s">
        <v>14</v>
      </c>
      <c r="I54" s="45"/>
      <c r="J54" s="45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91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97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100" t="s">
        <v>18</v>
      </c>
      <c r="D59" s="101" t="s">
        <v>19</v>
      </c>
      <c r="E59" s="99"/>
      <c r="F59" s="99"/>
      <c r="G59" s="102"/>
      <c r="H59" s="103" t="s">
        <v>14</v>
      </c>
      <c r="I59" s="104"/>
      <c r="J59" s="104"/>
      <c r="K59" s="105"/>
      <c r="L59" s="106">
        <f t="shared" ref="L59:N59" ca="1" si="36">L60+L61</f>
        <v>24879700</v>
      </c>
      <c r="M59" s="106">
        <f t="shared" ca="1" si="36"/>
        <v>25257722</v>
      </c>
      <c r="N59" s="106">
        <f t="shared" ca="1" si="36"/>
        <v>8969547.1300000008</v>
      </c>
      <c r="O59" s="106">
        <f t="shared" ref="O59:O67" ca="1" si="37">IF(L59&gt;0,N59*100/L59,0)</f>
        <v>36.051669151959231</v>
      </c>
      <c r="P59" s="106">
        <f t="shared" ref="P59:P67" ca="1" si="38">IF(M59&gt;0,N59*100/M59,0)</f>
        <v>35.512098557423357</v>
      </c>
      <c r="Q59" s="106">
        <f t="shared" ref="Q59:S59" ca="1" si="39">Q60+Q61</f>
        <v>0</v>
      </c>
      <c r="R59" s="106">
        <f t="shared" ca="1" si="39"/>
        <v>0</v>
      </c>
      <c r="S59" s="106">
        <f t="shared" ca="1" si="39"/>
        <v>0</v>
      </c>
      <c r="T59" s="106">
        <f t="shared" ref="T59:T67" ca="1" si="40">IF(Q59&gt;0,S59*100/Q59,0)</f>
        <v>0</v>
      </c>
      <c r="U59" s="106">
        <f t="shared" ref="U59:U67" ca="1" si="41">IF(R59&gt;0,S59*100/R59,0)</f>
        <v>0</v>
      </c>
    </row>
    <row r="60" spans="1:21" ht="18.75" hidden="1" x14ac:dyDescent="0.25">
      <c r="A60" s="98"/>
      <c r="B60" s="99"/>
      <c r="C60" s="99"/>
      <c r="D60" s="99"/>
      <c r="E60" s="107" t="s">
        <v>20</v>
      </c>
      <c r="F60" s="99"/>
      <c r="G60" s="102"/>
      <c r="H60" s="108" t="s">
        <v>14</v>
      </c>
      <c r="I60" s="104"/>
      <c r="J60" s="104"/>
      <c r="K60" s="105"/>
      <c r="L60" s="109">
        <f t="shared" ref="L60:N60" ca="1" si="42">L63+L66</f>
        <v>0</v>
      </c>
      <c r="M60" s="109">
        <f t="shared" ca="1" si="42"/>
        <v>0</v>
      </c>
      <c r="N60" s="109">
        <f t="shared" ca="1" si="42"/>
        <v>0</v>
      </c>
      <c r="O60" s="109">
        <f t="shared" ca="1" si="37"/>
        <v>0</v>
      </c>
      <c r="P60" s="109">
        <f t="shared" ca="1" si="38"/>
        <v>0</v>
      </c>
      <c r="Q60" s="109">
        <f t="shared" ref="Q60:S60" ca="1" si="43">Q63+Q66</f>
        <v>0</v>
      </c>
      <c r="R60" s="109">
        <f t="shared" ca="1" si="43"/>
        <v>0</v>
      </c>
      <c r="S60" s="109">
        <f t="shared" ca="1" si="43"/>
        <v>0</v>
      </c>
      <c r="T60" s="110">
        <f t="shared" ca="1" si="40"/>
        <v>0</v>
      </c>
      <c r="U60" s="110">
        <f t="shared" ca="1" si="41"/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109">
        <f t="shared" ref="L61:N61" ca="1" si="44">L64+L67</f>
        <v>24879700</v>
      </c>
      <c r="M61" s="109">
        <f t="shared" ca="1" si="44"/>
        <v>25257722</v>
      </c>
      <c r="N61" s="109">
        <f t="shared" ca="1" si="44"/>
        <v>8969547.1300000008</v>
      </c>
      <c r="O61" s="109">
        <f t="shared" ca="1" si="37"/>
        <v>36.051669151959231</v>
      </c>
      <c r="P61" s="109">
        <f t="shared" ca="1" si="38"/>
        <v>35.512098557423357</v>
      </c>
      <c r="Q61" s="109">
        <f t="shared" ref="Q61:S61" ca="1" si="45">Q64+Q67</f>
        <v>0</v>
      </c>
      <c r="R61" s="109">
        <f t="shared" ca="1" si="45"/>
        <v>0</v>
      </c>
      <c r="S61" s="109">
        <f t="shared" ca="1" si="45"/>
        <v>0</v>
      </c>
      <c r="T61" s="109">
        <f t="shared" ca="1" si="40"/>
        <v>0</v>
      </c>
      <c r="U61" s="109">
        <f t="shared" ca="1" si="41"/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47">
        <f t="shared" ref="L62:N62" ca="1" si="46">L63+L64</f>
        <v>8933700</v>
      </c>
      <c r="M62" s="47">
        <f t="shared" ca="1" si="46"/>
        <v>9411722</v>
      </c>
      <c r="N62" s="47">
        <f t="shared" ca="1" si="46"/>
        <v>7431950.7400000002</v>
      </c>
      <c r="O62" s="47">
        <f t="shared" ca="1" si="37"/>
        <v>83.190063915287055</v>
      </c>
      <c r="P62" s="47">
        <f t="shared" ca="1" si="38"/>
        <v>78.964834915438431</v>
      </c>
      <c r="Q62" s="47">
        <f t="shared" ref="Q62:S62" ca="1" si="47">Q63+Q64</f>
        <v>0</v>
      </c>
      <c r="R62" s="47">
        <f t="shared" ca="1" si="47"/>
        <v>0</v>
      </c>
      <c r="S62" s="47">
        <f t="shared" ca="1" si="47"/>
        <v>0</v>
      </c>
      <c r="T62" s="47">
        <f t="shared" ca="1" si="40"/>
        <v>0</v>
      </c>
      <c r="U62" s="47">
        <f t="shared" ca="1" si="41"/>
        <v>0</v>
      </c>
    </row>
    <row r="63" spans="1:21" ht="18.75" hidden="1" x14ac:dyDescent="0.25">
      <c r="A63" s="40"/>
      <c r="B63" s="41"/>
      <c r="C63" s="41"/>
      <c r="D63" s="41"/>
      <c r="E63" s="48" t="s">
        <v>20</v>
      </c>
      <c r="F63" s="41"/>
      <c r="G63" s="43"/>
      <c r="H63" s="44" t="s">
        <v>14</v>
      </c>
      <c r="I63" s="45"/>
      <c r="J63" s="45"/>
      <c r="K63" s="46"/>
      <c r="L63" s="47">
        <f ca="1">IFERROR(__xludf.DUMMYFUNCTION("IMPORTRANGE(""https://docs.google.com/spreadsheets/d/1kKUcYdkIfrgTSj8iHHHB2MD2FAtwyyocFgqGQn6ADyI/edit?usp=sharing"",""กระบี่!L63"")+IMPORTRANGE(""https://docs.google.com/spreadsheets/d/1GwtLaSlNZkLk7iDqcyZz22giiy40b_usZZBXYciEN1U/edit?usp=sharing"",""ชุม"&amp;"พร!L63"")+IMPORTRANGE(""https://docs.google.com/spreadsheets/d/16pAz3pOhQEZBhvFNMa5KGgZS6iKWpsKX0pg6tQmwFpo/edit?usp=sharing"",""ตรัง!L63"")+IMPORTRANGE(""https://docs.google.com/spreadsheets/d/1Dj4jcHCTV9JXKCaMoheSXS52JE63kDKyG7bPXnFogHk/edit?usp=sharing"&amp;""",""นครศรีธรรมราช!L63"")+IMPORTRANGE(""https://docs.google.com/spreadsheets/d/1iodCdmuK2GR3jzUwk8tpccY2JHQQA-87DLOtJP-ooyU/edit?usp=sharing"",""นราธิวาส!L63"")+IMPORTRANGE(""https://docs.google.com/spreadsheets/d/1SDNX3JhDdYRuIOsj0Wh2M-Qa_eaXl0NbWmhAOTbf"&amp;"QAs/edit?usp=sharing"",""ปัตตานี!L63"")+IMPORTRANGE(""https://docs.google.com/spreadsheets/d/16JDLGguT8s5DsGCND1KcwHP_AWR_zDMTqLHPLJUKhaU/edit?usp=sharing"",""พังงา!L63"")+IMPORTRANGE(""https://docs.google.com/spreadsheets/d/17ht0gPKzzT3PObBL1XJkeRmntBXI7"&amp;"wGjpLV7QorqlTk/edit?usp=sharing"",""พัทลุง!L63"")+IMPORTRANGE(""https://docs.google.com/spreadsheets/d/1rd4qoM1q_hsgaolqNGfrim9gbsoLxQsda4-vOz5x_BM/edit?usp=sharing"",""ภูเก็ต!L63"")+IMPORTRANGE(""https://docs.google.com/spreadsheets/d/1woKwKjgoLssDvPcPeV"&amp;"yezB5izizAn4X1JDrys69n6xI/edit?usp=sharing"",""ยะลา!L63"")+IMPORTRANGE(""https://docs.google.com/spreadsheets/d/1qfrKjzMhm2HJfxQ-qVlJlJQ25Hne1d0khsySbZyGtPA/edit?usp=sharing"",""ระนอง!L63"")+IMPORTRANGE(""https://docs.google.com/spreadsheets/d/1IbSCnFOKpZ"&amp;"snFogBHJnL_isstZVaOMnFiIN0fGTPZZw/edit?usp=sharing"",""สงขลา!L63"")+IMPORTRANGE(""https://docs.google.com/spreadsheets/d/1q9nWasZJ-K8bFGvbE9n0qSRuKGA4Toe3Y89cKCiVtCU/edit?usp=sharing"",""สตูล!L63"")+IMPORTRANGE(""https://docs.google.com/spreadsheets/d/18T"&amp;"20gbkS_WBjdscyTOV05cvq_JqvqQ17C81mpxf7Ncs/edit?usp=sharing"",""สุราษฎร์ธานี!L63"")"),0)</f>
        <v>0</v>
      </c>
      <c r="M63" s="47">
        <f ca="1">IFERROR(__xludf.DUMMYFUNCTION("IMPORTRANGE(""https://docs.google.com/spreadsheets/d/1kKUcYdkIfrgTSj8iHHHB2MD2FAtwyyocFgqGQn6ADyI/edit?usp=sharing"",""กระบี่!M63"")+IMPORTRANGE(""https://docs.google.com/spreadsheets/d/1GwtLaSlNZkLk7iDqcyZz22giiy40b_usZZBXYciEN1U/edit?usp=sharing"",""ชุม"&amp;"พร!M63"")+IMPORTRANGE(""https://docs.google.com/spreadsheets/d/16pAz3pOhQEZBhvFNMa5KGgZS6iKWpsKX0pg6tQmwFpo/edit?usp=sharing"",""ตรัง!M63"")+IMPORTRANGE(""https://docs.google.com/spreadsheets/d/1Dj4jcHCTV9JXKCaMoheSXS52JE63kDKyG7bPXnFogHk/edit?usp=sharing"&amp;""",""นครศรีธรรมราช!M63"")+IMPORTRANGE(""https://docs.google.com/spreadsheets/d/1iodCdmuK2GR3jzUwk8tpccY2JHQQA-87DLOtJP-ooyU/edit?usp=sharing"",""นราธิวาส!M63"")+IMPORTRANGE(""https://docs.google.com/spreadsheets/d/1SDNX3JhDdYRuIOsj0Wh2M-Qa_eaXl0NbWmhAOTbf"&amp;"QAs/edit?usp=sharing"",""ปัตตานี!M63"")+IMPORTRANGE(""https://docs.google.com/spreadsheets/d/16JDLGguT8s5DsGCND1KcwHP_AWR_zDMTqLHPLJUKhaU/edit?usp=sharing"",""พังงา!M63"")+IMPORTRANGE(""https://docs.google.com/spreadsheets/d/17ht0gPKzzT3PObBL1XJkeRmntBXI7"&amp;"wGjpLV7QorqlTk/edit?usp=sharing"",""พัทลุง!M63"")+IMPORTRANGE(""https://docs.google.com/spreadsheets/d/1rd4qoM1q_hsgaolqNGfrim9gbsoLxQsda4-vOz5x_BM/edit?usp=sharing"",""ภูเก็ต!M63"")+IMPORTRANGE(""https://docs.google.com/spreadsheets/d/1woKwKjgoLssDvPcPeV"&amp;"yezB5izizAn4X1JDrys69n6xI/edit?usp=sharing"",""ยะลา!M63"")+IMPORTRANGE(""https://docs.google.com/spreadsheets/d/1qfrKjzMhm2HJfxQ-qVlJlJQ25Hne1d0khsySbZyGtPA/edit?usp=sharing"",""ระนอง!M63"")+IMPORTRANGE(""https://docs.google.com/spreadsheets/d/1IbSCnFOKpZ"&amp;"snFogBHJnL_isstZVaOMnFiIN0fGTPZZw/edit?usp=sharing"",""สงขลา!M63"")+IMPORTRANGE(""https://docs.google.com/spreadsheets/d/1q9nWasZJ-K8bFGvbE9n0qSRuKGA4Toe3Y89cKCiVtCU/edit?usp=sharing"",""สตูล!M63"")+IMPORTRANGE(""https://docs.google.com/spreadsheets/d/18T"&amp;"20gbkS_WBjdscyTOV05cvq_JqvqQ17C81mpxf7Ncs/edit?usp=sharing"",""สุราษฎร์ธานี!M63"")"),0)</f>
        <v>0</v>
      </c>
      <c r="N63" s="47">
        <f ca="1">IFERROR(__xludf.DUMMYFUNCTION("IMPORTRANGE(""https://docs.google.com/spreadsheets/d/1kKUcYdkIfrgTSj8iHHHB2MD2FAtwyyocFgqGQn6ADyI/edit?usp=sharing"",""กระบี่!N63"")+IMPORTRANGE(""https://docs.google.com/spreadsheets/d/1GwtLaSlNZkLk7iDqcyZz22giiy40b_usZZBXYciEN1U/edit?usp=sharing"",""ชุม"&amp;"พร!N63"")+IMPORTRANGE(""https://docs.google.com/spreadsheets/d/16pAz3pOhQEZBhvFNMa5KGgZS6iKWpsKX0pg6tQmwFpo/edit?usp=sharing"",""ตรัง!N63"")+IMPORTRANGE(""https://docs.google.com/spreadsheets/d/1Dj4jcHCTV9JXKCaMoheSXS52JE63kDKyG7bPXnFogHk/edit?usp=sharing"&amp;""",""นครศรีธรรมราช!N63"")+IMPORTRANGE(""https://docs.google.com/spreadsheets/d/1iodCdmuK2GR3jzUwk8tpccY2JHQQA-87DLOtJP-ooyU/edit?usp=sharing"",""นราธิวาส!N63"")+IMPORTRANGE(""https://docs.google.com/spreadsheets/d/1SDNX3JhDdYRuIOsj0Wh2M-Qa_eaXl0NbWmhAOTbf"&amp;"QAs/edit?usp=sharing"",""ปัตตานี!N63"")+IMPORTRANGE(""https://docs.google.com/spreadsheets/d/16JDLGguT8s5DsGCND1KcwHP_AWR_zDMTqLHPLJUKhaU/edit?usp=sharing"",""พังงา!N63"")+IMPORTRANGE(""https://docs.google.com/spreadsheets/d/17ht0gPKzzT3PObBL1XJkeRmntBXI7"&amp;"wGjpLV7QorqlTk/edit?usp=sharing"",""พัทลุง!N63"")+IMPORTRANGE(""https://docs.google.com/spreadsheets/d/1rd4qoM1q_hsgaolqNGfrim9gbsoLxQsda4-vOz5x_BM/edit?usp=sharing"",""ภูเก็ต!N63"")+IMPORTRANGE(""https://docs.google.com/spreadsheets/d/1woKwKjgoLssDvPcPeV"&amp;"yezB5izizAn4X1JDrys69n6xI/edit?usp=sharing"",""ยะลา!N63"")+IMPORTRANGE(""https://docs.google.com/spreadsheets/d/1qfrKjzMhm2HJfxQ-qVlJlJQ25Hne1d0khsySbZyGtPA/edit?usp=sharing"",""ระนอง!N63"")+IMPORTRANGE(""https://docs.google.com/spreadsheets/d/1IbSCnFOKpZ"&amp;"snFogBHJnL_isstZVaOMnFiIN0fGTPZZw/edit?usp=sharing"",""สงขลา!N63"")+IMPORTRANGE(""https://docs.google.com/spreadsheets/d/1q9nWasZJ-K8bFGvbE9n0qSRuKGA4Toe3Y89cKCiVtCU/edit?usp=sharing"",""สตูล!N63"")+IMPORTRANGE(""https://docs.google.com/spreadsheets/d/18T"&amp;"20gbkS_WBjdscyTOV05cvq_JqvqQ17C81mpxf7Ncs/edit?usp=sharing"",""สุราษฎร์ธานี!N63"")"),0)</f>
        <v>0</v>
      </c>
      <c r="O63" s="47">
        <f t="shared" ca="1" si="37"/>
        <v>0</v>
      </c>
      <c r="P63" s="47">
        <f t="shared" ca="1" si="38"/>
        <v>0</v>
      </c>
      <c r="Q63" s="47">
        <f ca="1">IFERROR(__xludf.DUMMYFUNCTION("IMPORTRANGE(""https://docs.google.com/spreadsheets/d/1kKUcYdkIfrgTSj8iHHHB2MD2FAtwyyocFgqGQn6ADyI/edit?usp=sharing"",""กระบี่!Q63"")+IMPORTRANGE(""https://docs.google.com/spreadsheets/d/1GwtLaSlNZkLk7iDqcyZz22giiy40b_usZZBXYciEN1U/edit?usp=sharing"",""ชุม"&amp;"พร!Q63"")+IMPORTRANGE(""https://docs.google.com/spreadsheets/d/16pAz3pOhQEZBhvFNMa5KGgZS6iKWpsKX0pg6tQmwFpo/edit?usp=sharing"",""ตรัง!Q63"")+IMPORTRANGE(""https://docs.google.com/spreadsheets/d/1Dj4jcHCTV9JXKCaMoheSXS52JE63kDKyG7bPXnFogHk/edit?usp=sharing"&amp;""",""นครศรีธรรมราช!Q63"")+IMPORTRANGE(""https://docs.google.com/spreadsheets/d/1iodCdmuK2GR3jzUwk8tpccY2JHQQA-87DLOtJP-ooyU/edit?usp=sharing"",""นราธิวาส!Q63"")+IMPORTRANGE(""https://docs.google.com/spreadsheets/d/1SDNX3JhDdYRuIOsj0Wh2M-Qa_eaXl0NbWmhAOTbf"&amp;"QAs/edit?usp=sharing"",""ปัตตานี!Q63"")+IMPORTRANGE(""https://docs.google.com/spreadsheets/d/16JDLGguT8s5DsGCND1KcwHP_AWR_zDMTqLHPLJUKhaU/edit?usp=sharing"",""พังงา!Q63"")+IMPORTRANGE(""https://docs.google.com/spreadsheets/d/17ht0gPKzzT3PObBL1XJkeRmntBXI7"&amp;"wGjpLV7QorqlTk/edit?usp=sharing"",""พัทลุง!Q63"")+IMPORTRANGE(""https://docs.google.com/spreadsheets/d/1rd4qoM1q_hsgaolqNGfrim9gbsoLxQsda4-vOz5x_BM/edit?usp=sharing"",""ภูเก็ต!Q63"")+IMPORTRANGE(""https://docs.google.com/spreadsheets/d/1woKwKjgoLssDvPcPeV"&amp;"yezB5izizAn4X1JDrys69n6xI/edit?usp=sharing"",""ยะลา!Q63"")+IMPORTRANGE(""https://docs.google.com/spreadsheets/d/1qfrKjzMhm2HJfxQ-qVlJlJQ25Hne1d0khsySbZyGtPA/edit?usp=sharing"",""ระนอง!Q63"")+IMPORTRANGE(""https://docs.google.com/spreadsheets/d/1IbSCnFOKpZ"&amp;"snFogBHJnL_isstZVaOMnFiIN0fGTPZZw/edit?usp=sharing"",""สงขลา!Q63"")+IMPORTRANGE(""https://docs.google.com/spreadsheets/d/1q9nWasZJ-K8bFGvbE9n0qSRuKGA4Toe3Y89cKCiVtCU/edit?usp=sharing"",""สตูล!Q63"")+IMPORTRANGE(""https://docs.google.com/spreadsheets/d/18T"&amp;"20gbkS_WBjdscyTOV05cvq_JqvqQ17C81mpxf7Ncs/edit?usp=sharing"",""สุราษฎร์ธานี!Q63"")"),0)</f>
        <v>0</v>
      </c>
      <c r="R63" s="47">
        <f ca="1">IFERROR(__xludf.DUMMYFUNCTION("IMPORTRANGE(""https://docs.google.com/spreadsheets/d/1kKUcYdkIfrgTSj8iHHHB2MD2FAtwyyocFgqGQn6ADyI/edit?usp=sharing"",""กระบี่!R63"")+IMPORTRANGE(""https://docs.google.com/spreadsheets/d/1GwtLaSlNZkLk7iDqcyZz22giiy40b_usZZBXYciEN1U/edit?usp=sharing"",""ชุม"&amp;"พร!R63"")+IMPORTRANGE(""https://docs.google.com/spreadsheets/d/16pAz3pOhQEZBhvFNMa5KGgZS6iKWpsKX0pg6tQmwFpo/edit?usp=sharing"",""ตรัง!R63"")+IMPORTRANGE(""https://docs.google.com/spreadsheets/d/1Dj4jcHCTV9JXKCaMoheSXS52JE63kDKyG7bPXnFogHk/edit?usp=sharing"&amp;""",""นครศรีธรรมราช!R63"")+IMPORTRANGE(""https://docs.google.com/spreadsheets/d/1iodCdmuK2GR3jzUwk8tpccY2JHQQA-87DLOtJP-ooyU/edit?usp=sharing"",""นราธิวาส!R63"")+IMPORTRANGE(""https://docs.google.com/spreadsheets/d/1SDNX3JhDdYRuIOsj0Wh2M-Qa_eaXl0NbWmhAOTbf"&amp;"QAs/edit?usp=sharing"",""ปัตตานี!R63"")+IMPORTRANGE(""https://docs.google.com/spreadsheets/d/16JDLGguT8s5DsGCND1KcwHP_AWR_zDMTqLHPLJUKhaU/edit?usp=sharing"",""พังงา!R63"")+IMPORTRANGE(""https://docs.google.com/spreadsheets/d/17ht0gPKzzT3PObBL1XJkeRmntBXI7"&amp;"wGjpLV7QorqlTk/edit?usp=sharing"",""พัทลุง!R63"")+IMPORTRANGE(""https://docs.google.com/spreadsheets/d/1rd4qoM1q_hsgaolqNGfrim9gbsoLxQsda4-vOz5x_BM/edit?usp=sharing"",""ภูเก็ต!R63"")+IMPORTRANGE(""https://docs.google.com/spreadsheets/d/1woKwKjgoLssDvPcPeV"&amp;"yezB5izizAn4X1JDrys69n6xI/edit?usp=sharing"",""ยะลา!R63"")+IMPORTRANGE(""https://docs.google.com/spreadsheets/d/1qfrKjzMhm2HJfxQ-qVlJlJQ25Hne1d0khsySbZyGtPA/edit?usp=sharing"",""ระนอง!R63"")+IMPORTRANGE(""https://docs.google.com/spreadsheets/d/1IbSCnFOKpZ"&amp;"snFogBHJnL_isstZVaOMnFiIN0fGTPZZw/edit?usp=sharing"",""สงขลา!R63"")+IMPORTRANGE(""https://docs.google.com/spreadsheets/d/1q9nWasZJ-K8bFGvbE9n0qSRuKGA4Toe3Y89cKCiVtCU/edit?usp=sharing"",""สตูล!R63"")+IMPORTRANGE(""https://docs.google.com/spreadsheets/d/18T"&amp;"20gbkS_WBjdscyTOV05cvq_JqvqQ17C81mpxf7Ncs/edit?usp=sharing"",""สุราษฎร์ธานี!R63"")"),0)</f>
        <v>0</v>
      </c>
      <c r="S63" s="47">
        <f ca="1">IFERROR(__xludf.DUMMYFUNCTION("IMPORTRANGE(""https://docs.google.com/spreadsheets/d/1kKUcYdkIfrgTSj8iHHHB2MD2FAtwyyocFgqGQn6ADyI/edit?usp=sharing"",""กระบี่!S63"")+IMPORTRANGE(""https://docs.google.com/spreadsheets/d/1GwtLaSlNZkLk7iDqcyZz22giiy40b_usZZBXYciEN1U/edit?usp=sharing"",""ชุม"&amp;"พร!S63"")+IMPORTRANGE(""https://docs.google.com/spreadsheets/d/16pAz3pOhQEZBhvFNMa5KGgZS6iKWpsKX0pg6tQmwFpo/edit?usp=sharing"",""ตรัง!S63"")+IMPORTRANGE(""https://docs.google.com/spreadsheets/d/1Dj4jcHCTV9JXKCaMoheSXS52JE63kDKyG7bPXnFogHk/edit?usp=sharing"&amp;""",""นครศรีธรรมราช!S63"")+IMPORTRANGE(""https://docs.google.com/spreadsheets/d/1iodCdmuK2GR3jzUwk8tpccY2JHQQA-87DLOtJP-ooyU/edit?usp=sharing"",""นราธิวาส!S63"")+IMPORTRANGE(""https://docs.google.com/spreadsheets/d/1SDNX3JhDdYRuIOsj0Wh2M-Qa_eaXl0NbWmhAOTbf"&amp;"QAs/edit?usp=sharing"",""ปัตตานี!S63"")+IMPORTRANGE(""https://docs.google.com/spreadsheets/d/16JDLGguT8s5DsGCND1KcwHP_AWR_zDMTqLHPLJUKhaU/edit?usp=sharing"",""พังงา!S63"")+IMPORTRANGE(""https://docs.google.com/spreadsheets/d/17ht0gPKzzT3PObBL1XJkeRmntBXI7"&amp;"wGjpLV7QorqlTk/edit?usp=sharing"",""พัทลุง!S63"")+IMPORTRANGE(""https://docs.google.com/spreadsheets/d/1rd4qoM1q_hsgaolqNGfrim9gbsoLxQsda4-vOz5x_BM/edit?usp=sharing"",""ภูเก็ต!S63"")+IMPORTRANGE(""https://docs.google.com/spreadsheets/d/1woKwKjgoLssDvPcPeV"&amp;"yezB5izizAn4X1JDrys69n6xI/edit?usp=sharing"",""ยะลา!S63"")+IMPORTRANGE(""https://docs.google.com/spreadsheets/d/1qfrKjzMhm2HJfxQ-qVlJlJQ25Hne1d0khsySbZyGtPA/edit?usp=sharing"",""ระนอง!S63"")+IMPORTRANGE(""https://docs.google.com/spreadsheets/d/1IbSCnFOKpZ"&amp;"snFogBHJnL_isstZVaOMnFiIN0fGTPZZw/edit?usp=sharing"",""สงขลา!S63"")+IMPORTRANGE(""https://docs.google.com/spreadsheets/d/1q9nWasZJ-K8bFGvbE9n0qSRuKGA4Toe3Y89cKCiVtCU/edit?usp=sharing"",""สตูล!S63"")+IMPORTRANGE(""https://docs.google.com/spreadsheets/d/18T"&amp;"20gbkS_WBjdscyTOV05cvq_JqvqQ17C81mpxf7Ncs/edit?usp=sharing"",""สุราษฎร์ธานี!S63"")"),0)</f>
        <v>0</v>
      </c>
      <c r="T63" s="49">
        <f t="shared" ca="1" si="40"/>
        <v>0</v>
      </c>
      <c r="U63" s="49">
        <f t="shared" ca="1" si="41"/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47">
        <f ca="1">IFERROR(__xludf.DUMMYFUNCTION("IMPORTRANGE(""https://docs.google.com/spreadsheets/d/1kKUcYdkIfrgTSj8iHHHB2MD2FAtwyyocFgqGQn6ADyI/edit?usp=sharing"",""กระบี่!L64"")+IMPORTRANGE(""https://docs.google.com/spreadsheets/d/1GwtLaSlNZkLk7iDqcyZz22giiy40b_usZZBXYciEN1U/edit?usp=sharing"",""ชุม"&amp;"พร!L64"")+IMPORTRANGE(""https://docs.google.com/spreadsheets/d/16pAz3pOhQEZBhvFNMa5KGgZS6iKWpsKX0pg6tQmwFpo/edit?usp=sharing"",""ตรัง!L64"")+IMPORTRANGE(""https://docs.google.com/spreadsheets/d/1Dj4jcHCTV9JXKCaMoheSXS52JE63kDKyG7bPXnFogHk/edit?usp=sharing"&amp;""",""นครศรีธรรมราช!L64"")+IMPORTRANGE(""https://docs.google.com/spreadsheets/d/1iodCdmuK2GR3jzUwk8tpccY2JHQQA-87DLOtJP-ooyU/edit?usp=sharing"",""นราธิวาส!L64"")+IMPORTRANGE(""https://docs.google.com/spreadsheets/d/1SDNX3JhDdYRuIOsj0Wh2M-Qa_eaXl0NbWmhAOTbf"&amp;"QAs/edit?usp=sharing"",""ปัตตานี!L64"")+IMPORTRANGE(""https://docs.google.com/spreadsheets/d/16JDLGguT8s5DsGCND1KcwHP_AWR_zDMTqLHPLJUKhaU/edit?usp=sharing"",""พังงา!L64"")+IMPORTRANGE(""https://docs.google.com/spreadsheets/d/17ht0gPKzzT3PObBL1XJkeRmntBXI7"&amp;"wGjpLV7QorqlTk/edit?usp=sharing"",""พัทลุง!L64"")+IMPORTRANGE(""https://docs.google.com/spreadsheets/d/1rd4qoM1q_hsgaolqNGfrim9gbsoLxQsda4-vOz5x_BM/edit?usp=sharing"",""ภูเก็ต!L64"")+IMPORTRANGE(""https://docs.google.com/spreadsheets/d/1woKwKjgoLssDvPcPeV"&amp;"yezB5izizAn4X1JDrys69n6xI/edit?usp=sharing"",""ยะลา!L64"")+IMPORTRANGE(""https://docs.google.com/spreadsheets/d/1qfrKjzMhm2HJfxQ-qVlJlJQ25Hne1d0khsySbZyGtPA/edit?usp=sharing"",""ระนอง!L64"")+IMPORTRANGE(""https://docs.google.com/spreadsheets/d/1IbSCnFOKpZ"&amp;"snFogBHJnL_isstZVaOMnFiIN0fGTPZZw/edit?usp=sharing"",""สงขลา!L64"")+IMPORTRANGE(""https://docs.google.com/spreadsheets/d/1q9nWasZJ-K8bFGvbE9n0qSRuKGA4Toe3Y89cKCiVtCU/edit?usp=sharing"",""สตูล!L64"")+IMPORTRANGE(""https://docs.google.com/spreadsheets/d/18T"&amp;"20gbkS_WBjdscyTOV05cvq_JqvqQ17C81mpxf7Ncs/edit?usp=sharing"",""สุราษฎร์ธานี!L64"")"),8933700)</f>
        <v>8933700</v>
      </c>
      <c r="M64" s="47">
        <f ca="1">IFERROR(__xludf.DUMMYFUNCTION("IMPORTRANGE(""https://docs.google.com/spreadsheets/d/1kKUcYdkIfrgTSj8iHHHB2MD2FAtwyyocFgqGQn6ADyI/edit?usp=sharing"",""กระบี่!M64"")+IMPORTRANGE(""https://docs.google.com/spreadsheets/d/1GwtLaSlNZkLk7iDqcyZz22giiy40b_usZZBXYciEN1U/edit?usp=sharing"",""ชุม"&amp;"พร!M64"")+IMPORTRANGE(""https://docs.google.com/spreadsheets/d/16pAz3pOhQEZBhvFNMa5KGgZS6iKWpsKX0pg6tQmwFpo/edit?usp=sharing"",""ตรัง!M64"")+IMPORTRANGE(""https://docs.google.com/spreadsheets/d/1Dj4jcHCTV9JXKCaMoheSXS52JE63kDKyG7bPXnFogHk/edit?usp=sharing"&amp;""",""นครศรีธรรมราช!M64"")+IMPORTRANGE(""https://docs.google.com/spreadsheets/d/1iodCdmuK2GR3jzUwk8tpccY2JHQQA-87DLOtJP-ooyU/edit?usp=sharing"",""นราธิวาส!M64"")+IMPORTRANGE(""https://docs.google.com/spreadsheets/d/1SDNX3JhDdYRuIOsj0Wh2M-Qa_eaXl0NbWmhAOTbf"&amp;"QAs/edit?usp=sharing"",""ปัตตานี!M64"")+IMPORTRANGE(""https://docs.google.com/spreadsheets/d/16JDLGguT8s5DsGCND1KcwHP_AWR_zDMTqLHPLJUKhaU/edit?usp=sharing"",""พังงา!M64"")+IMPORTRANGE(""https://docs.google.com/spreadsheets/d/17ht0gPKzzT3PObBL1XJkeRmntBXI7"&amp;"wGjpLV7QorqlTk/edit?usp=sharing"",""พัทลุง!M64"")+IMPORTRANGE(""https://docs.google.com/spreadsheets/d/1rd4qoM1q_hsgaolqNGfrim9gbsoLxQsda4-vOz5x_BM/edit?usp=sharing"",""ภูเก็ต!M64"")+IMPORTRANGE(""https://docs.google.com/spreadsheets/d/1woKwKjgoLssDvPcPeV"&amp;"yezB5izizAn4X1JDrys69n6xI/edit?usp=sharing"",""ยะลา!M64"")+IMPORTRANGE(""https://docs.google.com/spreadsheets/d/1qfrKjzMhm2HJfxQ-qVlJlJQ25Hne1d0khsySbZyGtPA/edit?usp=sharing"",""ระนอง!M64"")+IMPORTRANGE(""https://docs.google.com/spreadsheets/d/1IbSCnFOKpZ"&amp;"snFogBHJnL_isstZVaOMnFiIN0fGTPZZw/edit?usp=sharing"",""สงขลา!M64"")+IMPORTRANGE(""https://docs.google.com/spreadsheets/d/1q9nWasZJ-K8bFGvbE9n0qSRuKGA4Toe3Y89cKCiVtCU/edit?usp=sharing"",""สตูล!M64"")+IMPORTRANGE(""https://docs.google.com/spreadsheets/d/18T"&amp;"20gbkS_WBjdscyTOV05cvq_JqvqQ17C81mpxf7Ncs/edit?usp=sharing"",""สุราษฎร์ธานี!M64"")"),9411722)</f>
        <v>9411722</v>
      </c>
      <c r="N64" s="47">
        <f ca="1">IFERROR(__xludf.DUMMYFUNCTION("IMPORTRANGE(""https://docs.google.com/spreadsheets/d/1kKUcYdkIfrgTSj8iHHHB2MD2FAtwyyocFgqGQn6ADyI/edit?usp=sharing"",""กระบี่!N64"")+IMPORTRANGE(""https://docs.google.com/spreadsheets/d/1GwtLaSlNZkLk7iDqcyZz22giiy40b_usZZBXYciEN1U/edit?usp=sharing"",""ชุม"&amp;"พร!N64"")+IMPORTRANGE(""https://docs.google.com/spreadsheets/d/16pAz3pOhQEZBhvFNMa5KGgZS6iKWpsKX0pg6tQmwFpo/edit?usp=sharing"",""ตรัง!N64"")+IMPORTRANGE(""https://docs.google.com/spreadsheets/d/1Dj4jcHCTV9JXKCaMoheSXS52JE63kDKyG7bPXnFogHk/edit?usp=sharing"&amp;""",""นครศรีธรรมราช!N64"")+IMPORTRANGE(""https://docs.google.com/spreadsheets/d/1iodCdmuK2GR3jzUwk8tpccY2JHQQA-87DLOtJP-ooyU/edit?usp=sharing"",""นราธิวาส!N64"")+IMPORTRANGE(""https://docs.google.com/spreadsheets/d/1SDNX3JhDdYRuIOsj0Wh2M-Qa_eaXl0NbWmhAOTbf"&amp;"QAs/edit?usp=sharing"",""ปัตตานี!N64"")+IMPORTRANGE(""https://docs.google.com/spreadsheets/d/16JDLGguT8s5DsGCND1KcwHP_AWR_zDMTqLHPLJUKhaU/edit?usp=sharing"",""พังงา!N64"")+IMPORTRANGE(""https://docs.google.com/spreadsheets/d/17ht0gPKzzT3PObBL1XJkeRmntBXI7"&amp;"wGjpLV7QorqlTk/edit?usp=sharing"",""พัทลุง!N64"")+IMPORTRANGE(""https://docs.google.com/spreadsheets/d/1rd4qoM1q_hsgaolqNGfrim9gbsoLxQsda4-vOz5x_BM/edit?usp=sharing"",""ภูเก็ต!N64"")+IMPORTRANGE(""https://docs.google.com/spreadsheets/d/1woKwKjgoLssDvPcPeV"&amp;"yezB5izizAn4X1JDrys69n6xI/edit?usp=sharing"",""ยะลา!N64"")+IMPORTRANGE(""https://docs.google.com/spreadsheets/d/1qfrKjzMhm2HJfxQ-qVlJlJQ25Hne1d0khsySbZyGtPA/edit?usp=sharing"",""ระนอง!N64"")+IMPORTRANGE(""https://docs.google.com/spreadsheets/d/1IbSCnFOKpZ"&amp;"snFogBHJnL_isstZVaOMnFiIN0fGTPZZw/edit?usp=sharing"",""สงขลา!N64"")+IMPORTRANGE(""https://docs.google.com/spreadsheets/d/1q9nWasZJ-K8bFGvbE9n0qSRuKGA4Toe3Y89cKCiVtCU/edit?usp=sharing"",""สตูล!N64"")+IMPORTRANGE(""https://docs.google.com/spreadsheets/d/18T"&amp;"20gbkS_WBjdscyTOV05cvq_JqvqQ17C81mpxf7Ncs/edit?usp=sharing"",""สุราษฎร์ธานี!N64"")"),7431950.74)</f>
        <v>7431950.7400000002</v>
      </c>
      <c r="O64" s="47">
        <f t="shared" ca="1" si="37"/>
        <v>83.190063915287055</v>
      </c>
      <c r="P64" s="47">
        <f t="shared" ca="1" si="38"/>
        <v>78.964834915438431</v>
      </c>
      <c r="Q64" s="47">
        <f ca="1">IFERROR(__xludf.DUMMYFUNCTION("IMPORTRANGE(""https://docs.google.com/spreadsheets/d/1kKUcYdkIfrgTSj8iHHHB2MD2FAtwyyocFgqGQn6ADyI/edit?usp=sharing"",""กระบี่!Q64"")+IMPORTRANGE(""https://docs.google.com/spreadsheets/d/1GwtLaSlNZkLk7iDqcyZz22giiy40b_usZZBXYciEN1U/edit?usp=sharing"",""ชุม"&amp;"พร!Q64"")+IMPORTRANGE(""https://docs.google.com/spreadsheets/d/16pAz3pOhQEZBhvFNMa5KGgZS6iKWpsKX0pg6tQmwFpo/edit?usp=sharing"",""ตรัง!Q64"")+IMPORTRANGE(""https://docs.google.com/spreadsheets/d/1Dj4jcHCTV9JXKCaMoheSXS52JE63kDKyG7bPXnFogHk/edit?usp=sharing"&amp;""",""นครศรีธรรมราช!Q64"")+IMPORTRANGE(""https://docs.google.com/spreadsheets/d/1iodCdmuK2GR3jzUwk8tpccY2JHQQA-87DLOtJP-ooyU/edit?usp=sharing"",""นราธิวาส!Q64"")+IMPORTRANGE(""https://docs.google.com/spreadsheets/d/1SDNX3JhDdYRuIOsj0Wh2M-Qa_eaXl0NbWmhAOTbf"&amp;"QAs/edit?usp=sharing"",""ปัตตานี!Q64"")+IMPORTRANGE(""https://docs.google.com/spreadsheets/d/16JDLGguT8s5DsGCND1KcwHP_AWR_zDMTqLHPLJUKhaU/edit?usp=sharing"",""พังงา!Q64"")+IMPORTRANGE(""https://docs.google.com/spreadsheets/d/17ht0gPKzzT3PObBL1XJkeRmntBXI7"&amp;"wGjpLV7QorqlTk/edit?usp=sharing"",""พัทลุง!Q64"")+IMPORTRANGE(""https://docs.google.com/spreadsheets/d/1rd4qoM1q_hsgaolqNGfrim9gbsoLxQsda4-vOz5x_BM/edit?usp=sharing"",""ภูเก็ต!Q64"")+IMPORTRANGE(""https://docs.google.com/spreadsheets/d/1woKwKjgoLssDvPcPeV"&amp;"yezB5izizAn4X1JDrys69n6xI/edit?usp=sharing"",""ยะลา!Q64"")+IMPORTRANGE(""https://docs.google.com/spreadsheets/d/1qfrKjzMhm2HJfxQ-qVlJlJQ25Hne1d0khsySbZyGtPA/edit?usp=sharing"",""ระนอง!Q64"")+IMPORTRANGE(""https://docs.google.com/spreadsheets/d/1IbSCnFOKpZ"&amp;"snFogBHJnL_isstZVaOMnFiIN0fGTPZZw/edit?usp=sharing"",""สงขลา!Q64"")+IMPORTRANGE(""https://docs.google.com/spreadsheets/d/1q9nWasZJ-K8bFGvbE9n0qSRuKGA4Toe3Y89cKCiVtCU/edit?usp=sharing"",""สตูล!Q64"")+IMPORTRANGE(""https://docs.google.com/spreadsheets/d/18T"&amp;"20gbkS_WBjdscyTOV05cvq_JqvqQ17C81mpxf7Ncs/edit?usp=sharing"",""สุราษฎร์ธานี!Q64"")"),0)</f>
        <v>0</v>
      </c>
      <c r="R64" s="47">
        <f ca="1">IFERROR(__xludf.DUMMYFUNCTION("IMPORTRANGE(""https://docs.google.com/spreadsheets/d/1kKUcYdkIfrgTSj8iHHHB2MD2FAtwyyocFgqGQn6ADyI/edit?usp=sharing"",""กระบี่!R64"")+IMPORTRANGE(""https://docs.google.com/spreadsheets/d/1GwtLaSlNZkLk7iDqcyZz22giiy40b_usZZBXYciEN1U/edit?usp=sharing"",""ชุม"&amp;"พร!R64"")+IMPORTRANGE(""https://docs.google.com/spreadsheets/d/16pAz3pOhQEZBhvFNMa5KGgZS6iKWpsKX0pg6tQmwFpo/edit?usp=sharing"",""ตรัง!R64"")+IMPORTRANGE(""https://docs.google.com/spreadsheets/d/1Dj4jcHCTV9JXKCaMoheSXS52JE63kDKyG7bPXnFogHk/edit?usp=sharing"&amp;""",""นครศรีธรรมราช!R64"")+IMPORTRANGE(""https://docs.google.com/spreadsheets/d/1iodCdmuK2GR3jzUwk8tpccY2JHQQA-87DLOtJP-ooyU/edit?usp=sharing"",""นราธิวาส!R64"")+IMPORTRANGE(""https://docs.google.com/spreadsheets/d/1SDNX3JhDdYRuIOsj0Wh2M-Qa_eaXl0NbWmhAOTbf"&amp;"QAs/edit?usp=sharing"",""ปัตตานี!R64"")+IMPORTRANGE(""https://docs.google.com/spreadsheets/d/16JDLGguT8s5DsGCND1KcwHP_AWR_zDMTqLHPLJUKhaU/edit?usp=sharing"",""พังงา!R64"")+IMPORTRANGE(""https://docs.google.com/spreadsheets/d/17ht0gPKzzT3PObBL1XJkeRmntBXI7"&amp;"wGjpLV7QorqlTk/edit?usp=sharing"",""พัทลุง!R64"")+IMPORTRANGE(""https://docs.google.com/spreadsheets/d/1rd4qoM1q_hsgaolqNGfrim9gbsoLxQsda4-vOz5x_BM/edit?usp=sharing"",""ภูเก็ต!R64"")+IMPORTRANGE(""https://docs.google.com/spreadsheets/d/1woKwKjgoLssDvPcPeV"&amp;"yezB5izizAn4X1JDrys69n6xI/edit?usp=sharing"",""ยะลา!R64"")+IMPORTRANGE(""https://docs.google.com/spreadsheets/d/1qfrKjzMhm2HJfxQ-qVlJlJQ25Hne1d0khsySbZyGtPA/edit?usp=sharing"",""ระนอง!R64"")+IMPORTRANGE(""https://docs.google.com/spreadsheets/d/1IbSCnFOKpZ"&amp;"snFogBHJnL_isstZVaOMnFiIN0fGTPZZw/edit?usp=sharing"",""สงขลา!R64"")+IMPORTRANGE(""https://docs.google.com/spreadsheets/d/1q9nWasZJ-K8bFGvbE9n0qSRuKGA4Toe3Y89cKCiVtCU/edit?usp=sharing"",""สตูล!R64"")+IMPORTRANGE(""https://docs.google.com/spreadsheets/d/18T"&amp;"20gbkS_WBjdscyTOV05cvq_JqvqQ17C81mpxf7Ncs/edit?usp=sharing"",""สุราษฎร์ธานี!R64"")"),0)</f>
        <v>0</v>
      </c>
      <c r="S64" s="47">
        <f ca="1">IFERROR(__xludf.DUMMYFUNCTION("IMPORTRANGE(""https://docs.google.com/spreadsheets/d/1kKUcYdkIfrgTSj8iHHHB2MD2FAtwyyocFgqGQn6ADyI/edit?usp=sharing"",""กระบี่!S64"")+IMPORTRANGE(""https://docs.google.com/spreadsheets/d/1GwtLaSlNZkLk7iDqcyZz22giiy40b_usZZBXYciEN1U/edit?usp=sharing"",""ชุม"&amp;"พร!S64"")+IMPORTRANGE(""https://docs.google.com/spreadsheets/d/16pAz3pOhQEZBhvFNMa5KGgZS6iKWpsKX0pg6tQmwFpo/edit?usp=sharing"",""ตรัง!S64"")+IMPORTRANGE(""https://docs.google.com/spreadsheets/d/1Dj4jcHCTV9JXKCaMoheSXS52JE63kDKyG7bPXnFogHk/edit?usp=sharing"&amp;""",""นครศรีธรรมราช!S64"")+IMPORTRANGE(""https://docs.google.com/spreadsheets/d/1iodCdmuK2GR3jzUwk8tpccY2JHQQA-87DLOtJP-ooyU/edit?usp=sharing"",""นราธิวาส!S64"")+IMPORTRANGE(""https://docs.google.com/spreadsheets/d/1SDNX3JhDdYRuIOsj0Wh2M-Qa_eaXl0NbWmhAOTbf"&amp;"QAs/edit?usp=sharing"",""ปัตตานี!S64"")+IMPORTRANGE(""https://docs.google.com/spreadsheets/d/16JDLGguT8s5DsGCND1KcwHP_AWR_zDMTqLHPLJUKhaU/edit?usp=sharing"",""พังงา!S64"")+IMPORTRANGE(""https://docs.google.com/spreadsheets/d/17ht0gPKzzT3PObBL1XJkeRmntBXI7"&amp;"wGjpLV7QorqlTk/edit?usp=sharing"",""พัทลุง!S64"")+IMPORTRANGE(""https://docs.google.com/spreadsheets/d/1rd4qoM1q_hsgaolqNGfrim9gbsoLxQsda4-vOz5x_BM/edit?usp=sharing"",""ภูเก็ต!S64"")+IMPORTRANGE(""https://docs.google.com/spreadsheets/d/1woKwKjgoLssDvPcPeV"&amp;"yezB5izizAn4X1JDrys69n6xI/edit?usp=sharing"",""ยะลา!S64"")+IMPORTRANGE(""https://docs.google.com/spreadsheets/d/1qfrKjzMhm2HJfxQ-qVlJlJQ25Hne1d0khsySbZyGtPA/edit?usp=sharing"",""ระนอง!S64"")+IMPORTRANGE(""https://docs.google.com/spreadsheets/d/1IbSCnFOKpZ"&amp;"snFogBHJnL_isstZVaOMnFiIN0fGTPZZw/edit?usp=sharing"",""สงขลา!S64"")+IMPORTRANGE(""https://docs.google.com/spreadsheets/d/1q9nWasZJ-K8bFGvbE9n0qSRuKGA4Toe3Y89cKCiVtCU/edit?usp=sharing"",""สตูล!S64"")+IMPORTRANGE(""https://docs.google.com/spreadsheets/d/18T"&amp;"20gbkS_WBjdscyTOV05cvq_JqvqQ17C81mpxf7Ncs/edit?usp=sharing"",""สุราษฎร์ธานี!S64"")"),0)</f>
        <v>0</v>
      </c>
      <c r="T64" s="47">
        <f t="shared" ca="1" si="40"/>
        <v>0</v>
      </c>
      <c r="U64" s="47">
        <f t="shared" ca="1" si="41"/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47">
        <f t="shared" ref="L65:N65" ca="1" si="48">L66+L67</f>
        <v>15946000</v>
      </c>
      <c r="M65" s="47">
        <f t="shared" ca="1" si="48"/>
        <v>15846000</v>
      </c>
      <c r="N65" s="47">
        <f t="shared" ca="1" si="48"/>
        <v>1537596.39</v>
      </c>
      <c r="O65" s="47">
        <f t="shared" ca="1" si="37"/>
        <v>9.6425209456917091</v>
      </c>
      <c r="P65" s="47">
        <f t="shared" ca="1" si="38"/>
        <v>9.7033723968193861</v>
      </c>
      <c r="Q65" s="47">
        <f t="shared" ref="Q65:S65" ca="1" si="49">Q66+Q67</f>
        <v>0</v>
      </c>
      <c r="R65" s="47">
        <f t="shared" ca="1" si="49"/>
        <v>0</v>
      </c>
      <c r="S65" s="47">
        <f t="shared" ca="1" si="49"/>
        <v>0</v>
      </c>
      <c r="T65" s="47">
        <f t="shared" ca="1" si="40"/>
        <v>0</v>
      </c>
      <c r="U65" s="47">
        <f t="shared" ca="1" si="41"/>
        <v>0</v>
      </c>
    </row>
    <row r="66" spans="1:21" ht="18.75" hidden="1" x14ac:dyDescent="0.25">
      <c r="A66" s="40"/>
      <c r="B66" s="41"/>
      <c r="C66" s="41"/>
      <c r="D66" s="41"/>
      <c r="E66" s="48" t="s">
        <v>20</v>
      </c>
      <c r="F66" s="41"/>
      <c r="G66" s="43"/>
      <c r="H66" s="44" t="s">
        <v>14</v>
      </c>
      <c r="I66" s="45"/>
      <c r="J66" s="45"/>
      <c r="K66" s="46"/>
      <c r="L66" s="47">
        <f ca="1">IFERROR(__xludf.DUMMYFUNCTION("IMPORTRANGE(""https://docs.google.com/spreadsheets/d/1kKUcYdkIfrgTSj8iHHHB2MD2FAtwyyocFgqGQn6ADyI/edit?usp=sharing"",""กระบี่!L66"")+IMPORTRANGE(""https://docs.google.com/spreadsheets/d/1GwtLaSlNZkLk7iDqcyZz22giiy40b_usZZBXYciEN1U/edit?usp=sharing"",""ชุม"&amp;"พร!L66"")+IMPORTRANGE(""https://docs.google.com/spreadsheets/d/16pAz3pOhQEZBhvFNMa5KGgZS6iKWpsKX0pg6tQmwFpo/edit?usp=sharing"",""ตรัง!L66"")+IMPORTRANGE(""https://docs.google.com/spreadsheets/d/1Dj4jcHCTV9JXKCaMoheSXS52JE63kDKyG7bPXnFogHk/edit?usp=sharing"&amp;""",""นครศรีธรรมราช!L66"")+IMPORTRANGE(""https://docs.google.com/spreadsheets/d/1iodCdmuK2GR3jzUwk8tpccY2JHQQA-87DLOtJP-ooyU/edit?usp=sharing"",""นราธิวาส!L66"")+IMPORTRANGE(""https://docs.google.com/spreadsheets/d/1SDNX3JhDdYRuIOsj0Wh2M-Qa_eaXl0NbWmhAOTbf"&amp;"QAs/edit?usp=sharing"",""ปัตตานี!L66"")+IMPORTRANGE(""https://docs.google.com/spreadsheets/d/16JDLGguT8s5DsGCND1KcwHP_AWR_zDMTqLHPLJUKhaU/edit?usp=sharing"",""พังงา!L66"")+IMPORTRANGE(""https://docs.google.com/spreadsheets/d/17ht0gPKzzT3PObBL1XJkeRmntBXI7"&amp;"wGjpLV7QorqlTk/edit?usp=sharing"",""พัทลุง!L66"")+IMPORTRANGE(""https://docs.google.com/spreadsheets/d/1rd4qoM1q_hsgaolqNGfrim9gbsoLxQsda4-vOz5x_BM/edit?usp=sharing"",""ภูเก็ต!L66"")+IMPORTRANGE(""https://docs.google.com/spreadsheets/d/1woKwKjgoLssDvPcPeV"&amp;"yezB5izizAn4X1JDrys69n6xI/edit?usp=sharing"",""ยะลา!L66"")+IMPORTRANGE(""https://docs.google.com/spreadsheets/d/1qfrKjzMhm2HJfxQ-qVlJlJQ25Hne1d0khsySbZyGtPA/edit?usp=sharing"",""ระนอง!L66"")+IMPORTRANGE(""https://docs.google.com/spreadsheets/d/1IbSCnFOKpZ"&amp;"snFogBHJnL_isstZVaOMnFiIN0fGTPZZw/edit?usp=sharing"",""สงขลา!L66"")+IMPORTRANGE(""https://docs.google.com/spreadsheets/d/1q9nWasZJ-K8bFGvbE9n0qSRuKGA4Toe3Y89cKCiVtCU/edit?usp=sharing"",""สตูล!L66"")+IMPORTRANGE(""https://docs.google.com/spreadsheets/d/18T"&amp;"20gbkS_WBjdscyTOV05cvq_JqvqQ17C81mpxf7Ncs/edit?usp=sharing"",""สุราษฎร์ธานี!L66"")"),0)</f>
        <v>0</v>
      </c>
      <c r="M66" s="47">
        <f ca="1">IFERROR(__xludf.DUMMYFUNCTION("IMPORTRANGE(""https://docs.google.com/spreadsheets/d/1kKUcYdkIfrgTSj8iHHHB2MD2FAtwyyocFgqGQn6ADyI/edit?usp=sharing"",""กระบี่!M66"")+IMPORTRANGE(""https://docs.google.com/spreadsheets/d/1GwtLaSlNZkLk7iDqcyZz22giiy40b_usZZBXYciEN1U/edit?usp=sharing"",""ชุม"&amp;"พร!M66"")+IMPORTRANGE(""https://docs.google.com/spreadsheets/d/16pAz3pOhQEZBhvFNMa5KGgZS6iKWpsKX0pg6tQmwFpo/edit?usp=sharing"",""ตรัง!M66"")+IMPORTRANGE(""https://docs.google.com/spreadsheets/d/1Dj4jcHCTV9JXKCaMoheSXS52JE63kDKyG7bPXnFogHk/edit?usp=sharing"&amp;""",""นครศรีธรรมราช!M66"")+IMPORTRANGE(""https://docs.google.com/spreadsheets/d/1iodCdmuK2GR3jzUwk8tpccY2JHQQA-87DLOtJP-ooyU/edit?usp=sharing"",""นราธิวาส!M66"")+IMPORTRANGE(""https://docs.google.com/spreadsheets/d/1SDNX3JhDdYRuIOsj0Wh2M-Qa_eaXl0NbWmhAOTbf"&amp;"QAs/edit?usp=sharing"",""ปัตตานี!M66"")+IMPORTRANGE(""https://docs.google.com/spreadsheets/d/16JDLGguT8s5DsGCND1KcwHP_AWR_zDMTqLHPLJUKhaU/edit?usp=sharing"",""พังงา!M66"")+IMPORTRANGE(""https://docs.google.com/spreadsheets/d/17ht0gPKzzT3PObBL1XJkeRmntBXI7"&amp;"wGjpLV7QorqlTk/edit?usp=sharing"",""พัทลุง!M66"")+IMPORTRANGE(""https://docs.google.com/spreadsheets/d/1rd4qoM1q_hsgaolqNGfrim9gbsoLxQsda4-vOz5x_BM/edit?usp=sharing"",""ภูเก็ต!M66"")+IMPORTRANGE(""https://docs.google.com/spreadsheets/d/1woKwKjgoLssDvPcPeV"&amp;"yezB5izizAn4X1JDrys69n6xI/edit?usp=sharing"",""ยะลา!M66"")+IMPORTRANGE(""https://docs.google.com/spreadsheets/d/1qfrKjzMhm2HJfxQ-qVlJlJQ25Hne1d0khsySbZyGtPA/edit?usp=sharing"",""ระนอง!M66"")+IMPORTRANGE(""https://docs.google.com/spreadsheets/d/1IbSCnFOKpZ"&amp;"snFogBHJnL_isstZVaOMnFiIN0fGTPZZw/edit?usp=sharing"",""สงขลา!M66"")+IMPORTRANGE(""https://docs.google.com/spreadsheets/d/1q9nWasZJ-K8bFGvbE9n0qSRuKGA4Toe3Y89cKCiVtCU/edit?usp=sharing"",""สตูล!M66"")+IMPORTRANGE(""https://docs.google.com/spreadsheets/d/18T"&amp;"20gbkS_WBjdscyTOV05cvq_JqvqQ17C81mpxf7Ncs/edit?usp=sharing"",""สุราษฎร์ธานี!M66"")"),0)</f>
        <v>0</v>
      </c>
      <c r="N66" s="47">
        <f ca="1">IFERROR(__xludf.DUMMYFUNCTION("IMPORTRANGE(""https://docs.google.com/spreadsheets/d/1kKUcYdkIfrgTSj8iHHHB2MD2FAtwyyocFgqGQn6ADyI/edit?usp=sharing"",""กระบี่!N66"")+IMPORTRANGE(""https://docs.google.com/spreadsheets/d/1GwtLaSlNZkLk7iDqcyZz22giiy40b_usZZBXYciEN1U/edit?usp=sharing"",""ชุม"&amp;"พร!N66"")+IMPORTRANGE(""https://docs.google.com/spreadsheets/d/16pAz3pOhQEZBhvFNMa5KGgZS6iKWpsKX0pg6tQmwFpo/edit?usp=sharing"",""ตรัง!N66"")+IMPORTRANGE(""https://docs.google.com/spreadsheets/d/1Dj4jcHCTV9JXKCaMoheSXS52JE63kDKyG7bPXnFogHk/edit?usp=sharing"&amp;""",""นครศรีธรรมราช!N66"")+IMPORTRANGE(""https://docs.google.com/spreadsheets/d/1iodCdmuK2GR3jzUwk8tpccY2JHQQA-87DLOtJP-ooyU/edit?usp=sharing"",""นราธิวาส!N66"")+IMPORTRANGE(""https://docs.google.com/spreadsheets/d/1SDNX3JhDdYRuIOsj0Wh2M-Qa_eaXl0NbWmhAOTbf"&amp;"QAs/edit?usp=sharing"",""ปัตตานี!N66"")+IMPORTRANGE(""https://docs.google.com/spreadsheets/d/16JDLGguT8s5DsGCND1KcwHP_AWR_zDMTqLHPLJUKhaU/edit?usp=sharing"",""พังงา!N66"")+IMPORTRANGE(""https://docs.google.com/spreadsheets/d/17ht0gPKzzT3PObBL1XJkeRmntBXI7"&amp;"wGjpLV7QorqlTk/edit?usp=sharing"",""พัทลุง!N66"")+IMPORTRANGE(""https://docs.google.com/spreadsheets/d/1rd4qoM1q_hsgaolqNGfrim9gbsoLxQsda4-vOz5x_BM/edit?usp=sharing"",""ภูเก็ต!N66"")+IMPORTRANGE(""https://docs.google.com/spreadsheets/d/1woKwKjgoLssDvPcPeV"&amp;"yezB5izizAn4X1JDrys69n6xI/edit?usp=sharing"",""ยะลา!N66"")+IMPORTRANGE(""https://docs.google.com/spreadsheets/d/1qfrKjzMhm2HJfxQ-qVlJlJQ25Hne1d0khsySbZyGtPA/edit?usp=sharing"",""ระนอง!N66"")+IMPORTRANGE(""https://docs.google.com/spreadsheets/d/1IbSCnFOKpZ"&amp;"snFogBHJnL_isstZVaOMnFiIN0fGTPZZw/edit?usp=sharing"",""สงขลา!N66"")+IMPORTRANGE(""https://docs.google.com/spreadsheets/d/1q9nWasZJ-K8bFGvbE9n0qSRuKGA4Toe3Y89cKCiVtCU/edit?usp=sharing"",""สตูล!N66"")+IMPORTRANGE(""https://docs.google.com/spreadsheets/d/18T"&amp;"20gbkS_WBjdscyTOV05cvq_JqvqQ17C81mpxf7Ncs/edit?usp=sharing"",""สุราษฎร์ธานี!N66"")"),0)</f>
        <v>0</v>
      </c>
      <c r="O66" s="47">
        <f t="shared" ca="1" si="37"/>
        <v>0</v>
      </c>
      <c r="P66" s="47">
        <f t="shared" ca="1" si="38"/>
        <v>0</v>
      </c>
      <c r="Q66" s="47">
        <f ca="1">IFERROR(__xludf.DUMMYFUNCTION("IMPORTRANGE(""https://docs.google.com/spreadsheets/d/1kKUcYdkIfrgTSj8iHHHB2MD2FAtwyyocFgqGQn6ADyI/edit?usp=sharing"",""กระบี่!Q66"")+IMPORTRANGE(""https://docs.google.com/spreadsheets/d/1GwtLaSlNZkLk7iDqcyZz22giiy40b_usZZBXYciEN1U/edit?usp=sharing"",""ชุม"&amp;"พร!Q66"")+IMPORTRANGE(""https://docs.google.com/spreadsheets/d/16pAz3pOhQEZBhvFNMa5KGgZS6iKWpsKX0pg6tQmwFpo/edit?usp=sharing"",""ตรัง!Q66"")+IMPORTRANGE(""https://docs.google.com/spreadsheets/d/1Dj4jcHCTV9JXKCaMoheSXS52JE63kDKyG7bPXnFogHk/edit?usp=sharing"&amp;""",""นครศรีธรรมราช!Q66"")+IMPORTRANGE(""https://docs.google.com/spreadsheets/d/1iodCdmuK2GR3jzUwk8tpccY2JHQQA-87DLOtJP-ooyU/edit?usp=sharing"",""นราธิวาส!Q66"")+IMPORTRANGE(""https://docs.google.com/spreadsheets/d/1SDNX3JhDdYRuIOsj0Wh2M-Qa_eaXl0NbWmhAOTbf"&amp;"QAs/edit?usp=sharing"",""ปัตตานี!Q66"")+IMPORTRANGE(""https://docs.google.com/spreadsheets/d/16JDLGguT8s5DsGCND1KcwHP_AWR_zDMTqLHPLJUKhaU/edit?usp=sharing"",""พังงา!Q66"")+IMPORTRANGE(""https://docs.google.com/spreadsheets/d/17ht0gPKzzT3PObBL1XJkeRmntBXI7"&amp;"wGjpLV7QorqlTk/edit?usp=sharing"",""พัทลุง!Q66"")+IMPORTRANGE(""https://docs.google.com/spreadsheets/d/1rd4qoM1q_hsgaolqNGfrim9gbsoLxQsda4-vOz5x_BM/edit?usp=sharing"",""ภูเก็ต!Q66"")+IMPORTRANGE(""https://docs.google.com/spreadsheets/d/1woKwKjgoLssDvPcPeV"&amp;"yezB5izizAn4X1JDrys69n6xI/edit?usp=sharing"",""ยะลา!Q66"")+IMPORTRANGE(""https://docs.google.com/spreadsheets/d/1qfrKjzMhm2HJfxQ-qVlJlJQ25Hne1d0khsySbZyGtPA/edit?usp=sharing"",""ระนอง!Q66"")+IMPORTRANGE(""https://docs.google.com/spreadsheets/d/1IbSCnFOKpZ"&amp;"snFogBHJnL_isstZVaOMnFiIN0fGTPZZw/edit?usp=sharing"",""สงขลา!Q66"")+IMPORTRANGE(""https://docs.google.com/spreadsheets/d/1q9nWasZJ-K8bFGvbE9n0qSRuKGA4Toe3Y89cKCiVtCU/edit?usp=sharing"",""สตูล!Q66"")+IMPORTRANGE(""https://docs.google.com/spreadsheets/d/18T"&amp;"20gbkS_WBjdscyTOV05cvq_JqvqQ17C81mpxf7Ncs/edit?usp=sharing"",""สุราษฎร์ธานี!Q66"")"),0)</f>
        <v>0</v>
      </c>
      <c r="R66" s="47">
        <f ca="1">IFERROR(__xludf.DUMMYFUNCTION("IMPORTRANGE(""https://docs.google.com/spreadsheets/d/1kKUcYdkIfrgTSj8iHHHB2MD2FAtwyyocFgqGQn6ADyI/edit?usp=sharing"",""กระบี่!R66"")+IMPORTRANGE(""https://docs.google.com/spreadsheets/d/1GwtLaSlNZkLk7iDqcyZz22giiy40b_usZZBXYciEN1U/edit?usp=sharing"",""ชุม"&amp;"พร!R66"")+IMPORTRANGE(""https://docs.google.com/spreadsheets/d/16pAz3pOhQEZBhvFNMa5KGgZS6iKWpsKX0pg6tQmwFpo/edit?usp=sharing"",""ตรัง!R66"")+IMPORTRANGE(""https://docs.google.com/spreadsheets/d/1Dj4jcHCTV9JXKCaMoheSXS52JE63kDKyG7bPXnFogHk/edit?usp=sharing"&amp;""",""นครศรีธรรมราช!R66"")+IMPORTRANGE(""https://docs.google.com/spreadsheets/d/1iodCdmuK2GR3jzUwk8tpccY2JHQQA-87DLOtJP-ooyU/edit?usp=sharing"",""นราธิวาส!R66"")+IMPORTRANGE(""https://docs.google.com/spreadsheets/d/1SDNX3JhDdYRuIOsj0Wh2M-Qa_eaXl0NbWmhAOTbf"&amp;"QAs/edit?usp=sharing"",""ปัตตานี!R66"")+IMPORTRANGE(""https://docs.google.com/spreadsheets/d/16JDLGguT8s5DsGCND1KcwHP_AWR_zDMTqLHPLJUKhaU/edit?usp=sharing"",""พังงา!R66"")+IMPORTRANGE(""https://docs.google.com/spreadsheets/d/17ht0gPKzzT3PObBL1XJkeRmntBXI7"&amp;"wGjpLV7QorqlTk/edit?usp=sharing"",""พัทลุง!R66"")+IMPORTRANGE(""https://docs.google.com/spreadsheets/d/1rd4qoM1q_hsgaolqNGfrim9gbsoLxQsda4-vOz5x_BM/edit?usp=sharing"",""ภูเก็ต!R66"")+IMPORTRANGE(""https://docs.google.com/spreadsheets/d/1woKwKjgoLssDvPcPeV"&amp;"yezB5izizAn4X1JDrys69n6xI/edit?usp=sharing"",""ยะลา!R66"")+IMPORTRANGE(""https://docs.google.com/spreadsheets/d/1qfrKjzMhm2HJfxQ-qVlJlJQ25Hne1d0khsySbZyGtPA/edit?usp=sharing"",""ระนอง!R66"")+IMPORTRANGE(""https://docs.google.com/spreadsheets/d/1IbSCnFOKpZ"&amp;"snFogBHJnL_isstZVaOMnFiIN0fGTPZZw/edit?usp=sharing"",""สงขลา!R66"")+IMPORTRANGE(""https://docs.google.com/spreadsheets/d/1q9nWasZJ-K8bFGvbE9n0qSRuKGA4Toe3Y89cKCiVtCU/edit?usp=sharing"",""สตูล!R66"")+IMPORTRANGE(""https://docs.google.com/spreadsheets/d/18T"&amp;"20gbkS_WBjdscyTOV05cvq_JqvqQ17C81mpxf7Ncs/edit?usp=sharing"",""สุราษฎร์ธานี!R66"")"),0)</f>
        <v>0</v>
      </c>
      <c r="S66" s="47">
        <f ca="1">IFERROR(__xludf.DUMMYFUNCTION("IMPORTRANGE(""https://docs.google.com/spreadsheets/d/1kKUcYdkIfrgTSj8iHHHB2MD2FAtwyyocFgqGQn6ADyI/edit?usp=sharing"",""กระบี่!S66"")+IMPORTRANGE(""https://docs.google.com/spreadsheets/d/1GwtLaSlNZkLk7iDqcyZz22giiy40b_usZZBXYciEN1U/edit?usp=sharing"",""ชุม"&amp;"พร!S66"")+IMPORTRANGE(""https://docs.google.com/spreadsheets/d/16pAz3pOhQEZBhvFNMa5KGgZS6iKWpsKX0pg6tQmwFpo/edit?usp=sharing"",""ตรัง!S66"")+IMPORTRANGE(""https://docs.google.com/spreadsheets/d/1Dj4jcHCTV9JXKCaMoheSXS52JE63kDKyG7bPXnFogHk/edit?usp=sharing"&amp;""",""นครศรีธรรมราช!S66"")+IMPORTRANGE(""https://docs.google.com/spreadsheets/d/1iodCdmuK2GR3jzUwk8tpccY2JHQQA-87DLOtJP-ooyU/edit?usp=sharing"",""นราธิวาส!S66"")+IMPORTRANGE(""https://docs.google.com/spreadsheets/d/1SDNX3JhDdYRuIOsj0Wh2M-Qa_eaXl0NbWmhAOTbf"&amp;"QAs/edit?usp=sharing"",""ปัตตานี!S66"")+IMPORTRANGE(""https://docs.google.com/spreadsheets/d/16JDLGguT8s5DsGCND1KcwHP_AWR_zDMTqLHPLJUKhaU/edit?usp=sharing"",""พังงา!S66"")+IMPORTRANGE(""https://docs.google.com/spreadsheets/d/17ht0gPKzzT3PObBL1XJkeRmntBXI7"&amp;"wGjpLV7QorqlTk/edit?usp=sharing"",""พัทลุง!S66"")+IMPORTRANGE(""https://docs.google.com/spreadsheets/d/1rd4qoM1q_hsgaolqNGfrim9gbsoLxQsda4-vOz5x_BM/edit?usp=sharing"",""ภูเก็ต!S66"")+IMPORTRANGE(""https://docs.google.com/spreadsheets/d/1woKwKjgoLssDvPcPeV"&amp;"yezB5izizAn4X1JDrys69n6xI/edit?usp=sharing"",""ยะลา!S66"")+IMPORTRANGE(""https://docs.google.com/spreadsheets/d/1qfrKjzMhm2HJfxQ-qVlJlJQ25Hne1d0khsySbZyGtPA/edit?usp=sharing"",""ระนอง!S66"")+IMPORTRANGE(""https://docs.google.com/spreadsheets/d/1IbSCnFOKpZ"&amp;"snFogBHJnL_isstZVaOMnFiIN0fGTPZZw/edit?usp=sharing"",""สงขลา!S66"")+IMPORTRANGE(""https://docs.google.com/spreadsheets/d/1q9nWasZJ-K8bFGvbE9n0qSRuKGA4Toe3Y89cKCiVtCU/edit?usp=sharing"",""สตูล!S66"")+IMPORTRANGE(""https://docs.google.com/spreadsheets/d/18T"&amp;"20gbkS_WBjdscyTOV05cvq_JqvqQ17C81mpxf7Ncs/edit?usp=sharing"",""สุราษฎร์ธานี!S66"")"),0)</f>
        <v>0</v>
      </c>
      <c r="T66" s="49">
        <f t="shared" ca="1" si="40"/>
        <v>0</v>
      </c>
      <c r="U66" s="49">
        <f t="shared" ca="1" si="41"/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111">
        <f ca="1">IFERROR(__xludf.DUMMYFUNCTION("IMPORTRANGE(""https://docs.google.com/spreadsheets/d/1kKUcYdkIfrgTSj8iHHHB2MD2FAtwyyocFgqGQn6ADyI/edit?usp=sharing"",""กระบี่!L67"")+IMPORTRANGE(""https://docs.google.com/spreadsheets/d/1GwtLaSlNZkLk7iDqcyZz22giiy40b_usZZBXYciEN1U/edit?usp=sharing"",""ชุม"&amp;"พร!L67"")+IMPORTRANGE(""https://docs.google.com/spreadsheets/d/16pAz3pOhQEZBhvFNMa5KGgZS6iKWpsKX0pg6tQmwFpo/edit?usp=sharing"",""ตรัง!L67"")+IMPORTRANGE(""https://docs.google.com/spreadsheets/d/1Dj4jcHCTV9JXKCaMoheSXS52JE63kDKyG7bPXnFogHk/edit?usp=sharing"&amp;""",""นครศรีธรรมราช!L67"")+IMPORTRANGE(""https://docs.google.com/spreadsheets/d/1iodCdmuK2GR3jzUwk8tpccY2JHQQA-87DLOtJP-ooyU/edit?usp=sharing"",""นราธิวาส!L67"")+IMPORTRANGE(""https://docs.google.com/spreadsheets/d/1SDNX3JhDdYRuIOsj0Wh2M-Qa_eaXl0NbWmhAOTbf"&amp;"QAs/edit?usp=sharing"",""ปัตตานี!L67"")+IMPORTRANGE(""https://docs.google.com/spreadsheets/d/16JDLGguT8s5DsGCND1KcwHP_AWR_zDMTqLHPLJUKhaU/edit?usp=sharing"",""พังงา!L67"")+IMPORTRANGE(""https://docs.google.com/spreadsheets/d/17ht0gPKzzT3PObBL1XJkeRmntBXI7"&amp;"wGjpLV7QorqlTk/edit?usp=sharing"",""พัทลุง!L67"")+IMPORTRANGE(""https://docs.google.com/spreadsheets/d/1rd4qoM1q_hsgaolqNGfrim9gbsoLxQsda4-vOz5x_BM/edit?usp=sharing"",""ภูเก็ต!L67"")+IMPORTRANGE(""https://docs.google.com/spreadsheets/d/1woKwKjgoLssDvPcPeV"&amp;"yezB5izizAn4X1JDrys69n6xI/edit?usp=sharing"",""ยะลา!L67"")+IMPORTRANGE(""https://docs.google.com/spreadsheets/d/1qfrKjzMhm2HJfxQ-qVlJlJQ25Hne1d0khsySbZyGtPA/edit?usp=sharing"",""ระนอง!L67"")+IMPORTRANGE(""https://docs.google.com/spreadsheets/d/1IbSCnFOKpZ"&amp;"snFogBHJnL_isstZVaOMnFiIN0fGTPZZw/edit?usp=sharing"",""สงขลา!L67"")+IMPORTRANGE(""https://docs.google.com/spreadsheets/d/1q9nWasZJ-K8bFGvbE9n0qSRuKGA4Toe3Y89cKCiVtCU/edit?usp=sharing"",""สตูล!L67"")+IMPORTRANGE(""https://docs.google.com/spreadsheets/d/18T"&amp;"20gbkS_WBjdscyTOV05cvq_JqvqQ17C81mpxf7Ncs/edit?usp=sharing"",""สุราษฎร์ธานี!L67"")"),15946000)</f>
        <v>15946000</v>
      </c>
      <c r="M67" s="111">
        <f ca="1">IFERROR(__xludf.DUMMYFUNCTION("IMPORTRANGE(""https://docs.google.com/spreadsheets/d/1kKUcYdkIfrgTSj8iHHHB2MD2FAtwyyocFgqGQn6ADyI/edit?usp=sharing"",""กระบี่!M67"")+IMPORTRANGE(""https://docs.google.com/spreadsheets/d/1GwtLaSlNZkLk7iDqcyZz22giiy40b_usZZBXYciEN1U/edit?usp=sharing"",""ชุม"&amp;"พร!M67"")+IMPORTRANGE(""https://docs.google.com/spreadsheets/d/16pAz3pOhQEZBhvFNMa5KGgZS6iKWpsKX0pg6tQmwFpo/edit?usp=sharing"",""ตรัง!M67"")+IMPORTRANGE(""https://docs.google.com/spreadsheets/d/1Dj4jcHCTV9JXKCaMoheSXS52JE63kDKyG7bPXnFogHk/edit?usp=sharing"&amp;""",""นครศรีธรรมราช!M67"")+IMPORTRANGE(""https://docs.google.com/spreadsheets/d/1iodCdmuK2GR3jzUwk8tpccY2JHQQA-87DLOtJP-ooyU/edit?usp=sharing"",""นราธิวาส!M67"")+IMPORTRANGE(""https://docs.google.com/spreadsheets/d/1SDNX3JhDdYRuIOsj0Wh2M-Qa_eaXl0NbWmhAOTbf"&amp;"QAs/edit?usp=sharing"",""ปัตตานี!M67"")+IMPORTRANGE(""https://docs.google.com/spreadsheets/d/16JDLGguT8s5DsGCND1KcwHP_AWR_zDMTqLHPLJUKhaU/edit?usp=sharing"",""พังงา!M67"")+IMPORTRANGE(""https://docs.google.com/spreadsheets/d/17ht0gPKzzT3PObBL1XJkeRmntBXI7"&amp;"wGjpLV7QorqlTk/edit?usp=sharing"",""พัทลุง!M67"")+IMPORTRANGE(""https://docs.google.com/spreadsheets/d/1rd4qoM1q_hsgaolqNGfrim9gbsoLxQsda4-vOz5x_BM/edit?usp=sharing"",""ภูเก็ต!M67"")+IMPORTRANGE(""https://docs.google.com/spreadsheets/d/1woKwKjgoLssDvPcPeV"&amp;"yezB5izizAn4X1JDrys69n6xI/edit?usp=sharing"",""ยะลา!M67"")+IMPORTRANGE(""https://docs.google.com/spreadsheets/d/1qfrKjzMhm2HJfxQ-qVlJlJQ25Hne1d0khsySbZyGtPA/edit?usp=sharing"",""ระนอง!M67"")+IMPORTRANGE(""https://docs.google.com/spreadsheets/d/1IbSCnFOKpZ"&amp;"snFogBHJnL_isstZVaOMnFiIN0fGTPZZw/edit?usp=sharing"",""สงขลา!M67"")+IMPORTRANGE(""https://docs.google.com/spreadsheets/d/1q9nWasZJ-K8bFGvbE9n0qSRuKGA4Toe3Y89cKCiVtCU/edit?usp=sharing"",""สตูล!M67"")+IMPORTRANGE(""https://docs.google.com/spreadsheets/d/18T"&amp;"20gbkS_WBjdscyTOV05cvq_JqvqQ17C81mpxf7Ncs/edit?usp=sharing"",""สุราษฎร์ธานี!M67"")"),15846000)</f>
        <v>15846000</v>
      </c>
      <c r="N67" s="111">
        <f ca="1">IFERROR(__xludf.DUMMYFUNCTION("IMPORTRANGE(""https://docs.google.com/spreadsheets/d/1kKUcYdkIfrgTSj8iHHHB2MD2FAtwyyocFgqGQn6ADyI/edit?usp=sharing"",""กระบี่!N67"")+IMPORTRANGE(""https://docs.google.com/spreadsheets/d/1GwtLaSlNZkLk7iDqcyZz22giiy40b_usZZBXYciEN1U/edit?usp=sharing"",""ชุม"&amp;"พร!N67"")+IMPORTRANGE(""https://docs.google.com/spreadsheets/d/16pAz3pOhQEZBhvFNMa5KGgZS6iKWpsKX0pg6tQmwFpo/edit?usp=sharing"",""ตรัง!N67"")+IMPORTRANGE(""https://docs.google.com/spreadsheets/d/1Dj4jcHCTV9JXKCaMoheSXS52JE63kDKyG7bPXnFogHk/edit?usp=sharing"&amp;""",""นครศรีธรรมราช!N67"")+IMPORTRANGE(""https://docs.google.com/spreadsheets/d/1iodCdmuK2GR3jzUwk8tpccY2JHQQA-87DLOtJP-ooyU/edit?usp=sharing"",""นราธิวาส!N67"")+IMPORTRANGE(""https://docs.google.com/spreadsheets/d/1SDNX3JhDdYRuIOsj0Wh2M-Qa_eaXl0NbWmhAOTbf"&amp;"QAs/edit?usp=sharing"",""ปัตตานี!N67"")+IMPORTRANGE(""https://docs.google.com/spreadsheets/d/16JDLGguT8s5DsGCND1KcwHP_AWR_zDMTqLHPLJUKhaU/edit?usp=sharing"",""พังงา!N67"")+IMPORTRANGE(""https://docs.google.com/spreadsheets/d/17ht0gPKzzT3PObBL1XJkeRmntBXI7"&amp;"wGjpLV7QorqlTk/edit?usp=sharing"",""พัทลุง!N67"")+IMPORTRANGE(""https://docs.google.com/spreadsheets/d/1rd4qoM1q_hsgaolqNGfrim9gbsoLxQsda4-vOz5x_BM/edit?usp=sharing"",""ภูเก็ต!N67"")+IMPORTRANGE(""https://docs.google.com/spreadsheets/d/1woKwKjgoLssDvPcPeV"&amp;"yezB5izizAn4X1JDrys69n6xI/edit?usp=sharing"",""ยะลา!N67"")+IMPORTRANGE(""https://docs.google.com/spreadsheets/d/1qfrKjzMhm2HJfxQ-qVlJlJQ25Hne1d0khsySbZyGtPA/edit?usp=sharing"",""ระนอง!N67"")+IMPORTRANGE(""https://docs.google.com/spreadsheets/d/1IbSCnFOKpZ"&amp;"snFogBHJnL_isstZVaOMnFiIN0fGTPZZw/edit?usp=sharing"",""สงขลา!N67"")+IMPORTRANGE(""https://docs.google.com/spreadsheets/d/1q9nWasZJ-K8bFGvbE9n0qSRuKGA4Toe3Y89cKCiVtCU/edit?usp=sharing"",""สตูล!N67"")+IMPORTRANGE(""https://docs.google.com/spreadsheets/d/18T"&amp;"20gbkS_WBjdscyTOV05cvq_JqvqQ17C81mpxf7Ncs/edit?usp=sharing"",""สุราษฎร์ธานี!N67"")"),1537596.39)</f>
        <v>1537596.39</v>
      </c>
      <c r="O67" s="111">
        <f t="shared" ca="1" si="37"/>
        <v>9.6425209456917091</v>
      </c>
      <c r="P67" s="111">
        <f t="shared" ca="1" si="38"/>
        <v>9.7033723968193861</v>
      </c>
      <c r="Q67" s="111">
        <f ca="1">IFERROR(__xludf.DUMMYFUNCTION("IMPORTRANGE(""https://docs.google.com/spreadsheets/d/1kKUcYdkIfrgTSj8iHHHB2MD2FAtwyyocFgqGQn6ADyI/edit?usp=sharing"",""กระบี่!Q67"")+IMPORTRANGE(""https://docs.google.com/spreadsheets/d/1GwtLaSlNZkLk7iDqcyZz22giiy40b_usZZBXYciEN1U/edit?usp=sharing"",""ชุม"&amp;"พร!Q67"")+IMPORTRANGE(""https://docs.google.com/spreadsheets/d/16pAz3pOhQEZBhvFNMa5KGgZS6iKWpsKX0pg6tQmwFpo/edit?usp=sharing"",""ตรัง!Q67"")+IMPORTRANGE(""https://docs.google.com/spreadsheets/d/1Dj4jcHCTV9JXKCaMoheSXS52JE63kDKyG7bPXnFogHk/edit?usp=sharing"&amp;""",""นครศรีธรรมราช!Q67"")+IMPORTRANGE(""https://docs.google.com/spreadsheets/d/1iodCdmuK2GR3jzUwk8tpccY2JHQQA-87DLOtJP-ooyU/edit?usp=sharing"",""นราธิวาส!Q67"")+IMPORTRANGE(""https://docs.google.com/spreadsheets/d/1SDNX3JhDdYRuIOsj0Wh2M-Qa_eaXl0NbWmhAOTbf"&amp;"QAs/edit?usp=sharing"",""ปัตตานี!Q67"")+IMPORTRANGE(""https://docs.google.com/spreadsheets/d/16JDLGguT8s5DsGCND1KcwHP_AWR_zDMTqLHPLJUKhaU/edit?usp=sharing"",""พังงา!Q67"")+IMPORTRANGE(""https://docs.google.com/spreadsheets/d/17ht0gPKzzT3PObBL1XJkeRmntBXI7"&amp;"wGjpLV7QorqlTk/edit?usp=sharing"",""พัทลุง!Q67"")+IMPORTRANGE(""https://docs.google.com/spreadsheets/d/1rd4qoM1q_hsgaolqNGfrim9gbsoLxQsda4-vOz5x_BM/edit?usp=sharing"",""ภูเก็ต!Q67"")+IMPORTRANGE(""https://docs.google.com/spreadsheets/d/1woKwKjgoLssDvPcPeV"&amp;"yezB5izizAn4X1JDrys69n6xI/edit?usp=sharing"",""ยะลา!Q67"")+IMPORTRANGE(""https://docs.google.com/spreadsheets/d/1qfrKjzMhm2HJfxQ-qVlJlJQ25Hne1d0khsySbZyGtPA/edit?usp=sharing"",""ระนอง!Q67"")+IMPORTRANGE(""https://docs.google.com/spreadsheets/d/1IbSCnFOKpZ"&amp;"snFogBHJnL_isstZVaOMnFiIN0fGTPZZw/edit?usp=sharing"",""สงขลา!Q67"")+IMPORTRANGE(""https://docs.google.com/spreadsheets/d/1q9nWasZJ-K8bFGvbE9n0qSRuKGA4Toe3Y89cKCiVtCU/edit?usp=sharing"",""สตูล!Q67"")+IMPORTRANGE(""https://docs.google.com/spreadsheets/d/18T"&amp;"20gbkS_WBjdscyTOV05cvq_JqvqQ17C81mpxf7Ncs/edit?usp=sharing"",""สุราษฎร์ธานี!Q67"")"),0)</f>
        <v>0</v>
      </c>
      <c r="R67" s="111">
        <f ca="1">IFERROR(__xludf.DUMMYFUNCTION("IMPORTRANGE(""https://docs.google.com/spreadsheets/d/1kKUcYdkIfrgTSj8iHHHB2MD2FAtwyyocFgqGQn6ADyI/edit?usp=sharing"",""กระบี่!R67"")+IMPORTRANGE(""https://docs.google.com/spreadsheets/d/1GwtLaSlNZkLk7iDqcyZz22giiy40b_usZZBXYciEN1U/edit?usp=sharing"",""ชุม"&amp;"พร!R67"")+IMPORTRANGE(""https://docs.google.com/spreadsheets/d/16pAz3pOhQEZBhvFNMa5KGgZS6iKWpsKX0pg6tQmwFpo/edit?usp=sharing"",""ตรัง!R67"")+IMPORTRANGE(""https://docs.google.com/spreadsheets/d/1Dj4jcHCTV9JXKCaMoheSXS52JE63kDKyG7bPXnFogHk/edit?usp=sharing"&amp;""",""นครศรีธรรมราช!R67"")+IMPORTRANGE(""https://docs.google.com/spreadsheets/d/1iodCdmuK2GR3jzUwk8tpccY2JHQQA-87DLOtJP-ooyU/edit?usp=sharing"",""นราธิวาส!R67"")+IMPORTRANGE(""https://docs.google.com/spreadsheets/d/1SDNX3JhDdYRuIOsj0Wh2M-Qa_eaXl0NbWmhAOTbf"&amp;"QAs/edit?usp=sharing"",""ปัตตานี!R67"")+IMPORTRANGE(""https://docs.google.com/spreadsheets/d/16JDLGguT8s5DsGCND1KcwHP_AWR_zDMTqLHPLJUKhaU/edit?usp=sharing"",""พังงา!R67"")+IMPORTRANGE(""https://docs.google.com/spreadsheets/d/17ht0gPKzzT3PObBL1XJkeRmntBXI7"&amp;"wGjpLV7QorqlTk/edit?usp=sharing"",""พัทลุง!R67"")+IMPORTRANGE(""https://docs.google.com/spreadsheets/d/1rd4qoM1q_hsgaolqNGfrim9gbsoLxQsda4-vOz5x_BM/edit?usp=sharing"",""ภูเก็ต!R67"")+IMPORTRANGE(""https://docs.google.com/spreadsheets/d/1woKwKjgoLssDvPcPeV"&amp;"yezB5izizAn4X1JDrys69n6xI/edit?usp=sharing"",""ยะลา!R67"")+IMPORTRANGE(""https://docs.google.com/spreadsheets/d/1qfrKjzMhm2HJfxQ-qVlJlJQ25Hne1d0khsySbZyGtPA/edit?usp=sharing"",""ระนอง!R67"")+IMPORTRANGE(""https://docs.google.com/spreadsheets/d/1IbSCnFOKpZ"&amp;"snFogBHJnL_isstZVaOMnFiIN0fGTPZZw/edit?usp=sharing"",""สงขลา!R67"")+IMPORTRANGE(""https://docs.google.com/spreadsheets/d/1q9nWasZJ-K8bFGvbE9n0qSRuKGA4Toe3Y89cKCiVtCU/edit?usp=sharing"",""สตูล!R67"")+IMPORTRANGE(""https://docs.google.com/spreadsheets/d/18T"&amp;"20gbkS_WBjdscyTOV05cvq_JqvqQ17C81mpxf7Ncs/edit?usp=sharing"",""สุราษฎร์ธานี!R67"")"),0)</f>
        <v>0</v>
      </c>
      <c r="S67" s="111">
        <f ca="1">IFERROR(__xludf.DUMMYFUNCTION("IMPORTRANGE(""https://docs.google.com/spreadsheets/d/1kKUcYdkIfrgTSj8iHHHB2MD2FAtwyyocFgqGQn6ADyI/edit?usp=sharing"",""กระบี่!S67"")+IMPORTRANGE(""https://docs.google.com/spreadsheets/d/1GwtLaSlNZkLk7iDqcyZz22giiy40b_usZZBXYciEN1U/edit?usp=sharing"",""ชุม"&amp;"พร!S67"")+IMPORTRANGE(""https://docs.google.com/spreadsheets/d/16pAz3pOhQEZBhvFNMa5KGgZS6iKWpsKX0pg6tQmwFpo/edit?usp=sharing"",""ตรัง!S67"")+IMPORTRANGE(""https://docs.google.com/spreadsheets/d/1Dj4jcHCTV9JXKCaMoheSXS52JE63kDKyG7bPXnFogHk/edit?usp=sharing"&amp;""",""นครศรีธรรมราช!S67"")+IMPORTRANGE(""https://docs.google.com/spreadsheets/d/1iodCdmuK2GR3jzUwk8tpccY2JHQQA-87DLOtJP-ooyU/edit?usp=sharing"",""นราธิวาส!S67"")+IMPORTRANGE(""https://docs.google.com/spreadsheets/d/1SDNX3JhDdYRuIOsj0Wh2M-Qa_eaXl0NbWmhAOTbf"&amp;"QAs/edit?usp=sharing"",""ปัตตานี!S67"")+IMPORTRANGE(""https://docs.google.com/spreadsheets/d/16JDLGguT8s5DsGCND1KcwHP_AWR_zDMTqLHPLJUKhaU/edit?usp=sharing"",""พังงา!S67"")+IMPORTRANGE(""https://docs.google.com/spreadsheets/d/17ht0gPKzzT3PObBL1XJkeRmntBXI7"&amp;"wGjpLV7QorqlTk/edit?usp=sharing"",""พัทลุง!S67"")+IMPORTRANGE(""https://docs.google.com/spreadsheets/d/1rd4qoM1q_hsgaolqNGfrim9gbsoLxQsda4-vOz5x_BM/edit?usp=sharing"",""ภูเก็ต!S67"")+IMPORTRANGE(""https://docs.google.com/spreadsheets/d/1woKwKjgoLssDvPcPeV"&amp;"yezB5izizAn4X1JDrys69n6xI/edit?usp=sharing"",""ยะลา!S67"")+IMPORTRANGE(""https://docs.google.com/spreadsheets/d/1qfrKjzMhm2HJfxQ-qVlJlJQ25Hne1d0khsySbZyGtPA/edit?usp=sharing"",""ระนอง!S67"")+IMPORTRANGE(""https://docs.google.com/spreadsheets/d/1IbSCnFOKpZ"&amp;"snFogBHJnL_isstZVaOMnFiIN0fGTPZZw/edit?usp=sharing"",""สงขลา!S67"")+IMPORTRANGE(""https://docs.google.com/spreadsheets/d/1q9nWasZJ-K8bFGvbE9n0qSRuKGA4Toe3Y89cKCiVtCU/edit?usp=sharing"",""สตูล!S67"")+IMPORTRANGE(""https://docs.google.com/spreadsheets/d/18T"&amp;"20gbkS_WBjdscyTOV05cvq_JqvqQ17C81mpxf7Ncs/edit?usp=sharing"",""สุราษฎร์ธานี!S67"")"),0)</f>
        <v>0</v>
      </c>
      <c r="T67" s="111">
        <f t="shared" ca="1" si="40"/>
        <v>0</v>
      </c>
      <c r="U67" s="111">
        <f t="shared" ca="1" si="41"/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123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t="shared" ref="I70:J70" ca="1" si="50">I82</f>
        <v>4</v>
      </c>
      <c r="J70" s="127">
        <f t="shared" ca="1" si="50"/>
        <v>3</v>
      </c>
      <c r="K70" s="35">
        <f t="shared" ref="K70:K71" ca="1" si="51">IF(I70&gt;0,J70*100/I70,0)</f>
        <v>75</v>
      </c>
      <c r="L70" s="34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t="shared" ref="I71:J71" ca="1" si="52">I83</f>
        <v>121</v>
      </c>
      <c r="J71" s="127">
        <f t="shared" ca="1" si="52"/>
        <v>91</v>
      </c>
      <c r="K71" s="35">
        <f t="shared" ca="1" si="51"/>
        <v>75.206611570247929</v>
      </c>
      <c r="L71" s="34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129" t="s">
        <v>18</v>
      </c>
      <c r="D72" s="130" t="s">
        <v>19</v>
      </c>
      <c r="E72" s="41"/>
      <c r="F72" s="41"/>
      <c r="G72" s="43"/>
      <c r="H72" s="131" t="s">
        <v>14</v>
      </c>
      <c r="I72" s="45"/>
      <c r="J72" s="45"/>
      <c r="K72" s="46"/>
      <c r="L72" s="132">
        <f t="shared" ref="L72:N72" ca="1" si="53">L73+L74</f>
        <v>795900</v>
      </c>
      <c r="M72" s="132">
        <f t="shared" ca="1" si="53"/>
        <v>795900</v>
      </c>
      <c r="N72" s="132">
        <f t="shared" ca="1" si="53"/>
        <v>535892.77</v>
      </c>
      <c r="O72" s="132">
        <f t="shared" ref="O72:O80" ca="1" si="54">IF(L72&gt;0,N72*100/L72,0)</f>
        <v>67.331671064204045</v>
      </c>
      <c r="P72" s="132">
        <f t="shared" ref="P72:P80" ca="1" si="55">IF(M72&gt;0,N72*100/M72,0)</f>
        <v>67.331671064204045</v>
      </c>
      <c r="Q72" s="132">
        <f t="shared" ref="Q72:S72" ca="1" si="56">Q73+Q74</f>
        <v>1525812</v>
      </c>
      <c r="R72" s="132">
        <f t="shared" ca="1" si="56"/>
        <v>1525812</v>
      </c>
      <c r="S72" s="132">
        <f t="shared" ca="1" si="56"/>
        <v>255319</v>
      </c>
      <c r="T72" s="132">
        <f t="shared" ref="T72:T80" ca="1" si="57">IF(Q72&gt;0,S72*100/Q72,0)</f>
        <v>16.733319701247598</v>
      </c>
      <c r="U72" s="132">
        <f t="shared" ref="U72:U80" ca="1" si="58">IF(R72&gt;0,S72*100/R72,0)</f>
        <v>16.733319701247598</v>
      </c>
    </row>
    <row r="73" spans="1:21" ht="18.75" hidden="1" x14ac:dyDescent="0.25">
      <c r="A73" s="128"/>
      <c r="B73" s="41"/>
      <c r="C73" s="41"/>
      <c r="D73" s="41"/>
      <c r="E73" s="48" t="s">
        <v>20</v>
      </c>
      <c r="F73" s="41"/>
      <c r="G73" s="43"/>
      <c r="H73" s="133" t="s">
        <v>14</v>
      </c>
      <c r="I73" s="45"/>
      <c r="J73" s="45"/>
      <c r="K73" s="46"/>
      <c r="L73" s="47">
        <f t="shared" ref="L73:N73" ca="1" si="59">L76+L79</f>
        <v>0</v>
      </c>
      <c r="M73" s="47">
        <f t="shared" ca="1" si="59"/>
        <v>0</v>
      </c>
      <c r="N73" s="47">
        <f t="shared" ca="1" si="59"/>
        <v>0</v>
      </c>
      <c r="O73" s="47">
        <f t="shared" ca="1" si="54"/>
        <v>0</v>
      </c>
      <c r="P73" s="47">
        <f t="shared" ca="1" si="55"/>
        <v>0</v>
      </c>
      <c r="Q73" s="47">
        <f t="shared" ref="Q73:S73" ca="1" si="60">Q76+Q79</f>
        <v>0</v>
      </c>
      <c r="R73" s="47">
        <f t="shared" ca="1" si="60"/>
        <v>0</v>
      </c>
      <c r="S73" s="47">
        <f t="shared" ca="1" si="60"/>
        <v>0</v>
      </c>
      <c r="T73" s="49">
        <f t="shared" ca="1" si="57"/>
        <v>0</v>
      </c>
      <c r="U73" s="49">
        <f t="shared" ca="1" si="58"/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47">
        <f t="shared" ref="L74:N74" ca="1" si="61">L77+L80</f>
        <v>795900</v>
      </c>
      <c r="M74" s="47">
        <f t="shared" ca="1" si="61"/>
        <v>795900</v>
      </c>
      <c r="N74" s="47">
        <f t="shared" ca="1" si="61"/>
        <v>535892.77</v>
      </c>
      <c r="O74" s="47">
        <f t="shared" ca="1" si="54"/>
        <v>67.331671064204045</v>
      </c>
      <c r="P74" s="47">
        <f t="shared" ca="1" si="55"/>
        <v>67.331671064204045</v>
      </c>
      <c r="Q74" s="47">
        <f t="shared" ref="Q74:S74" ca="1" si="62">Q77+Q80</f>
        <v>1525812</v>
      </c>
      <c r="R74" s="47">
        <f t="shared" ca="1" si="62"/>
        <v>1525812</v>
      </c>
      <c r="S74" s="47">
        <f t="shared" ca="1" si="62"/>
        <v>255319</v>
      </c>
      <c r="T74" s="47">
        <f t="shared" ca="1" si="57"/>
        <v>16.733319701247598</v>
      </c>
      <c r="U74" s="47">
        <f t="shared" ca="1" si="58"/>
        <v>16.733319701247598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47">
        <f t="shared" ref="L75:N75" ca="1" si="63">L76+L77</f>
        <v>795900</v>
      </c>
      <c r="M75" s="47">
        <f t="shared" ca="1" si="63"/>
        <v>795900</v>
      </c>
      <c r="N75" s="47">
        <f t="shared" ca="1" si="63"/>
        <v>535892.77</v>
      </c>
      <c r="O75" s="47">
        <f t="shared" ca="1" si="54"/>
        <v>67.331671064204045</v>
      </c>
      <c r="P75" s="47">
        <f t="shared" ca="1" si="55"/>
        <v>67.331671064204045</v>
      </c>
      <c r="Q75" s="47">
        <f t="shared" ref="Q75:S75" ca="1" si="64">Q76+Q77</f>
        <v>1525812</v>
      </c>
      <c r="R75" s="47">
        <f t="shared" ca="1" si="64"/>
        <v>1525812</v>
      </c>
      <c r="S75" s="47">
        <f t="shared" ca="1" si="64"/>
        <v>255319</v>
      </c>
      <c r="T75" s="47">
        <f t="shared" ca="1" si="57"/>
        <v>16.733319701247598</v>
      </c>
      <c r="U75" s="47">
        <f t="shared" ca="1" si="58"/>
        <v>16.733319701247598</v>
      </c>
    </row>
    <row r="76" spans="1:21" ht="18.75" hidden="1" x14ac:dyDescent="0.25">
      <c r="A76" s="128"/>
      <c r="B76" s="41"/>
      <c r="C76" s="41"/>
      <c r="D76" s="41"/>
      <c r="E76" s="48" t="s">
        <v>36</v>
      </c>
      <c r="F76" s="41"/>
      <c r="G76" s="43"/>
      <c r="H76" s="134" t="s">
        <v>14</v>
      </c>
      <c r="I76" s="135"/>
      <c r="J76" s="135"/>
      <c r="K76" s="136"/>
      <c r="L76" s="47">
        <f ca="1">IFERROR(__xludf.DUMMYFUNCTION("IMPORTRANGE(""https://docs.google.com/spreadsheets/d/1kKUcYdkIfrgTSj8iHHHB2MD2FAtwyyocFgqGQn6ADyI/edit?usp=sharing"",""กระบี่!L76"")+IMPORTRANGE(""https://docs.google.com/spreadsheets/d/1GwtLaSlNZkLk7iDqcyZz22giiy40b_usZZBXYciEN1U/edit?usp=sharing"",""ชุม"&amp;"พร!L76"")+IMPORTRANGE(""https://docs.google.com/spreadsheets/d/16pAz3pOhQEZBhvFNMa5KGgZS6iKWpsKX0pg6tQmwFpo/edit?usp=sharing"",""ตรัง!L76"")+IMPORTRANGE(""https://docs.google.com/spreadsheets/d/1Dj4jcHCTV9JXKCaMoheSXS52JE63kDKyG7bPXnFogHk/edit?usp=sharing"&amp;""",""นครศรีธรรมราช!L76"")+IMPORTRANGE(""https://docs.google.com/spreadsheets/d/1iodCdmuK2GR3jzUwk8tpccY2JHQQA-87DLOtJP-ooyU/edit?usp=sharing"",""นราธิวาส!L76"")+IMPORTRANGE(""https://docs.google.com/spreadsheets/d/1SDNX3JhDdYRuIOsj0Wh2M-Qa_eaXl0NbWmhAOTbf"&amp;"QAs/edit?usp=sharing"",""ปัตตานี!L76"")+IMPORTRANGE(""https://docs.google.com/spreadsheets/d/16JDLGguT8s5DsGCND1KcwHP_AWR_zDMTqLHPLJUKhaU/edit?usp=sharing"",""พังงา!L76"")+IMPORTRANGE(""https://docs.google.com/spreadsheets/d/17ht0gPKzzT3PObBL1XJkeRmntBXI7"&amp;"wGjpLV7QorqlTk/edit?usp=sharing"",""พัทลุง!L76"")+IMPORTRANGE(""https://docs.google.com/spreadsheets/d/1rd4qoM1q_hsgaolqNGfrim9gbsoLxQsda4-vOz5x_BM/edit?usp=sharing"",""ภูเก็ต!L76"")+IMPORTRANGE(""https://docs.google.com/spreadsheets/d/1woKwKjgoLssDvPcPeV"&amp;"yezB5izizAn4X1JDrys69n6xI/edit?usp=sharing"",""ยะลา!L76"")+IMPORTRANGE(""https://docs.google.com/spreadsheets/d/1qfrKjzMhm2HJfxQ-qVlJlJQ25Hne1d0khsySbZyGtPA/edit?usp=sharing"",""ระนอง!L76"")+IMPORTRANGE(""https://docs.google.com/spreadsheets/d/1IbSCnFOKpZ"&amp;"snFogBHJnL_isstZVaOMnFiIN0fGTPZZw/edit?usp=sharing"",""สงขลา!L76"")+IMPORTRANGE(""https://docs.google.com/spreadsheets/d/1q9nWasZJ-K8bFGvbE9n0qSRuKGA4Toe3Y89cKCiVtCU/edit?usp=sharing"",""สตูล!L76"")+IMPORTRANGE(""https://docs.google.com/spreadsheets/d/18T"&amp;"20gbkS_WBjdscyTOV05cvq_JqvqQ17C81mpxf7Ncs/edit?usp=sharing"",""สุราษฎร์ธานี!L76"")"),0)</f>
        <v>0</v>
      </c>
      <c r="M76" s="47">
        <f ca="1">IFERROR(__xludf.DUMMYFUNCTION("IMPORTRANGE(""https://docs.google.com/spreadsheets/d/1kKUcYdkIfrgTSj8iHHHB2MD2FAtwyyocFgqGQn6ADyI/edit?usp=sharing"",""กระบี่!M76"")+IMPORTRANGE(""https://docs.google.com/spreadsheets/d/1GwtLaSlNZkLk7iDqcyZz22giiy40b_usZZBXYciEN1U/edit?usp=sharing"",""ชุม"&amp;"พร!M76"")+IMPORTRANGE(""https://docs.google.com/spreadsheets/d/16pAz3pOhQEZBhvFNMa5KGgZS6iKWpsKX0pg6tQmwFpo/edit?usp=sharing"",""ตรัง!M76"")+IMPORTRANGE(""https://docs.google.com/spreadsheets/d/1Dj4jcHCTV9JXKCaMoheSXS52JE63kDKyG7bPXnFogHk/edit?usp=sharing"&amp;""",""นครศรีธรรมราช!M76"")+IMPORTRANGE(""https://docs.google.com/spreadsheets/d/1iodCdmuK2GR3jzUwk8tpccY2JHQQA-87DLOtJP-ooyU/edit?usp=sharing"",""นราธิวาส!M76"")+IMPORTRANGE(""https://docs.google.com/spreadsheets/d/1SDNX3JhDdYRuIOsj0Wh2M-Qa_eaXl0NbWmhAOTbf"&amp;"QAs/edit?usp=sharing"",""ปัตตานี!M76"")+IMPORTRANGE(""https://docs.google.com/spreadsheets/d/16JDLGguT8s5DsGCND1KcwHP_AWR_zDMTqLHPLJUKhaU/edit?usp=sharing"",""พังงา!M76"")+IMPORTRANGE(""https://docs.google.com/spreadsheets/d/17ht0gPKzzT3PObBL1XJkeRmntBXI7"&amp;"wGjpLV7QorqlTk/edit?usp=sharing"",""พัทลุง!M76"")+IMPORTRANGE(""https://docs.google.com/spreadsheets/d/1rd4qoM1q_hsgaolqNGfrim9gbsoLxQsda4-vOz5x_BM/edit?usp=sharing"",""ภูเก็ต!M76"")+IMPORTRANGE(""https://docs.google.com/spreadsheets/d/1woKwKjgoLssDvPcPeV"&amp;"yezB5izizAn4X1JDrys69n6xI/edit?usp=sharing"",""ยะลา!M76"")+IMPORTRANGE(""https://docs.google.com/spreadsheets/d/1qfrKjzMhm2HJfxQ-qVlJlJQ25Hne1d0khsySbZyGtPA/edit?usp=sharing"",""ระนอง!M76"")+IMPORTRANGE(""https://docs.google.com/spreadsheets/d/1IbSCnFOKpZ"&amp;"snFogBHJnL_isstZVaOMnFiIN0fGTPZZw/edit?usp=sharing"",""สงขลา!M76"")+IMPORTRANGE(""https://docs.google.com/spreadsheets/d/1q9nWasZJ-K8bFGvbE9n0qSRuKGA4Toe3Y89cKCiVtCU/edit?usp=sharing"",""สตูล!M76"")+IMPORTRANGE(""https://docs.google.com/spreadsheets/d/18T"&amp;"20gbkS_WBjdscyTOV05cvq_JqvqQ17C81mpxf7Ncs/edit?usp=sharing"",""สุราษฎร์ธานี!M76"")"),0)</f>
        <v>0</v>
      </c>
      <c r="N76" s="47">
        <f ca="1">IFERROR(__xludf.DUMMYFUNCTION("IMPORTRANGE(""https://docs.google.com/spreadsheets/d/1kKUcYdkIfrgTSj8iHHHB2MD2FAtwyyocFgqGQn6ADyI/edit?usp=sharing"",""กระบี่!N76"")+IMPORTRANGE(""https://docs.google.com/spreadsheets/d/1GwtLaSlNZkLk7iDqcyZz22giiy40b_usZZBXYciEN1U/edit?usp=sharing"",""ชุม"&amp;"พร!N76"")+IMPORTRANGE(""https://docs.google.com/spreadsheets/d/16pAz3pOhQEZBhvFNMa5KGgZS6iKWpsKX0pg6tQmwFpo/edit?usp=sharing"",""ตรัง!N76"")+IMPORTRANGE(""https://docs.google.com/spreadsheets/d/1Dj4jcHCTV9JXKCaMoheSXS52JE63kDKyG7bPXnFogHk/edit?usp=sharing"&amp;""",""นครศรีธรรมราช!N76"")+IMPORTRANGE(""https://docs.google.com/spreadsheets/d/1iodCdmuK2GR3jzUwk8tpccY2JHQQA-87DLOtJP-ooyU/edit?usp=sharing"",""นราธิวาส!N76"")+IMPORTRANGE(""https://docs.google.com/spreadsheets/d/1SDNX3JhDdYRuIOsj0Wh2M-Qa_eaXl0NbWmhAOTbf"&amp;"QAs/edit?usp=sharing"",""ปัตตานี!N76"")+IMPORTRANGE(""https://docs.google.com/spreadsheets/d/16JDLGguT8s5DsGCND1KcwHP_AWR_zDMTqLHPLJUKhaU/edit?usp=sharing"",""พังงา!N76"")+IMPORTRANGE(""https://docs.google.com/spreadsheets/d/17ht0gPKzzT3PObBL1XJkeRmntBXI7"&amp;"wGjpLV7QorqlTk/edit?usp=sharing"",""พัทลุง!N76"")+IMPORTRANGE(""https://docs.google.com/spreadsheets/d/1rd4qoM1q_hsgaolqNGfrim9gbsoLxQsda4-vOz5x_BM/edit?usp=sharing"",""ภูเก็ต!N76"")+IMPORTRANGE(""https://docs.google.com/spreadsheets/d/1woKwKjgoLssDvPcPeV"&amp;"yezB5izizAn4X1JDrys69n6xI/edit?usp=sharing"",""ยะลา!N76"")+IMPORTRANGE(""https://docs.google.com/spreadsheets/d/1qfrKjzMhm2HJfxQ-qVlJlJQ25Hne1d0khsySbZyGtPA/edit?usp=sharing"",""ระนอง!N76"")+IMPORTRANGE(""https://docs.google.com/spreadsheets/d/1IbSCnFOKpZ"&amp;"snFogBHJnL_isstZVaOMnFiIN0fGTPZZw/edit?usp=sharing"",""สงขลา!N76"")+IMPORTRANGE(""https://docs.google.com/spreadsheets/d/1q9nWasZJ-K8bFGvbE9n0qSRuKGA4Toe3Y89cKCiVtCU/edit?usp=sharing"",""สตูล!N76"")+IMPORTRANGE(""https://docs.google.com/spreadsheets/d/18T"&amp;"20gbkS_WBjdscyTOV05cvq_JqvqQ17C81mpxf7Ncs/edit?usp=sharing"",""สุราษฎร์ธานี!N76"")"),0)</f>
        <v>0</v>
      </c>
      <c r="O76" s="47">
        <f t="shared" ca="1" si="54"/>
        <v>0</v>
      </c>
      <c r="P76" s="47">
        <f t="shared" ca="1" si="55"/>
        <v>0</v>
      </c>
      <c r="Q76" s="47">
        <f ca="1">IFERROR(__xludf.DUMMYFUNCTION("IMPORTRANGE(""https://docs.google.com/spreadsheets/d/1kKUcYdkIfrgTSj8iHHHB2MD2FAtwyyocFgqGQn6ADyI/edit?usp=sharing"",""กระบี่!Q76"")+IMPORTRANGE(""https://docs.google.com/spreadsheets/d/1GwtLaSlNZkLk7iDqcyZz22giiy40b_usZZBXYciEN1U/edit?usp=sharing"",""ชุม"&amp;"พร!Q76"")+IMPORTRANGE(""https://docs.google.com/spreadsheets/d/16pAz3pOhQEZBhvFNMa5KGgZS6iKWpsKX0pg6tQmwFpo/edit?usp=sharing"",""ตรัง!Q76"")+IMPORTRANGE(""https://docs.google.com/spreadsheets/d/1Dj4jcHCTV9JXKCaMoheSXS52JE63kDKyG7bPXnFogHk/edit?usp=sharing"&amp;""",""นครศรีธรรมราช!Q76"")+IMPORTRANGE(""https://docs.google.com/spreadsheets/d/1iodCdmuK2GR3jzUwk8tpccY2JHQQA-87DLOtJP-ooyU/edit?usp=sharing"",""นราธิวาส!Q76"")+IMPORTRANGE(""https://docs.google.com/spreadsheets/d/1SDNX3JhDdYRuIOsj0Wh2M-Qa_eaXl0NbWmhAOTbf"&amp;"QAs/edit?usp=sharing"",""ปัตตานี!Q76"")+IMPORTRANGE(""https://docs.google.com/spreadsheets/d/16JDLGguT8s5DsGCND1KcwHP_AWR_zDMTqLHPLJUKhaU/edit?usp=sharing"",""พังงา!Q76"")+IMPORTRANGE(""https://docs.google.com/spreadsheets/d/17ht0gPKzzT3PObBL1XJkeRmntBXI7"&amp;"wGjpLV7QorqlTk/edit?usp=sharing"",""พัทลุง!Q76"")+IMPORTRANGE(""https://docs.google.com/spreadsheets/d/1rd4qoM1q_hsgaolqNGfrim9gbsoLxQsda4-vOz5x_BM/edit?usp=sharing"",""ภูเก็ต!Q76"")+IMPORTRANGE(""https://docs.google.com/spreadsheets/d/1woKwKjgoLssDvPcPeV"&amp;"yezB5izizAn4X1JDrys69n6xI/edit?usp=sharing"",""ยะลา!Q76"")+IMPORTRANGE(""https://docs.google.com/spreadsheets/d/1qfrKjzMhm2HJfxQ-qVlJlJQ25Hne1d0khsySbZyGtPA/edit?usp=sharing"",""ระนอง!Q76"")+IMPORTRANGE(""https://docs.google.com/spreadsheets/d/1IbSCnFOKpZ"&amp;"snFogBHJnL_isstZVaOMnFiIN0fGTPZZw/edit?usp=sharing"",""สงขลา!Q76"")+IMPORTRANGE(""https://docs.google.com/spreadsheets/d/1q9nWasZJ-K8bFGvbE9n0qSRuKGA4Toe3Y89cKCiVtCU/edit?usp=sharing"",""สตูล!Q76"")+IMPORTRANGE(""https://docs.google.com/spreadsheets/d/18T"&amp;"20gbkS_WBjdscyTOV05cvq_JqvqQ17C81mpxf7Ncs/edit?usp=sharing"",""สุราษฎร์ธานี!Q76"")"),0)</f>
        <v>0</v>
      </c>
      <c r="R76" s="47">
        <f ca="1">IFERROR(__xludf.DUMMYFUNCTION("IMPORTRANGE(""https://docs.google.com/spreadsheets/d/1kKUcYdkIfrgTSj8iHHHB2MD2FAtwyyocFgqGQn6ADyI/edit?usp=sharing"",""กระบี่!R76"")+IMPORTRANGE(""https://docs.google.com/spreadsheets/d/1GwtLaSlNZkLk7iDqcyZz22giiy40b_usZZBXYciEN1U/edit?usp=sharing"",""ชุม"&amp;"พร!R76"")+IMPORTRANGE(""https://docs.google.com/spreadsheets/d/16pAz3pOhQEZBhvFNMa5KGgZS6iKWpsKX0pg6tQmwFpo/edit?usp=sharing"",""ตรัง!R76"")+IMPORTRANGE(""https://docs.google.com/spreadsheets/d/1Dj4jcHCTV9JXKCaMoheSXS52JE63kDKyG7bPXnFogHk/edit?usp=sharing"&amp;""",""นครศรีธรรมราช!R76"")+IMPORTRANGE(""https://docs.google.com/spreadsheets/d/1iodCdmuK2GR3jzUwk8tpccY2JHQQA-87DLOtJP-ooyU/edit?usp=sharing"",""นราธิวาส!R76"")+IMPORTRANGE(""https://docs.google.com/spreadsheets/d/1SDNX3JhDdYRuIOsj0Wh2M-Qa_eaXl0NbWmhAOTbf"&amp;"QAs/edit?usp=sharing"",""ปัตตานี!R76"")+IMPORTRANGE(""https://docs.google.com/spreadsheets/d/16JDLGguT8s5DsGCND1KcwHP_AWR_zDMTqLHPLJUKhaU/edit?usp=sharing"",""พังงา!R76"")+IMPORTRANGE(""https://docs.google.com/spreadsheets/d/17ht0gPKzzT3PObBL1XJkeRmntBXI7"&amp;"wGjpLV7QorqlTk/edit?usp=sharing"",""พัทลุง!R76"")+IMPORTRANGE(""https://docs.google.com/spreadsheets/d/1rd4qoM1q_hsgaolqNGfrim9gbsoLxQsda4-vOz5x_BM/edit?usp=sharing"",""ภูเก็ต!R76"")+IMPORTRANGE(""https://docs.google.com/spreadsheets/d/1woKwKjgoLssDvPcPeV"&amp;"yezB5izizAn4X1JDrys69n6xI/edit?usp=sharing"",""ยะลา!R76"")+IMPORTRANGE(""https://docs.google.com/spreadsheets/d/1qfrKjzMhm2HJfxQ-qVlJlJQ25Hne1d0khsySbZyGtPA/edit?usp=sharing"",""ระนอง!R76"")+IMPORTRANGE(""https://docs.google.com/spreadsheets/d/1IbSCnFOKpZ"&amp;"snFogBHJnL_isstZVaOMnFiIN0fGTPZZw/edit?usp=sharing"",""สงขลา!R76"")+IMPORTRANGE(""https://docs.google.com/spreadsheets/d/1q9nWasZJ-K8bFGvbE9n0qSRuKGA4Toe3Y89cKCiVtCU/edit?usp=sharing"",""สตูล!R76"")+IMPORTRANGE(""https://docs.google.com/spreadsheets/d/18T"&amp;"20gbkS_WBjdscyTOV05cvq_JqvqQ17C81mpxf7Ncs/edit?usp=sharing"",""สุราษฎร์ธานี!R76"")"),0)</f>
        <v>0</v>
      </c>
      <c r="S76" s="47">
        <f ca="1">IFERROR(__xludf.DUMMYFUNCTION("IMPORTRANGE(""https://docs.google.com/spreadsheets/d/1kKUcYdkIfrgTSj8iHHHB2MD2FAtwyyocFgqGQn6ADyI/edit?usp=sharing"",""กระบี่!S76"")+IMPORTRANGE(""https://docs.google.com/spreadsheets/d/1GwtLaSlNZkLk7iDqcyZz22giiy40b_usZZBXYciEN1U/edit?usp=sharing"",""ชุม"&amp;"พร!S76"")+IMPORTRANGE(""https://docs.google.com/spreadsheets/d/16pAz3pOhQEZBhvFNMa5KGgZS6iKWpsKX0pg6tQmwFpo/edit?usp=sharing"",""ตรัง!S76"")+IMPORTRANGE(""https://docs.google.com/spreadsheets/d/1Dj4jcHCTV9JXKCaMoheSXS52JE63kDKyG7bPXnFogHk/edit?usp=sharing"&amp;""",""นครศรีธรรมราช!S76"")+IMPORTRANGE(""https://docs.google.com/spreadsheets/d/1iodCdmuK2GR3jzUwk8tpccY2JHQQA-87DLOtJP-ooyU/edit?usp=sharing"",""นราธิวาส!S76"")+IMPORTRANGE(""https://docs.google.com/spreadsheets/d/1SDNX3JhDdYRuIOsj0Wh2M-Qa_eaXl0NbWmhAOTbf"&amp;"QAs/edit?usp=sharing"",""ปัตตานี!S76"")+IMPORTRANGE(""https://docs.google.com/spreadsheets/d/16JDLGguT8s5DsGCND1KcwHP_AWR_zDMTqLHPLJUKhaU/edit?usp=sharing"",""พังงา!S76"")+IMPORTRANGE(""https://docs.google.com/spreadsheets/d/17ht0gPKzzT3PObBL1XJkeRmntBXI7"&amp;"wGjpLV7QorqlTk/edit?usp=sharing"",""พัทลุง!S76"")+IMPORTRANGE(""https://docs.google.com/spreadsheets/d/1rd4qoM1q_hsgaolqNGfrim9gbsoLxQsda4-vOz5x_BM/edit?usp=sharing"",""ภูเก็ต!S76"")+IMPORTRANGE(""https://docs.google.com/spreadsheets/d/1woKwKjgoLssDvPcPeV"&amp;"yezB5izizAn4X1JDrys69n6xI/edit?usp=sharing"",""ยะลา!S76"")+IMPORTRANGE(""https://docs.google.com/spreadsheets/d/1qfrKjzMhm2HJfxQ-qVlJlJQ25Hne1d0khsySbZyGtPA/edit?usp=sharing"",""ระนอง!S76"")+IMPORTRANGE(""https://docs.google.com/spreadsheets/d/1IbSCnFOKpZ"&amp;"snFogBHJnL_isstZVaOMnFiIN0fGTPZZw/edit?usp=sharing"",""สงขลา!S76"")+IMPORTRANGE(""https://docs.google.com/spreadsheets/d/1q9nWasZJ-K8bFGvbE9n0qSRuKGA4Toe3Y89cKCiVtCU/edit?usp=sharing"",""สตูล!S76"")+IMPORTRANGE(""https://docs.google.com/spreadsheets/d/18T"&amp;"20gbkS_WBjdscyTOV05cvq_JqvqQ17C81mpxf7Ncs/edit?usp=sharing"",""สุราษฎร์ธานี!S76"")"),0)</f>
        <v>0</v>
      </c>
      <c r="T76" s="49">
        <f t="shared" ca="1" si="57"/>
        <v>0</v>
      </c>
      <c r="U76" s="49">
        <f t="shared" ca="1" si="58"/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47">
        <f ca="1">IFERROR(__xludf.DUMMYFUNCTION("IMPORTRANGE(""https://docs.google.com/spreadsheets/d/1kKUcYdkIfrgTSj8iHHHB2MD2FAtwyyocFgqGQn6ADyI/edit?usp=sharing"",""กระบี่!L77"")+IMPORTRANGE(""https://docs.google.com/spreadsheets/d/1GwtLaSlNZkLk7iDqcyZz22giiy40b_usZZBXYciEN1U/edit?usp=sharing"",""ชุม"&amp;"พร!L77"")+IMPORTRANGE(""https://docs.google.com/spreadsheets/d/16pAz3pOhQEZBhvFNMa5KGgZS6iKWpsKX0pg6tQmwFpo/edit?usp=sharing"",""ตรัง!L77"")+IMPORTRANGE(""https://docs.google.com/spreadsheets/d/1Dj4jcHCTV9JXKCaMoheSXS52JE63kDKyG7bPXnFogHk/edit?usp=sharing"&amp;""",""นครศรีธรรมราช!L77"")+IMPORTRANGE(""https://docs.google.com/spreadsheets/d/1iodCdmuK2GR3jzUwk8tpccY2JHQQA-87DLOtJP-ooyU/edit?usp=sharing"",""นราธิวาส!L77"")+IMPORTRANGE(""https://docs.google.com/spreadsheets/d/1SDNX3JhDdYRuIOsj0Wh2M-Qa_eaXl0NbWmhAOTbf"&amp;"QAs/edit?usp=sharing"",""ปัตตานี!L77"")+IMPORTRANGE(""https://docs.google.com/spreadsheets/d/16JDLGguT8s5DsGCND1KcwHP_AWR_zDMTqLHPLJUKhaU/edit?usp=sharing"",""พังงา!L77"")+IMPORTRANGE(""https://docs.google.com/spreadsheets/d/17ht0gPKzzT3PObBL1XJkeRmntBXI7"&amp;"wGjpLV7QorqlTk/edit?usp=sharing"",""พัทลุง!L77"")+IMPORTRANGE(""https://docs.google.com/spreadsheets/d/1rd4qoM1q_hsgaolqNGfrim9gbsoLxQsda4-vOz5x_BM/edit?usp=sharing"",""ภูเก็ต!L77"")+IMPORTRANGE(""https://docs.google.com/spreadsheets/d/1woKwKjgoLssDvPcPeV"&amp;"yezB5izizAn4X1JDrys69n6xI/edit?usp=sharing"",""ยะลา!L77"")+IMPORTRANGE(""https://docs.google.com/spreadsheets/d/1qfrKjzMhm2HJfxQ-qVlJlJQ25Hne1d0khsySbZyGtPA/edit?usp=sharing"",""ระนอง!L77"")+IMPORTRANGE(""https://docs.google.com/spreadsheets/d/1IbSCnFOKpZ"&amp;"snFogBHJnL_isstZVaOMnFiIN0fGTPZZw/edit?usp=sharing"",""สงขลา!L77"")+IMPORTRANGE(""https://docs.google.com/spreadsheets/d/1q9nWasZJ-K8bFGvbE9n0qSRuKGA4Toe3Y89cKCiVtCU/edit?usp=sharing"",""สตูล!L77"")+IMPORTRANGE(""https://docs.google.com/spreadsheets/d/18T"&amp;"20gbkS_WBjdscyTOV05cvq_JqvqQ17C81mpxf7Ncs/edit?usp=sharing"",""สุราษฎร์ธานี!L77"")"),795900)</f>
        <v>795900</v>
      </c>
      <c r="M77" s="47">
        <f ca="1">IFERROR(__xludf.DUMMYFUNCTION("IMPORTRANGE(""https://docs.google.com/spreadsheets/d/1kKUcYdkIfrgTSj8iHHHB2MD2FAtwyyocFgqGQn6ADyI/edit?usp=sharing"",""กระบี่!M77"")+IMPORTRANGE(""https://docs.google.com/spreadsheets/d/1GwtLaSlNZkLk7iDqcyZz22giiy40b_usZZBXYciEN1U/edit?usp=sharing"",""ชุม"&amp;"พร!M77"")+IMPORTRANGE(""https://docs.google.com/spreadsheets/d/16pAz3pOhQEZBhvFNMa5KGgZS6iKWpsKX0pg6tQmwFpo/edit?usp=sharing"",""ตรัง!M77"")+IMPORTRANGE(""https://docs.google.com/spreadsheets/d/1Dj4jcHCTV9JXKCaMoheSXS52JE63kDKyG7bPXnFogHk/edit?usp=sharing"&amp;""",""นครศรีธรรมราช!M77"")+IMPORTRANGE(""https://docs.google.com/spreadsheets/d/1iodCdmuK2GR3jzUwk8tpccY2JHQQA-87DLOtJP-ooyU/edit?usp=sharing"",""นราธิวาส!M77"")+IMPORTRANGE(""https://docs.google.com/spreadsheets/d/1SDNX3JhDdYRuIOsj0Wh2M-Qa_eaXl0NbWmhAOTbf"&amp;"QAs/edit?usp=sharing"",""ปัตตานี!M77"")+IMPORTRANGE(""https://docs.google.com/spreadsheets/d/16JDLGguT8s5DsGCND1KcwHP_AWR_zDMTqLHPLJUKhaU/edit?usp=sharing"",""พังงา!M77"")+IMPORTRANGE(""https://docs.google.com/spreadsheets/d/17ht0gPKzzT3PObBL1XJkeRmntBXI7"&amp;"wGjpLV7QorqlTk/edit?usp=sharing"",""พัทลุง!M77"")+IMPORTRANGE(""https://docs.google.com/spreadsheets/d/1rd4qoM1q_hsgaolqNGfrim9gbsoLxQsda4-vOz5x_BM/edit?usp=sharing"",""ภูเก็ต!M77"")+IMPORTRANGE(""https://docs.google.com/spreadsheets/d/1woKwKjgoLssDvPcPeV"&amp;"yezB5izizAn4X1JDrys69n6xI/edit?usp=sharing"",""ยะลา!M77"")+IMPORTRANGE(""https://docs.google.com/spreadsheets/d/1qfrKjzMhm2HJfxQ-qVlJlJQ25Hne1d0khsySbZyGtPA/edit?usp=sharing"",""ระนอง!M77"")+IMPORTRANGE(""https://docs.google.com/spreadsheets/d/1IbSCnFOKpZ"&amp;"snFogBHJnL_isstZVaOMnFiIN0fGTPZZw/edit?usp=sharing"",""สงขลา!M77"")+IMPORTRANGE(""https://docs.google.com/spreadsheets/d/1q9nWasZJ-K8bFGvbE9n0qSRuKGA4Toe3Y89cKCiVtCU/edit?usp=sharing"",""สตูล!M77"")+IMPORTRANGE(""https://docs.google.com/spreadsheets/d/18T"&amp;"20gbkS_WBjdscyTOV05cvq_JqvqQ17C81mpxf7Ncs/edit?usp=sharing"",""สุราษฎร์ธานี!M77"")"),795900)</f>
        <v>795900</v>
      </c>
      <c r="N77" s="47">
        <f ca="1">IFERROR(__xludf.DUMMYFUNCTION("IMPORTRANGE(""https://docs.google.com/spreadsheets/d/1kKUcYdkIfrgTSj8iHHHB2MD2FAtwyyocFgqGQn6ADyI/edit?usp=sharing"",""กระบี่!N77"")+IMPORTRANGE(""https://docs.google.com/spreadsheets/d/1GwtLaSlNZkLk7iDqcyZz22giiy40b_usZZBXYciEN1U/edit?usp=sharing"",""ชุม"&amp;"พร!N77"")+IMPORTRANGE(""https://docs.google.com/spreadsheets/d/16pAz3pOhQEZBhvFNMa5KGgZS6iKWpsKX0pg6tQmwFpo/edit?usp=sharing"",""ตรัง!N77"")+IMPORTRANGE(""https://docs.google.com/spreadsheets/d/1Dj4jcHCTV9JXKCaMoheSXS52JE63kDKyG7bPXnFogHk/edit?usp=sharing"&amp;""",""นครศรีธรรมราช!N77"")+IMPORTRANGE(""https://docs.google.com/spreadsheets/d/1iodCdmuK2GR3jzUwk8tpccY2JHQQA-87DLOtJP-ooyU/edit?usp=sharing"",""นราธิวาส!N77"")+IMPORTRANGE(""https://docs.google.com/spreadsheets/d/1SDNX3JhDdYRuIOsj0Wh2M-Qa_eaXl0NbWmhAOTbf"&amp;"QAs/edit?usp=sharing"",""ปัตตานี!N77"")+IMPORTRANGE(""https://docs.google.com/spreadsheets/d/16JDLGguT8s5DsGCND1KcwHP_AWR_zDMTqLHPLJUKhaU/edit?usp=sharing"",""พังงา!N77"")+IMPORTRANGE(""https://docs.google.com/spreadsheets/d/17ht0gPKzzT3PObBL1XJkeRmntBXI7"&amp;"wGjpLV7QorqlTk/edit?usp=sharing"",""พัทลุง!N77"")+IMPORTRANGE(""https://docs.google.com/spreadsheets/d/1rd4qoM1q_hsgaolqNGfrim9gbsoLxQsda4-vOz5x_BM/edit?usp=sharing"",""ภูเก็ต!N77"")+IMPORTRANGE(""https://docs.google.com/spreadsheets/d/1woKwKjgoLssDvPcPeV"&amp;"yezB5izizAn4X1JDrys69n6xI/edit?usp=sharing"",""ยะลา!N77"")+IMPORTRANGE(""https://docs.google.com/spreadsheets/d/1qfrKjzMhm2HJfxQ-qVlJlJQ25Hne1d0khsySbZyGtPA/edit?usp=sharing"",""ระนอง!N77"")+IMPORTRANGE(""https://docs.google.com/spreadsheets/d/1IbSCnFOKpZ"&amp;"snFogBHJnL_isstZVaOMnFiIN0fGTPZZw/edit?usp=sharing"",""สงขลา!N77"")+IMPORTRANGE(""https://docs.google.com/spreadsheets/d/1q9nWasZJ-K8bFGvbE9n0qSRuKGA4Toe3Y89cKCiVtCU/edit?usp=sharing"",""สตูล!N77"")+IMPORTRANGE(""https://docs.google.com/spreadsheets/d/18T"&amp;"20gbkS_WBjdscyTOV05cvq_JqvqQ17C81mpxf7Ncs/edit?usp=sharing"",""สุราษฎร์ธานี!N77"")"),535892.77)</f>
        <v>535892.77</v>
      </c>
      <c r="O77" s="47">
        <f t="shared" ca="1" si="54"/>
        <v>67.331671064204045</v>
      </c>
      <c r="P77" s="47">
        <f t="shared" ca="1" si="55"/>
        <v>67.331671064204045</v>
      </c>
      <c r="Q77" s="47">
        <f ca="1">IFERROR(__xludf.DUMMYFUNCTION("IMPORTRANGE(""https://docs.google.com/spreadsheets/d/1kKUcYdkIfrgTSj8iHHHB2MD2FAtwyyocFgqGQn6ADyI/edit?usp=sharing"",""กระบี่!Q77"")+IMPORTRANGE(""https://docs.google.com/spreadsheets/d/1GwtLaSlNZkLk7iDqcyZz22giiy40b_usZZBXYciEN1U/edit?usp=sharing"",""ชุม"&amp;"พร!Q77"")+IMPORTRANGE(""https://docs.google.com/spreadsheets/d/16pAz3pOhQEZBhvFNMa5KGgZS6iKWpsKX0pg6tQmwFpo/edit?usp=sharing"",""ตรัง!Q77"")+IMPORTRANGE(""https://docs.google.com/spreadsheets/d/1Dj4jcHCTV9JXKCaMoheSXS52JE63kDKyG7bPXnFogHk/edit?usp=sharing"&amp;""",""นครศรีธรรมราช!Q77"")+IMPORTRANGE(""https://docs.google.com/spreadsheets/d/1iodCdmuK2GR3jzUwk8tpccY2JHQQA-87DLOtJP-ooyU/edit?usp=sharing"",""นราธิวาส!Q77"")+IMPORTRANGE(""https://docs.google.com/spreadsheets/d/1SDNX3JhDdYRuIOsj0Wh2M-Qa_eaXl0NbWmhAOTbf"&amp;"QAs/edit?usp=sharing"",""ปัตตานี!Q77"")+IMPORTRANGE(""https://docs.google.com/spreadsheets/d/16JDLGguT8s5DsGCND1KcwHP_AWR_zDMTqLHPLJUKhaU/edit?usp=sharing"",""พังงา!Q77"")+IMPORTRANGE(""https://docs.google.com/spreadsheets/d/17ht0gPKzzT3PObBL1XJkeRmntBXI7"&amp;"wGjpLV7QorqlTk/edit?usp=sharing"",""พัทลุง!Q77"")+IMPORTRANGE(""https://docs.google.com/spreadsheets/d/1rd4qoM1q_hsgaolqNGfrim9gbsoLxQsda4-vOz5x_BM/edit?usp=sharing"",""ภูเก็ต!Q77"")+IMPORTRANGE(""https://docs.google.com/spreadsheets/d/1woKwKjgoLssDvPcPeV"&amp;"yezB5izizAn4X1JDrys69n6xI/edit?usp=sharing"",""ยะลา!Q77"")+IMPORTRANGE(""https://docs.google.com/spreadsheets/d/1qfrKjzMhm2HJfxQ-qVlJlJQ25Hne1d0khsySbZyGtPA/edit?usp=sharing"",""ระนอง!Q77"")+IMPORTRANGE(""https://docs.google.com/spreadsheets/d/1IbSCnFOKpZ"&amp;"snFogBHJnL_isstZVaOMnFiIN0fGTPZZw/edit?usp=sharing"",""สงขลา!Q77"")+IMPORTRANGE(""https://docs.google.com/spreadsheets/d/1q9nWasZJ-K8bFGvbE9n0qSRuKGA4Toe3Y89cKCiVtCU/edit?usp=sharing"",""สตูล!Q77"")+IMPORTRANGE(""https://docs.google.com/spreadsheets/d/18T"&amp;"20gbkS_WBjdscyTOV05cvq_JqvqQ17C81mpxf7Ncs/edit?usp=sharing"",""สุราษฎร์ธานี!Q77"")"),1525812)</f>
        <v>1525812</v>
      </c>
      <c r="R77" s="47">
        <f ca="1">IFERROR(__xludf.DUMMYFUNCTION("IMPORTRANGE(""https://docs.google.com/spreadsheets/d/1kKUcYdkIfrgTSj8iHHHB2MD2FAtwyyocFgqGQn6ADyI/edit?usp=sharing"",""กระบี่!R77"")+IMPORTRANGE(""https://docs.google.com/spreadsheets/d/1GwtLaSlNZkLk7iDqcyZz22giiy40b_usZZBXYciEN1U/edit?usp=sharing"",""ชุม"&amp;"พร!R77"")+IMPORTRANGE(""https://docs.google.com/spreadsheets/d/16pAz3pOhQEZBhvFNMa5KGgZS6iKWpsKX0pg6tQmwFpo/edit?usp=sharing"",""ตรัง!R77"")+IMPORTRANGE(""https://docs.google.com/spreadsheets/d/1Dj4jcHCTV9JXKCaMoheSXS52JE63kDKyG7bPXnFogHk/edit?usp=sharing"&amp;""",""นครศรีธรรมราช!R77"")+IMPORTRANGE(""https://docs.google.com/spreadsheets/d/1iodCdmuK2GR3jzUwk8tpccY2JHQQA-87DLOtJP-ooyU/edit?usp=sharing"",""นราธิวาส!R77"")+IMPORTRANGE(""https://docs.google.com/spreadsheets/d/1SDNX3JhDdYRuIOsj0Wh2M-Qa_eaXl0NbWmhAOTbf"&amp;"QAs/edit?usp=sharing"",""ปัตตานี!R77"")+IMPORTRANGE(""https://docs.google.com/spreadsheets/d/16JDLGguT8s5DsGCND1KcwHP_AWR_zDMTqLHPLJUKhaU/edit?usp=sharing"",""พังงา!R77"")+IMPORTRANGE(""https://docs.google.com/spreadsheets/d/17ht0gPKzzT3PObBL1XJkeRmntBXI7"&amp;"wGjpLV7QorqlTk/edit?usp=sharing"",""พัทลุง!R77"")+IMPORTRANGE(""https://docs.google.com/spreadsheets/d/1rd4qoM1q_hsgaolqNGfrim9gbsoLxQsda4-vOz5x_BM/edit?usp=sharing"",""ภูเก็ต!R77"")+IMPORTRANGE(""https://docs.google.com/spreadsheets/d/1woKwKjgoLssDvPcPeV"&amp;"yezB5izizAn4X1JDrys69n6xI/edit?usp=sharing"",""ยะลา!R77"")+IMPORTRANGE(""https://docs.google.com/spreadsheets/d/1qfrKjzMhm2HJfxQ-qVlJlJQ25Hne1d0khsySbZyGtPA/edit?usp=sharing"",""ระนอง!R77"")+IMPORTRANGE(""https://docs.google.com/spreadsheets/d/1IbSCnFOKpZ"&amp;"snFogBHJnL_isstZVaOMnFiIN0fGTPZZw/edit?usp=sharing"",""สงขลา!R77"")+IMPORTRANGE(""https://docs.google.com/spreadsheets/d/1q9nWasZJ-K8bFGvbE9n0qSRuKGA4Toe3Y89cKCiVtCU/edit?usp=sharing"",""สตูล!R77"")+IMPORTRANGE(""https://docs.google.com/spreadsheets/d/18T"&amp;"20gbkS_WBjdscyTOV05cvq_JqvqQ17C81mpxf7Ncs/edit?usp=sharing"",""สุราษฎร์ธานี!R77"")"),1525812)</f>
        <v>1525812</v>
      </c>
      <c r="S77" s="47">
        <f ca="1">IFERROR(__xludf.DUMMYFUNCTION("IMPORTRANGE(""https://docs.google.com/spreadsheets/d/1kKUcYdkIfrgTSj8iHHHB2MD2FAtwyyocFgqGQn6ADyI/edit?usp=sharing"",""กระบี่!S77"")+IMPORTRANGE(""https://docs.google.com/spreadsheets/d/1GwtLaSlNZkLk7iDqcyZz22giiy40b_usZZBXYciEN1U/edit?usp=sharing"",""ชุม"&amp;"พร!S77"")+IMPORTRANGE(""https://docs.google.com/spreadsheets/d/16pAz3pOhQEZBhvFNMa5KGgZS6iKWpsKX0pg6tQmwFpo/edit?usp=sharing"",""ตรัง!S77"")+IMPORTRANGE(""https://docs.google.com/spreadsheets/d/1Dj4jcHCTV9JXKCaMoheSXS52JE63kDKyG7bPXnFogHk/edit?usp=sharing"&amp;""",""นครศรีธรรมราช!S77"")+IMPORTRANGE(""https://docs.google.com/spreadsheets/d/1iodCdmuK2GR3jzUwk8tpccY2JHQQA-87DLOtJP-ooyU/edit?usp=sharing"",""นราธิวาส!S77"")+IMPORTRANGE(""https://docs.google.com/spreadsheets/d/1SDNX3JhDdYRuIOsj0Wh2M-Qa_eaXl0NbWmhAOTbf"&amp;"QAs/edit?usp=sharing"",""ปัตตานี!S77"")+IMPORTRANGE(""https://docs.google.com/spreadsheets/d/16JDLGguT8s5DsGCND1KcwHP_AWR_zDMTqLHPLJUKhaU/edit?usp=sharing"",""พังงา!S77"")+IMPORTRANGE(""https://docs.google.com/spreadsheets/d/17ht0gPKzzT3PObBL1XJkeRmntBXI7"&amp;"wGjpLV7QorqlTk/edit?usp=sharing"",""พัทลุง!S77"")+IMPORTRANGE(""https://docs.google.com/spreadsheets/d/1rd4qoM1q_hsgaolqNGfrim9gbsoLxQsda4-vOz5x_BM/edit?usp=sharing"",""ภูเก็ต!S77"")+IMPORTRANGE(""https://docs.google.com/spreadsheets/d/1woKwKjgoLssDvPcPeV"&amp;"yezB5izizAn4X1JDrys69n6xI/edit?usp=sharing"",""ยะลา!S77"")+IMPORTRANGE(""https://docs.google.com/spreadsheets/d/1qfrKjzMhm2HJfxQ-qVlJlJQ25Hne1d0khsySbZyGtPA/edit?usp=sharing"",""ระนอง!S77"")+IMPORTRANGE(""https://docs.google.com/spreadsheets/d/1IbSCnFOKpZ"&amp;"snFogBHJnL_isstZVaOMnFiIN0fGTPZZw/edit?usp=sharing"",""สงขลา!S77"")+IMPORTRANGE(""https://docs.google.com/spreadsheets/d/1q9nWasZJ-K8bFGvbE9n0qSRuKGA4Toe3Y89cKCiVtCU/edit?usp=sharing"",""สตูล!S77"")+IMPORTRANGE(""https://docs.google.com/spreadsheets/d/18T"&amp;"20gbkS_WBjdscyTOV05cvq_JqvqQ17C81mpxf7Ncs/edit?usp=sharing"",""สุราษฎร์ธานี!S77"")"),255319)</f>
        <v>255319</v>
      </c>
      <c r="T77" s="47">
        <f t="shared" ca="1" si="57"/>
        <v>16.733319701247598</v>
      </c>
      <c r="U77" s="47">
        <f t="shared" ca="1" si="58"/>
        <v>16.733319701247598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47">
        <f t="shared" ref="L78:N78" ca="1" si="65">L79+L80</f>
        <v>0</v>
      </c>
      <c r="M78" s="47">
        <f t="shared" ca="1" si="65"/>
        <v>0</v>
      </c>
      <c r="N78" s="47">
        <f t="shared" ca="1" si="65"/>
        <v>0</v>
      </c>
      <c r="O78" s="47">
        <f t="shared" ca="1" si="54"/>
        <v>0</v>
      </c>
      <c r="P78" s="47">
        <f t="shared" ca="1" si="55"/>
        <v>0</v>
      </c>
      <c r="Q78" s="47">
        <f t="shared" ref="Q78:S78" ca="1" si="66">Q79+Q80</f>
        <v>0</v>
      </c>
      <c r="R78" s="47">
        <f t="shared" ca="1" si="66"/>
        <v>0</v>
      </c>
      <c r="S78" s="47">
        <f t="shared" ca="1" si="66"/>
        <v>0</v>
      </c>
      <c r="T78" s="47">
        <f t="shared" ca="1" si="57"/>
        <v>0</v>
      </c>
      <c r="U78" s="47">
        <f t="shared" ca="1" si="58"/>
        <v>0</v>
      </c>
    </row>
    <row r="79" spans="1:21" ht="18.75" hidden="1" x14ac:dyDescent="0.25">
      <c r="A79" s="128"/>
      <c r="B79" s="41"/>
      <c r="C79" s="41"/>
      <c r="D79" s="41"/>
      <c r="E79" s="48" t="s">
        <v>20</v>
      </c>
      <c r="F79" s="41"/>
      <c r="G79" s="43"/>
      <c r="H79" s="134" t="s">
        <v>14</v>
      </c>
      <c r="I79" s="135"/>
      <c r="J79" s="135"/>
      <c r="K79" s="136"/>
      <c r="L79" s="47">
        <f ca="1">IFERROR(__xludf.DUMMYFUNCTION("IMPORTRANGE(""https://docs.google.com/spreadsheets/d/1kKUcYdkIfrgTSj8iHHHB2MD2FAtwyyocFgqGQn6ADyI/edit?usp=sharing"",""กระบี่!L79"")+IMPORTRANGE(""https://docs.google.com/spreadsheets/d/1GwtLaSlNZkLk7iDqcyZz22giiy40b_usZZBXYciEN1U/edit?usp=sharing"",""ชุม"&amp;"พร!L79"")+IMPORTRANGE(""https://docs.google.com/spreadsheets/d/16pAz3pOhQEZBhvFNMa5KGgZS6iKWpsKX0pg6tQmwFpo/edit?usp=sharing"",""ตรัง!L79"")+IMPORTRANGE(""https://docs.google.com/spreadsheets/d/1Dj4jcHCTV9JXKCaMoheSXS52JE63kDKyG7bPXnFogHk/edit?usp=sharing"&amp;""",""นครศรีธรรมราช!L79"")+IMPORTRANGE(""https://docs.google.com/spreadsheets/d/1iodCdmuK2GR3jzUwk8tpccY2JHQQA-87DLOtJP-ooyU/edit?usp=sharing"",""นราธิวาส!L79"")+IMPORTRANGE(""https://docs.google.com/spreadsheets/d/1SDNX3JhDdYRuIOsj0Wh2M-Qa_eaXl0NbWmhAOTbf"&amp;"QAs/edit?usp=sharing"",""ปัตตานี!L79"")+IMPORTRANGE(""https://docs.google.com/spreadsheets/d/16JDLGguT8s5DsGCND1KcwHP_AWR_zDMTqLHPLJUKhaU/edit?usp=sharing"",""พังงา!L79"")+IMPORTRANGE(""https://docs.google.com/spreadsheets/d/17ht0gPKzzT3PObBL1XJkeRmntBXI7"&amp;"wGjpLV7QorqlTk/edit?usp=sharing"",""พัทลุง!L79"")+IMPORTRANGE(""https://docs.google.com/spreadsheets/d/1rd4qoM1q_hsgaolqNGfrim9gbsoLxQsda4-vOz5x_BM/edit?usp=sharing"",""ภูเก็ต!L79"")+IMPORTRANGE(""https://docs.google.com/spreadsheets/d/1woKwKjgoLssDvPcPeV"&amp;"yezB5izizAn4X1JDrys69n6xI/edit?usp=sharing"",""ยะลา!L79"")+IMPORTRANGE(""https://docs.google.com/spreadsheets/d/1qfrKjzMhm2HJfxQ-qVlJlJQ25Hne1d0khsySbZyGtPA/edit?usp=sharing"",""ระนอง!L79"")+IMPORTRANGE(""https://docs.google.com/spreadsheets/d/1IbSCnFOKpZ"&amp;"snFogBHJnL_isstZVaOMnFiIN0fGTPZZw/edit?usp=sharing"",""สงขลา!L79"")+IMPORTRANGE(""https://docs.google.com/spreadsheets/d/1q9nWasZJ-K8bFGvbE9n0qSRuKGA4Toe3Y89cKCiVtCU/edit?usp=sharing"",""สตูล!L79"")+IMPORTRANGE(""https://docs.google.com/spreadsheets/d/18T"&amp;"20gbkS_WBjdscyTOV05cvq_JqvqQ17C81mpxf7Ncs/edit?usp=sharing"",""สุราษฎร์ธานี!L79"")"),0)</f>
        <v>0</v>
      </c>
      <c r="M79" s="47">
        <f ca="1">IFERROR(__xludf.DUMMYFUNCTION("IMPORTRANGE(""https://docs.google.com/spreadsheets/d/1kKUcYdkIfrgTSj8iHHHB2MD2FAtwyyocFgqGQn6ADyI/edit?usp=sharing"",""กระบี่!M79"")+IMPORTRANGE(""https://docs.google.com/spreadsheets/d/1GwtLaSlNZkLk7iDqcyZz22giiy40b_usZZBXYciEN1U/edit?usp=sharing"",""ชุม"&amp;"พร!M79"")+IMPORTRANGE(""https://docs.google.com/spreadsheets/d/16pAz3pOhQEZBhvFNMa5KGgZS6iKWpsKX0pg6tQmwFpo/edit?usp=sharing"",""ตรัง!M79"")+IMPORTRANGE(""https://docs.google.com/spreadsheets/d/1Dj4jcHCTV9JXKCaMoheSXS52JE63kDKyG7bPXnFogHk/edit?usp=sharing"&amp;""",""นครศรีธรรมราช!M79"")+IMPORTRANGE(""https://docs.google.com/spreadsheets/d/1iodCdmuK2GR3jzUwk8tpccY2JHQQA-87DLOtJP-ooyU/edit?usp=sharing"",""นราธิวาส!M79"")+IMPORTRANGE(""https://docs.google.com/spreadsheets/d/1SDNX3JhDdYRuIOsj0Wh2M-Qa_eaXl0NbWmhAOTbf"&amp;"QAs/edit?usp=sharing"",""ปัตตานี!M79"")+IMPORTRANGE(""https://docs.google.com/spreadsheets/d/16JDLGguT8s5DsGCND1KcwHP_AWR_zDMTqLHPLJUKhaU/edit?usp=sharing"",""พังงา!M79"")+IMPORTRANGE(""https://docs.google.com/spreadsheets/d/17ht0gPKzzT3PObBL1XJkeRmntBXI7"&amp;"wGjpLV7QorqlTk/edit?usp=sharing"",""พัทลุง!M79"")+IMPORTRANGE(""https://docs.google.com/spreadsheets/d/1rd4qoM1q_hsgaolqNGfrim9gbsoLxQsda4-vOz5x_BM/edit?usp=sharing"",""ภูเก็ต!M79"")+IMPORTRANGE(""https://docs.google.com/spreadsheets/d/1woKwKjgoLssDvPcPeV"&amp;"yezB5izizAn4X1JDrys69n6xI/edit?usp=sharing"",""ยะลา!M79"")+IMPORTRANGE(""https://docs.google.com/spreadsheets/d/1qfrKjzMhm2HJfxQ-qVlJlJQ25Hne1d0khsySbZyGtPA/edit?usp=sharing"",""ระนอง!M79"")+IMPORTRANGE(""https://docs.google.com/spreadsheets/d/1IbSCnFOKpZ"&amp;"snFogBHJnL_isstZVaOMnFiIN0fGTPZZw/edit?usp=sharing"",""สงขลา!M79"")+IMPORTRANGE(""https://docs.google.com/spreadsheets/d/1q9nWasZJ-K8bFGvbE9n0qSRuKGA4Toe3Y89cKCiVtCU/edit?usp=sharing"",""สตูล!M79"")+IMPORTRANGE(""https://docs.google.com/spreadsheets/d/18T"&amp;"20gbkS_WBjdscyTOV05cvq_JqvqQ17C81mpxf7Ncs/edit?usp=sharing"",""สุราษฎร์ธานี!M79"")"),0)</f>
        <v>0</v>
      </c>
      <c r="N79" s="47">
        <f ca="1">IFERROR(__xludf.DUMMYFUNCTION("IMPORTRANGE(""https://docs.google.com/spreadsheets/d/1kKUcYdkIfrgTSj8iHHHB2MD2FAtwyyocFgqGQn6ADyI/edit?usp=sharing"",""กระบี่!N79"")+IMPORTRANGE(""https://docs.google.com/spreadsheets/d/1GwtLaSlNZkLk7iDqcyZz22giiy40b_usZZBXYciEN1U/edit?usp=sharing"",""ชุม"&amp;"พร!N79"")+IMPORTRANGE(""https://docs.google.com/spreadsheets/d/16pAz3pOhQEZBhvFNMa5KGgZS6iKWpsKX0pg6tQmwFpo/edit?usp=sharing"",""ตรัง!N79"")+IMPORTRANGE(""https://docs.google.com/spreadsheets/d/1Dj4jcHCTV9JXKCaMoheSXS52JE63kDKyG7bPXnFogHk/edit?usp=sharing"&amp;""",""นครศรีธรรมราช!N79"")+IMPORTRANGE(""https://docs.google.com/spreadsheets/d/1iodCdmuK2GR3jzUwk8tpccY2JHQQA-87DLOtJP-ooyU/edit?usp=sharing"",""นราธิวาส!N79"")+IMPORTRANGE(""https://docs.google.com/spreadsheets/d/1SDNX3JhDdYRuIOsj0Wh2M-Qa_eaXl0NbWmhAOTbf"&amp;"QAs/edit?usp=sharing"",""ปัตตานี!N79"")+IMPORTRANGE(""https://docs.google.com/spreadsheets/d/16JDLGguT8s5DsGCND1KcwHP_AWR_zDMTqLHPLJUKhaU/edit?usp=sharing"",""พังงา!N79"")+IMPORTRANGE(""https://docs.google.com/spreadsheets/d/17ht0gPKzzT3PObBL1XJkeRmntBXI7"&amp;"wGjpLV7QorqlTk/edit?usp=sharing"",""พัทลุง!N79"")+IMPORTRANGE(""https://docs.google.com/spreadsheets/d/1rd4qoM1q_hsgaolqNGfrim9gbsoLxQsda4-vOz5x_BM/edit?usp=sharing"",""ภูเก็ต!N79"")+IMPORTRANGE(""https://docs.google.com/spreadsheets/d/1woKwKjgoLssDvPcPeV"&amp;"yezB5izizAn4X1JDrys69n6xI/edit?usp=sharing"",""ยะลา!N79"")+IMPORTRANGE(""https://docs.google.com/spreadsheets/d/1qfrKjzMhm2HJfxQ-qVlJlJQ25Hne1d0khsySbZyGtPA/edit?usp=sharing"",""ระนอง!N79"")+IMPORTRANGE(""https://docs.google.com/spreadsheets/d/1IbSCnFOKpZ"&amp;"snFogBHJnL_isstZVaOMnFiIN0fGTPZZw/edit?usp=sharing"",""สงขลา!N79"")+IMPORTRANGE(""https://docs.google.com/spreadsheets/d/1q9nWasZJ-K8bFGvbE9n0qSRuKGA4Toe3Y89cKCiVtCU/edit?usp=sharing"",""สตูล!N79"")+IMPORTRANGE(""https://docs.google.com/spreadsheets/d/18T"&amp;"20gbkS_WBjdscyTOV05cvq_JqvqQ17C81mpxf7Ncs/edit?usp=sharing"",""สุราษฎร์ธานี!N79"")"),0)</f>
        <v>0</v>
      </c>
      <c r="O79" s="47">
        <f t="shared" ca="1" si="54"/>
        <v>0</v>
      </c>
      <c r="P79" s="47">
        <f t="shared" ca="1" si="55"/>
        <v>0</v>
      </c>
      <c r="Q79" s="47">
        <f ca="1">IFERROR(__xludf.DUMMYFUNCTION("IMPORTRANGE(""https://docs.google.com/spreadsheets/d/1kKUcYdkIfrgTSj8iHHHB2MD2FAtwyyocFgqGQn6ADyI/edit?usp=sharing"",""กระบี่!Q79"")+IMPORTRANGE(""https://docs.google.com/spreadsheets/d/1GwtLaSlNZkLk7iDqcyZz22giiy40b_usZZBXYciEN1U/edit?usp=sharing"",""ชุม"&amp;"พร!Q79"")+IMPORTRANGE(""https://docs.google.com/spreadsheets/d/16pAz3pOhQEZBhvFNMa5KGgZS6iKWpsKX0pg6tQmwFpo/edit?usp=sharing"",""ตรัง!Q79"")+IMPORTRANGE(""https://docs.google.com/spreadsheets/d/1Dj4jcHCTV9JXKCaMoheSXS52JE63kDKyG7bPXnFogHk/edit?usp=sharing"&amp;""",""นครศรีธรรมราช!Q79"")+IMPORTRANGE(""https://docs.google.com/spreadsheets/d/1iodCdmuK2GR3jzUwk8tpccY2JHQQA-87DLOtJP-ooyU/edit?usp=sharing"",""นราธิวาส!Q79"")+IMPORTRANGE(""https://docs.google.com/spreadsheets/d/1SDNX3JhDdYRuIOsj0Wh2M-Qa_eaXl0NbWmhAOTbf"&amp;"QAs/edit?usp=sharing"",""ปัตตานี!Q79"")+IMPORTRANGE(""https://docs.google.com/spreadsheets/d/16JDLGguT8s5DsGCND1KcwHP_AWR_zDMTqLHPLJUKhaU/edit?usp=sharing"",""พังงา!Q79"")+IMPORTRANGE(""https://docs.google.com/spreadsheets/d/17ht0gPKzzT3PObBL1XJkeRmntBXI7"&amp;"wGjpLV7QorqlTk/edit?usp=sharing"",""พัทลุง!Q79"")+IMPORTRANGE(""https://docs.google.com/spreadsheets/d/1rd4qoM1q_hsgaolqNGfrim9gbsoLxQsda4-vOz5x_BM/edit?usp=sharing"",""ภูเก็ต!Q79"")+IMPORTRANGE(""https://docs.google.com/spreadsheets/d/1woKwKjgoLssDvPcPeV"&amp;"yezB5izizAn4X1JDrys69n6xI/edit?usp=sharing"",""ยะลา!Q79"")+IMPORTRANGE(""https://docs.google.com/spreadsheets/d/1qfrKjzMhm2HJfxQ-qVlJlJQ25Hne1d0khsySbZyGtPA/edit?usp=sharing"",""ระนอง!Q79"")+IMPORTRANGE(""https://docs.google.com/spreadsheets/d/1IbSCnFOKpZ"&amp;"snFogBHJnL_isstZVaOMnFiIN0fGTPZZw/edit?usp=sharing"",""สงขลา!Q79"")+IMPORTRANGE(""https://docs.google.com/spreadsheets/d/1q9nWasZJ-K8bFGvbE9n0qSRuKGA4Toe3Y89cKCiVtCU/edit?usp=sharing"",""สตูล!Q79"")+IMPORTRANGE(""https://docs.google.com/spreadsheets/d/18T"&amp;"20gbkS_WBjdscyTOV05cvq_JqvqQ17C81mpxf7Ncs/edit?usp=sharing"",""สุราษฎร์ธานี!Q79"")"),0)</f>
        <v>0</v>
      </c>
      <c r="R79" s="47">
        <f ca="1">IFERROR(__xludf.DUMMYFUNCTION("IMPORTRANGE(""https://docs.google.com/spreadsheets/d/1kKUcYdkIfrgTSj8iHHHB2MD2FAtwyyocFgqGQn6ADyI/edit?usp=sharing"",""กระบี่!R79"")+IMPORTRANGE(""https://docs.google.com/spreadsheets/d/1GwtLaSlNZkLk7iDqcyZz22giiy40b_usZZBXYciEN1U/edit?usp=sharing"",""ชุม"&amp;"พร!R79"")+IMPORTRANGE(""https://docs.google.com/spreadsheets/d/16pAz3pOhQEZBhvFNMa5KGgZS6iKWpsKX0pg6tQmwFpo/edit?usp=sharing"",""ตรัง!R79"")+IMPORTRANGE(""https://docs.google.com/spreadsheets/d/1Dj4jcHCTV9JXKCaMoheSXS52JE63kDKyG7bPXnFogHk/edit?usp=sharing"&amp;""",""นครศรีธรรมราช!R79"")+IMPORTRANGE(""https://docs.google.com/spreadsheets/d/1iodCdmuK2GR3jzUwk8tpccY2JHQQA-87DLOtJP-ooyU/edit?usp=sharing"",""นราธิวาส!R79"")+IMPORTRANGE(""https://docs.google.com/spreadsheets/d/1SDNX3JhDdYRuIOsj0Wh2M-Qa_eaXl0NbWmhAOTbf"&amp;"QAs/edit?usp=sharing"",""ปัตตานี!R79"")+IMPORTRANGE(""https://docs.google.com/spreadsheets/d/16JDLGguT8s5DsGCND1KcwHP_AWR_zDMTqLHPLJUKhaU/edit?usp=sharing"",""พังงา!R79"")+IMPORTRANGE(""https://docs.google.com/spreadsheets/d/17ht0gPKzzT3PObBL1XJkeRmntBXI7"&amp;"wGjpLV7QorqlTk/edit?usp=sharing"",""พัทลุง!R79"")+IMPORTRANGE(""https://docs.google.com/spreadsheets/d/1rd4qoM1q_hsgaolqNGfrim9gbsoLxQsda4-vOz5x_BM/edit?usp=sharing"",""ภูเก็ต!R79"")+IMPORTRANGE(""https://docs.google.com/spreadsheets/d/1woKwKjgoLssDvPcPeV"&amp;"yezB5izizAn4X1JDrys69n6xI/edit?usp=sharing"",""ยะลา!R79"")+IMPORTRANGE(""https://docs.google.com/spreadsheets/d/1qfrKjzMhm2HJfxQ-qVlJlJQ25Hne1d0khsySbZyGtPA/edit?usp=sharing"",""ระนอง!R79"")+IMPORTRANGE(""https://docs.google.com/spreadsheets/d/1IbSCnFOKpZ"&amp;"snFogBHJnL_isstZVaOMnFiIN0fGTPZZw/edit?usp=sharing"",""สงขลา!R79"")+IMPORTRANGE(""https://docs.google.com/spreadsheets/d/1q9nWasZJ-K8bFGvbE9n0qSRuKGA4Toe3Y89cKCiVtCU/edit?usp=sharing"",""สตูล!R79"")+IMPORTRANGE(""https://docs.google.com/spreadsheets/d/18T"&amp;"20gbkS_WBjdscyTOV05cvq_JqvqQ17C81mpxf7Ncs/edit?usp=sharing"",""สุราษฎร์ธานี!R79"")"),0)</f>
        <v>0</v>
      </c>
      <c r="S79" s="47">
        <f ca="1">IFERROR(__xludf.DUMMYFUNCTION("IMPORTRANGE(""https://docs.google.com/spreadsheets/d/1kKUcYdkIfrgTSj8iHHHB2MD2FAtwyyocFgqGQn6ADyI/edit?usp=sharing"",""กระบี่!S79"")+IMPORTRANGE(""https://docs.google.com/spreadsheets/d/1GwtLaSlNZkLk7iDqcyZz22giiy40b_usZZBXYciEN1U/edit?usp=sharing"",""ชุม"&amp;"พร!S79"")+IMPORTRANGE(""https://docs.google.com/spreadsheets/d/16pAz3pOhQEZBhvFNMa5KGgZS6iKWpsKX0pg6tQmwFpo/edit?usp=sharing"",""ตรัง!S79"")+IMPORTRANGE(""https://docs.google.com/spreadsheets/d/1Dj4jcHCTV9JXKCaMoheSXS52JE63kDKyG7bPXnFogHk/edit?usp=sharing"&amp;""",""นครศรีธรรมราช!S79"")+IMPORTRANGE(""https://docs.google.com/spreadsheets/d/1iodCdmuK2GR3jzUwk8tpccY2JHQQA-87DLOtJP-ooyU/edit?usp=sharing"",""นราธิวาส!S79"")+IMPORTRANGE(""https://docs.google.com/spreadsheets/d/1SDNX3JhDdYRuIOsj0Wh2M-Qa_eaXl0NbWmhAOTbf"&amp;"QAs/edit?usp=sharing"",""ปัตตานี!S79"")+IMPORTRANGE(""https://docs.google.com/spreadsheets/d/16JDLGguT8s5DsGCND1KcwHP_AWR_zDMTqLHPLJUKhaU/edit?usp=sharing"",""พังงา!S79"")+IMPORTRANGE(""https://docs.google.com/spreadsheets/d/17ht0gPKzzT3PObBL1XJkeRmntBXI7"&amp;"wGjpLV7QorqlTk/edit?usp=sharing"",""พัทลุง!S79"")+IMPORTRANGE(""https://docs.google.com/spreadsheets/d/1rd4qoM1q_hsgaolqNGfrim9gbsoLxQsda4-vOz5x_BM/edit?usp=sharing"",""ภูเก็ต!S79"")+IMPORTRANGE(""https://docs.google.com/spreadsheets/d/1woKwKjgoLssDvPcPeV"&amp;"yezB5izizAn4X1JDrys69n6xI/edit?usp=sharing"",""ยะลา!S79"")+IMPORTRANGE(""https://docs.google.com/spreadsheets/d/1qfrKjzMhm2HJfxQ-qVlJlJQ25Hne1d0khsySbZyGtPA/edit?usp=sharing"",""ระนอง!S79"")+IMPORTRANGE(""https://docs.google.com/spreadsheets/d/1IbSCnFOKpZ"&amp;"snFogBHJnL_isstZVaOMnFiIN0fGTPZZw/edit?usp=sharing"",""สงขลา!S79"")+IMPORTRANGE(""https://docs.google.com/spreadsheets/d/1q9nWasZJ-K8bFGvbE9n0qSRuKGA4Toe3Y89cKCiVtCU/edit?usp=sharing"",""สตูล!S79"")+IMPORTRANGE(""https://docs.google.com/spreadsheets/d/18T"&amp;"20gbkS_WBjdscyTOV05cvq_JqvqQ17C81mpxf7Ncs/edit?usp=sharing"",""สุราษฎร์ธานี!S79"")"),0)</f>
        <v>0</v>
      </c>
      <c r="T79" s="49">
        <f t="shared" ca="1" si="57"/>
        <v>0</v>
      </c>
      <c r="U79" s="49">
        <f t="shared" ca="1" si="58"/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47">
        <f ca="1">IFERROR(__xludf.DUMMYFUNCTION("IMPORTRANGE(""https://docs.google.com/spreadsheets/d/1kKUcYdkIfrgTSj8iHHHB2MD2FAtwyyocFgqGQn6ADyI/edit?usp=sharing"",""กระบี่!L80"")+IMPORTRANGE(""https://docs.google.com/spreadsheets/d/1GwtLaSlNZkLk7iDqcyZz22giiy40b_usZZBXYciEN1U/edit?usp=sharing"",""ชุม"&amp;"พร!L80"")+IMPORTRANGE(""https://docs.google.com/spreadsheets/d/16pAz3pOhQEZBhvFNMa5KGgZS6iKWpsKX0pg6tQmwFpo/edit?usp=sharing"",""ตรัง!L80"")+IMPORTRANGE(""https://docs.google.com/spreadsheets/d/1Dj4jcHCTV9JXKCaMoheSXS52JE63kDKyG7bPXnFogHk/edit?usp=sharing"&amp;""",""นครศรีธรรมราช!L80"")+IMPORTRANGE(""https://docs.google.com/spreadsheets/d/1iodCdmuK2GR3jzUwk8tpccY2JHQQA-87DLOtJP-ooyU/edit?usp=sharing"",""นราธิวาส!L80"")+IMPORTRANGE(""https://docs.google.com/spreadsheets/d/1SDNX3JhDdYRuIOsj0Wh2M-Qa_eaXl0NbWmhAOTbf"&amp;"QAs/edit?usp=sharing"",""ปัตตานี!L80"")+IMPORTRANGE(""https://docs.google.com/spreadsheets/d/16JDLGguT8s5DsGCND1KcwHP_AWR_zDMTqLHPLJUKhaU/edit?usp=sharing"",""พังงา!L80"")+IMPORTRANGE(""https://docs.google.com/spreadsheets/d/17ht0gPKzzT3PObBL1XJkeRmntBXI7"&amp;"wGjpLV7QorqlTk/edit?usp=sharing"",""พัทลุง!L80"")+IMPORTRANGE(""https://docs.google.com/spreadsheets/d/1rd4qoM1q_hsgaolqNGfrim9gbsoLxQsda4-vOz5x_BM/edit?usp=sharing"",""ภูเก็ต!L80"")+IMPORTRANGE(""https://docs.google.com/spreadsheets/d/1woKwKjgoLssDvPcPeV"&amp;"yezB5izizAn4X1JDrys69n6xI/edit?usp=sharing"",""ยะลา!L80"")+IMPORTRANGE(""https://docs.google.com/spreadsheets/d/1qfrKjzMhm2HJfxQ-qVlJlJQ25Hne1d0khsySbZyGtPA/edit?usp=sharing"",""ระนอง!L80"")+IMPORTRANGE(""https://docs.google.com/spreadsheets/d/1IbSCnFOKpZ"&amp;"snFogBHJnL_isstZVaOMnFiIN0fGTPZZw/edit?usp=sharing"",""สงขลา!L80"")+IMPORTRANGE(""https://docs.google.com/spreadsheets/d/1q9nWasZJ-K8bFGvbE9n0qSRuKGA4Toe3Y89cKCiVtCU/edit?usp=sharing"",""สตูล!L80"")+IMPORTRANGE(""https://docs.google.com/spreadsheets/d/18T"&amp;"20gbkS_WBjdscyTOV05cvq_JqvqQ17C81mpxf7Ncs/edit?usp=sharing"",""สุราษฎร์ธานี!L80"")"),0)</f>
        <v>0</v>
      </c>
      <c r="M80" s="47">
        <f ca="1">IFERROR(__xludf.DUMMYFUNCTION("IMPORTRANGE(""https://docs.google.com/spreadsheets/d/1kKUcYdkIfrgTSj8iHHHB2MD2FAtwyyocFgqGQn6ADyI/edit?usp=sharing"",""กระบี่!M80"")+IMPORTRANGE(""https://docs.google.com/spreadsheets/d/1GwtLaSlNZkLk7iDqcyZz22giiy40b_usZZBXYciEN1U/edit?usp=sharing"",""ชุม"&amp;"พร!M80"")+IMPORTRANGE(""https://docs.google.com/spreadsheets/d/16pAz3pOhQEZBhvFNMa5KGgZS6iKWpsKX0pg6tQmwFpo/edit?usp=sharing"",""ตรัง!M80"")+IMPORTRANGE(""https://docs.google.com/spreadsheets/d/1Dj4jcHCTV9JXKCaMoheSXS52JE63kDKyG7bPXnFogHk/edit?usp=sharing"&amp;""",""นครศรีธรรมราช!M80"")+IMPORTRANGE(""https://docs.google.com/spreadsheets/d/1iodCdmuK2GR3jzUwk8tpccY2JHQQA-87DLOtJP-ooyU/edit?usp=sharing"",""นราธิวาส!M80"")+IMPORTRANGE(""https://docs.google.com/spreadsheets/d/1SDNX3JhDdYRuIOsj0Wh2M-Qa_eaXl0NbWmhAOTbf"&amp;"QAs/edit?usp=sharing"",""ปัตตานี!M80"")+IMPORTRANGE(""https://docs.google.com/spreadsheets/d/16JDLGguT8s5DsGCND1KcwHP_AWR_zDMTqLHPLJUKhaU/edit?usp=sharing"",""พังงา!M80"")+IMPORTRANGE(""https://docs.google.com/spreadsheets/d/17ht0gPKzzT3PObBL1XJkeRmntBXI7"&amp;"wGjpLV7QorqlTk/edit?usp=sharing"",""พัทลุง!M80"")+IMPORTRANGE(""https://docs.google.com/spreadsheets/d/1rd4qoM1q_hsgaolqNGfrim9gbsoLxQsda4-vOz5x_BM/edit?usp=sharing"",""ภูเก็ต!M80"")+IMPORTRANGE(""https://docs.google.com/spreadsheets/d/1woKwKjgoLssDvPcPeV"&amp;"yezB5izizAn4X1JDrys69n6xI/edit?usp=sharing"",""ยะลา!M80"")+IMPORTRANGE(""https://docs.google.com/spreadsheets/d/1qfrKjzMhm2HJfxQ-qVlJlJQ25Hne1d0khsySbZyGtPA/edit?usp=sharing"",""ระนอง!M80"")+IMPORTRANGE(""https://docs.google.com/spreadsheets/d/1IbSCnFOKpZ"&amp;"snFogBHJnL_isstZVaOMnFiIN0fGTPZZw/edit?usp=sharing"",""สงขลา!M80"")+IMPORTRANGE(""https://docs.google.com/spreadsheets/d/1q9nWasZJ-K8bFGvbE9n0qSRuKGA4Toe3Y89cKCiVtCU/edit?usp=sharing"",""สตูล!M80"")+IMPORTRANGE(""https://docs.google.com/spreadsheets/d/18T"&amp;"20gbkS_WBjdscyTOV05cvq_JqvqQ17C81mpxf7Ncs/edit?usp=sharing"",""สุราษฎร์ธานี!M80"")"),0)</f>
        <v>0</v>
      </c>
      <c r="N80" s="47">
        <f ca="1">IFERROR(__xludf.DUMMYFUNCTION("IMPORTRANGE(""https://docs.google.com/spreadsheets/d/1kKUcYdkIfrgTSj8iHHHB2MD2FAtwyyocFgqGQn6ADyI/edit?usp=sharing"",""กระบี่!N80"")+IMPORTRANGE(""https://docs.google.com/spreadsheets/d/1GwtLaSlNZkLk7iDqcyZz22giiy40b_usZZBXYciEN1U/edit?usp=sharing"",""ชุม"&amp;"พร!N80"")+IMPORTRANGE(""https://docs.google.com/spreadsheets/d/16pAz3pOhQEZBhvFNMa5KGgZS6iKWpsKX0pg6tQmwFpo/edit?usp=sharing"",""ตรัง!N80"")+IMPORTRANGE(""https://docs.google.com/spreadsheets/d/1Dj4jcHCTV9JXKCaMoheSXS52JE63kDKyG7bPXnFogHk/edit?usp=sharing"&amp;""",""นครศรีธรรมราช!N80"")+IMPORTRANGE(""https://docs.google.com/spreadsheets/d/1iodCdmuK2GR3jzUwk8tpccY2JHQQA-87DLOtJP-ooyU/edit?usp=sharing"",""นราธิวาส!N80"")+IMPORTRANGE(""https://docs.google.com/spreadsheets/d/1SDNX3JhDdYRuIOsj0Wh2M-Qa_eaXl0NbWmhAOTbf"&amp;"QAs/edit?usp=sharing"",""ปัตตานี!N80"")+IMPORTRANGE(""https://docs.google.com/spreadsheets/d/16JDLGguT8s5DsGCND1KcwHP_AWR_zDMTqLHPLJUKhaU/edit?usp=sharing"",""พังงา!N80"")+IMPORTRANGE(""https://docs.google.com/spreadsheets/d/17ht0gPKzzT3PObBL1XJkeRmntBXI7"&amp;"wGjpLV7QorqlTk/edit?usp=sharing"",""พัทลุง!N80"")+IMPORTRANGE(""https://docs.google.com/spreadsheets/d/1rd4qoM1q_hsgaolqNGfrim9gbsoLxQsda4-vOz5x_BM/edit?usp=sharing"",""ภูเก็ต!N80"")+IMPORTRANGE(""https://docs.google.com/spreadsheets/d/1woKwKjgoLssDvPcPeV"&amp;"yezB5izizAn4X1JDrys69n6xI/edit?usp=sharing"",""ยะลา!N80"")+IMPORTRANGE(""https://docs.google.com/spreadsheets/d/1qfrKjzMhm2HJfxQ-qVlJlJQ25Hne1d0khsySbZyGtPA/edit?usp=sharing"",""ระนอง!N80"")+IMPORTRANGE(""https://docs.google.com/spreadsheets/d/1IbSCnFOKpZ"&amp;"snFogBHJnL_isstZVaOMnFiIN0fGTPZZw/edit?usp=sharing"",""สงขลา!N80"")+IMPORTRANGE(""https://docs.google.com/spreadsheets/d/1q9nWasZJ-K8bFGvbE9n0qSRuKGA4Toe3Y89cKCiVtCU/edit?usp=sharing"",""สตูล!N80"")+IMPORTRANGE(""https://docs.google.com/spreadsheets/d/18T"&amp;"20gbkS_WBjdscyTOV05cvq_JqvqQ17C81mpxf7Ncs/edit?usp=sharing"",""สุราษฎร์ธานี!N80"")"),0)</f>
        <v>0</v>
      </c>
      <c r="O80" s="47">
        <f t="shared" ca="1" si="54"/>
        <v>0</v>
      </c>
      <c r="P80" s="47">
        <f t="shared" ca="1" si="55"/>
        <v>0</v>
      </c>
      <c r="Q80" s="47">
        <f ca="1">IFERROR(__xludf.DUMMYFUNCTION("IMPORTRANGE(""https://docs.google.com/spreadsheets/d/1kKUcYdkIfrgTSj8iHHHB2MD2FAtwyyocFgqGQn6ADyI/edit?usp=sharing"",""กระบี่!Q80"")+IMPORTRANGE(""https://docs.google.com/spreadsheets/d/1GwtLaSlNZkLk7iDqcyZz22giiy40b_usZZBXYciEN1U/edit?usp=sharing"",""ชุม"&amp;"พร!Q80"")+IMPORTRANGE(""https://docs.google.com/spreadsheets/d/16pAz3pOhQEZBhvFNMa5KGgZS6iKWpsKX0pg6tQmwFpo/edit?usp=sharing"",""ตรัง!Q80"")+IMPORTRANGE(""https://docs.google.com/spreadsheets/d/1Dj4jcHCTV9JXKCaMoheSXS52JE63kDKyG7bPXnFogHk/edit?usp=sharing"&amp;""",""นครศรีธรรมราช!Q80"")+IMPORTRANGE(""https://docs.google.com/spreadsheets/d/1iodCdmuK2GR3jzUwk8tpccY2JHQQA-87DLOtJP-ooyU/edit?usp=sharing"",""นราธิวาส!Q80"")+IMPORTRANGE(""https://docs.google.com/spreadsheets/d/1SDNX3JhDdYRuIOsj0Wh2M-Qa_eaXl0NbWmhAOTbf"&amp;"QAs/edit?usp=sharing"",""ปัตตานี!Q80"")+IMPORTRANGE(""https://docs.google.com/spreadsheets/d/16JDLGguT8s5DsGCND1KcwHP_AWR_zDMTqLHPLJUKhaU/edit?usp=sharing"",""พังงา!Q80"")+IMPORTRANGE(""https://docs.google.com/spreadsheets/d/17ht0gPKzzT3PObBL1XJkeRmntBXI7"&amp;"wGjpLV7QorqlTk/edit?usp=sharing"",""พัทลุง!Q80"")+IMPORTRANGE(""https://docs.google.com/spreadsheets/d/1rd4qoM1q_hsgaolqNGfrim9gbsoLxQsda4-vOz5x_BM/edit?usp=sharing"",""ภูเก็ต!Q80"")+IMPORTRANGE(""https://docs.google.com/spreadsheets/d/1woKwKjgoLssDvPcPeV"&amp;"yezB5izizAn4X1JDrys69n6xI/edit?usp=sharing"",""ยะลา!Q80"")+IMPORTRANGE(""https://docs.google.com/spreadsheets/d/1qfrKjzMhm2HJfxQ-qVlJlJQ25Hne1d0khsySbZyGtPA/edit?usp=sharing"",""ระนอง!Q80"")+IMPORTRANGE(""https://docs.google.com/spreadsheets/d/1IbSCnFOKpZ"&amp;"snFogBHJnL_isstZVaOMnFiIN0fGTPZZw/edit?usp=sharing"",""สงขลา!Q80"")+IMPORTRANGE(""https://docs.google.com/spreadsheets/d/1q9nWasZJ-K8bFGvbE9n0qSRuKGA4Toe3Y89cKCiVtCU/edit?usp=sharing"",""สตูล!Q80"")+IMPORTRANGE(""https://docs.google.com/spreadsheets/d/18T"&amp;"20gbkS_WBjdscyTOV05cvq_JqvqQ17C81mpxf7Ncs/edit?usp=sharing"",""สุราษฎร์ธานี!Q80"")"),0)</f>
        <v>0</v>
      </c>
      <c r="R80" s="47">
        <f ca="1">IFERROR(__xludf.DUMMYFUNCTION("IMPORTRANGE(""https://docs.google.com/spreadsheets/d/1kKUcYdkIfrgTSj8iHHHB2MD2FAtwyyocFgqGQn6ADyI/edit?usp=sharing"",""กระบี่!R80"")+IMPORTRANGE(""https://docs.google.com/spreadsheets/d/1GwtLaSlNZkLk7iDqcyZz22giiy40b_usZZBXYciEN1U/edit?usp=sharing"",""ชุม"&amp;"พร!R80"")+IMPORTRANGE(""https://docs.google.com/spreadsheets/d/16pAz3pOhQEZBhvFNMa5KGgZS6iKWpsKX0pg6tQmwFpo/edit?usp=sharing"",""ตรัง!R80"")+IMPORTRANGE(""https://docs.google.com/spreadsheets/d/1Dj4jcHCTV9JXKCaMoheSXS52JE63kDKyG7bPXnFogHk/edit?usp=sharing"&amp;""",""นครศรีธรรมราช!R80"")+IMPORTRANGE(""https://docs.google.com/spreadsheets/d/1iodCdmuK2GR3jzUwk8tpccY2JHQQA-87DLOtJP-ooyU/edit?usp=sharing"",""นราธิวาส!R80"")+IMPORTRANGE(""https://docs.google.com/spreadsheets/d/1SDNX3JhDdYRuIOsj0Wh2M-Qa_eaXl0NbWmhAOTbf"&amp;"QAs/edit?usp=sharing"",""ปัตตานี!R80"")+IMPORTRANGE(""https://docs.google.com/spreadsheets/d/16JDLGguT8s5DsGCND1KcwHP_AWR_zDMTqLHPLJUKhaU/edit?usp=sharing"",""พังงา!R80"")+IMPORTRANGE(""https://docs.google.com/spreadsheets/d/17ht0gPKzzT3PObBL1XJkeRmntBXI7"&amp;"wGjpLV7QorqlTk/edit?usp=sharing"",""พัทลุง!R80"")+IMPORTRANGE(""https://docs.google.com/spreadsheets/d/1rd4qoM1q_hsgaolqNGfrim9gbsoLxQsda4-vOz5x_BM/edit?usp=sharing"",""ภูเก็ต!R80"")+IMPORTRANGE(""https://docs.google.com/spreadsheets/d/1woKwKjgoLssDvPcPeV"&amp;"yezB5izizAn4X1JDrys69n6xI/edit?usp=sharing"",""ยะลา!R80"")+IMPORTRANGE(""https://docs.google.com/spreadsheets/d/1qfrKjzMhm2HJfxQ-qVlJlJQ25Hne1d0khsySbZyGtPA/edit?usp=sharing"",""ระนอง!R80"")+IMPORTRANGE(""https://docs.google.com/spreadsheets/d/1IbSCnFOKpZ"&amp;"snFogBHJnL_isstZVaOMnFiIN0fGTPZZw/edit?usp=sharing"",""สงขลา!R80"")+IMPORTRANGE(""https://docs.google.com/spreadsheets/d/1q9nWasZJ-K8bFGvbE9n0qSRuKGA4Toe3Y89cKCiVtCU/edit?usp=sharing"",""สตูล!R80"")+IMPORTRANGE(""https://docs.google.com/spreadsheets/d/18T"&amp;"20gbkS_WBjdscyTOV05cvq_JqvqQ17C81mpxf7Ncs/edit?usp=sharing"",""สุราษฎร์ธานี!R80"")"),0)</f>
        <v>0</v>
      </c>
      <c r="S80" s="47">
        <f ca="1">IFERROR(__xludf.DUMMYFUNCTION("IMPORTRANGE(""https://docs.google.com/spreadsheets/d/1kKUcYdkIfrgTSj8iHHHB2MD2FAtwyyocFgqGQn6ADyI/edit?usp=sharing"",""กระบี่!S80"")+IMPORTRANGE(""https://docs.google.com/spreadsheets/d/1GwtLaSlNZkLk7iDqcyZz22giiy40b_usZZBXYciEN1U/edit?usp=sharing"",""ชุม"&amp;"พร!S80"")+IMPORTRANGE(""https://docs.google.com/spreadsheets/d/16pAz3pOhQEZBhvFNMa5KGgZS6iKWpsKX0pg6tQmwFpo/edit?usp=sharing"",""ตรัง!S80"")+IMPORTRANGE(""https://docs.google.com/spreadsheets/d/1Dj4jcHCTV9JXKCaMoheSXS52JE63kDKyG7bPXnFogHk/edit?usp=sharing"&amp;""",""นครศรีธรรมราช!S80"")+IMPORTRANGE(""https://docs.google.com/spreadsheets/d/1iodCdmuK2GR3jzUwk8tpccY2JHQQA-87DLOtJP-ooyU/edit?usp=sharing"",""นราธิวาส!S80"")+IMPORTRANGE(""https://docs.google.com/spreadsheets/d/1SDNX3JhDdYRuIOsj0Wh2M-Qa_eaXl0NbWmhAOTbf"&amp;"QAs/edit?usp=sharing"",""ปัตตานี!S80"")+IMPORTRANGE(""https://docs.google.com/spreadsheets/d/16JDLGguT8s5DsGCND1KcwHP_AWR_zDMTqLHPLJUKhaU/edit?usp=sharing"",""พังงา!S80"")+IMPORTRANGE(""https://docs.google.com/spreadsheets/d/17ht0gPKzzT3PObBL1XJkeRmntBXI7"&amp;"wGjpLV7QorqlTk/edit?usp=sharing"",""พัทลุง!S80"")+IMPORTRANGE(""https://docs.google.com/spreadsheets/d/1rd4qoM1q_hsgaolqNGfrim9gbsoLxQsda4-vOz5x_BM/edit?usp=sharing"",""ภูเก็ต!S80"")+IMPORTRANGE(""https://docs.google.com/spreadsheets/d/1woKwKjgoLssDvPcPeV"&amp;"yezB5izizAn4X1JDrys69n6xI/edit?usp=sharing"",""ยะลา!S80"")+IMPORTRANGE(""https://docs.google.com/spreadsheets/d/1qfrKjzMhm2HJfxQ-qVlJlJQ25Hne1d0khsySbZyGtPA/edit?usp=sharing"",""ระนอง!S80"")+IMPORTRANGE(""https://docs.google.com/spreadsheets/d/1IbSCnFOKpZ"&amp;"snFogBHJnL_isstZVaOMnFiIN0fGTPZZw/edit?usp=sharing"",""สงขลา!S80"")+IMPORTRANGE(""https://docs.google.com/spreadsheets/d/1q9nWasZJ-K8bFGvbE9n0qSRuKGA4Toe3Y89cKCiVtCU/edit?usp=sharing"",""สตูล!S80"")+IMPORTRANGE(""https://docs.google.com/spreadsheets/d/18T"&amp;"20gbkS_WBjdscyTOV05cvq_JqvqQ17C81mpxf7Ncs/edit?usp=sharing"",""สุราษฎร์ธานี!S80"")"),0)</f>
        <v>0</v>
      </c>
      <c r="T80" s="47">
        <f t="shared" ca="1" si="57"/>
        <v>0</v>
      </c>
      <c r="U80" s="47">
        <f t="shared" ca="1" si="58"/>
        <v>0</v>
      </c>
    </row>
    <row r="81" spans="1:21" ht="19.5" x14ac:dyDescent="0.3">
      <c r="A81" s="138"/>
      <c r="B81" s="139"/>
      <c r="C81" s="129" t="s">
        <v>18</v>
      </c>
      <c r="D81" s="140" t="s">
        <v>38</v>
      </c>
      <c r="E81" s="141"/>
      <c r="F81" s="141"/>
      <c r="G81" s="142"/>
      <c r="H81" s="143"/>
      <c r="I81" s="135"/>
      <c r="J81" s="135"/>
      <c r="K81" s="136"/>
      <c r="L81" s="136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t="shared" ref="I82:J82" ca="1" si="67">I84+I86+I88</f>
        <v>4</v>
      </c>
      <c r="J82" s="147">
        <f t="shared" ca="1" si="67"/>
        <v>3</v>
      </c>
      <c r="K82" s="148">
        <f t="shared" ref="K82:K90" ca="1" si="68">IF(I82&gt;0,J82*100/I82,0)</f>
        <v>75</v>
      </c>
      <c r="L82" s="136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t="shared" ref="I83:J83" ca="1" si="69">I85+I87+I89</f>
        <v>121</v>
      </c>
      <c r="J83" s="147">
        <f t="shared" ca="1" si="69"/>
        <v>91</v>
      </c>
      <c r="K83" s="148">
        <f t="shared" ca="1" si="68"/>
        <v>75.206611570247929</v>
      </c>
      <c r="L83" s="136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kKUcYdkIfrgTSj8iHHHB2MD2FAtwyyocFgqGQn6ADyI/edit?usp=sharing"",""กระบี่!I84"")+IMPORTRANGE(""https://docs.google.com/spreadsheets/d/1GwtLaSlNZkLk7iDqcyZz22giiy40b_usZZBXYciEN1U/edit?usp=sharing"",""ชุม"&amp;"พร!I84"")+IMPORTRANGE(""https://docs.google.com/spreadsheets/d/16pAz3pOhQEZBhvFNMa5KGgZS6iKWpsKX0pg6tQmwFpo/edit?usp=sharing"",""ตรัง!I84"")+IMPORTRANGE(""https://docs.google.com/spreadsheets/d/1Dj4jcHCTV9JXKCaMoheSXS52JE63kDKyG7bPXnFogHk/edit?usp=sharing"&amp;""",""นครศรีธรรมราช!I84"")+IMPORTRANGE(""https://docs.google.com/spreadsheets/d/1iodCdmuK2GR3jzUwk8tpccY2JHQQA-87DLOtJP-ooyU/edit?usp=sharing"",""นราธิวาส!I84"")+IMPORTRANGE(""https://docs.google.com/spreadsheets/d/1SDNX3JhDdYRuIOsj0Wh2M-Qa_eaXl0NbWmhAOTbf"&amp;"QAs/edit?usp=sharing"",""ปัตตานี!I84"")+IMPORTRANGE(""https://docs.google.com/spreadsheets/d/16JDLGguT8s5DsGCND1KcwHP_AWR_zDMTqLHPLJUKhaU/edit?usp=sharing"",""พังงา!I84"")+IMPORTRANGE(""https://docs.google.com/spreadsheets/d/17ht0gPKzzT3PObBL1XJkeRmntBXI7"&amp;"wGjpLV7QorqlTk/edit?usp=sharing"",""พัทลุง!I84"")+IMPORTRANGE(""https://docs.google.com/spreadsheets/d/1rd4qoM1q_hsgaolqNGfrim9gbsoLxQsda4-vOz5x_BM/edit?usp=sharing"",""ภูเก็ต!I84"")+IMPORTRANGE(""https://docs.google.com/spreadsheets/d/1woKwKjgoLssDvPcPeV"&amp;"yezB5izizAn4X1JDrys69n6xI/edit?usp=sharing"",""ยะลา!I84"")+IMPORTRANGE(""https://docs.google.com/spreadsheets/d/1qfrKjzMhm2HJfxQ-qVlJlJQ25Hne1d0khsySbZyGtPA/edit?usp=sharing"",""ระนอง!I84"")+IMPORTRANGE(""https://docs.google.com/spreadsheets/d/1IbSCnFOKpZ"&amp;"snFogBHJnL_isstZVaOMnFiIN0fGTPZZw/edit?usp=sharing"",""สงขลา!I84"")+IMPORTRANGE(""https://docs.google.com/spreadsheets/d/1q9nWasZJ-K8bFGvbE9n0qSRuKGA4Toe3Y89cKCiVtCU/edit?usp=sharing"",""สตูล!I84"")+IMPORTRANGE(""https://docs.google.com/spreadsheets/d/18T"&amp;"20gbkS_WBjdscyTOV05cvq_JqvqQ17C81mpxf7Ncs/edit?usp=sharing"",""สุราษฎร์ธานี!I84"")"),1)</f>
        <v>1</v>
      </c>
      <c r="J84" s="152">
        <f ca="1">IFERROR(__xludf.DUMMYFUNCTION("IMPORTRANGE(""https://docs.google.com/spreadsheets/d/1kKUcYdkIfrgTSj8iHHHB2MD2FAtwyyocFgqGQn6ADyI/edit?usp=sharing"",""กระบี่!J84"")+IMPORTRANGE(""https://docs.google.com/spreadsheets/d/1GwtLaSlNZkLk7iDqcyZz22giiy40b_usZZBXYciEN1U/edit?usp=sharing"",""ชุม"&amp;"พร!J84"")+IMPORTRANGE(""https://docs.google.com/spreadsheets/d/16pAz3pOhQEZBhvFNMa5KGgZS6iKWpsKX0pg6tQmwFpo/edit?usp=sharing"",""ตรัง!J84"")+IMPORTRANGE(""https://docs.google.com/spreadsheets/d/1Dj4jcHCTV9JXKCaMoheSXS52JE63kDKyG7bPXnFogHk/edit?usp=sharing"&amp;""",""นครศรีธรรมราช!J84"")+IMPORTRANGE(""https://docs.google.com/spreadsheets/d/1iodCdmuK2GR3jzUwk8tpccY2JHQQA-87DLOtJP-ooyU/edit?usp=sharing"",""นราธิวาส!J84"")+IMPORTRANGE(""https://docs.google.com/spreadsheets/d/1SDNX3JhDdYRuIOsj0Wh2M-Qa_eaXl0NbWmhAOTbf"&amp;"QAs/edit?usp=sharing"",""ปัตตานี!J84"")+IMPORTRANGE(""https://docs.google.com/spreadsheets/d/16JDLGguT8s5DsGCND1KcwHP_AWR_zDMTqLHPLJUKhaU/edit?usp=sharing"",""พังงา!J84"")+IMPORTRANGE(""https://docs.google.com/spreadsheets/d/17ht0gPKzzT3PObBL1XJkeRmntBXI7"&amp;"wGjpLV7QorqlTk/edit?usp=sharing"",""พัทลุง!J84"")+IMPORTRANGE(""https://docs.google.com/spreadsheets/d/1rd4qoM1q_hsgaolqNGfrim9gbsoLxQsda4-vOz5x_BM/edit?usp=sharing"",""ภูเก็ต!J84"")+IMPORTRANGE(""https://docs.google.com/spreadsheets/d/1woKwKjgoLssDvPcPeV"&amp;"yezB5izizAn4X1JDrys69n6xI/edit?usp=sharing"",""ยะลา!J84"")+IMPORTRANGE(""https://docs.google.com/spreadsheets/d/1qfrKjzMhm2HJfxQ-qVlJlJQ25Hne1d0khsySbZyGtPA/edit?usp=sharing"",""ระนอง!J84"")+IMPORTRANGE(""https://docs.google.com/spreadsheets/d/1IbSCnFOKpZ"&amp;"snFogBHJnL_isstZVaOMnFiIN0fGTPZZw/edit?usp=sharing"",""สงขลา!J84"")+IMPORTRANGE(""https://docs.google.com/spreadsheets/d/1q9nWasZJ-K8bFGvbE9n0qSRuKGA4Toe3Y89cKCiVtCU/edit?usp=sharing"",""สตูล!J84"")+IMPORTRANGE(""https://docs.google.com/spreadsheets/d/18T"&amp;"20gbkS_WBjdscyTOV05cvq_JqvqQ17C81mpxf7Ncs/edit?usp=sharing"",""สุราษฎร์ธานี!J84"")"),1)</f>
        <v>1</v>
      </c>
      <c r="K84" s="153">
        <f t="shared" ca="1" si="68"/>
        <v>100</v>
      </c>
      <c r="L84" s="136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kKUcYdkIfrgTSj8iHHHB2MD2FAtwyyocFgqGQn6ADyI/edit?usp=sharing"",""กระบี่!I85"")+IMPORTRANGE(""https://docs.google.com/spreadsheets/d/1GwtLaSlNZkLk7iDqcyZz22giiy40b_usZZBXYciEN1U/edit?usp=sharing"",""ชุม"&amp;"พร!I85"")+IMPORTRANGE(""https://docs.google.com/spreadsheets/d/16pAz3pOhQEZBhvFNMa5KGgZS6iKWpsKX0pg6tQmwFpo/edit?usp=sharing"",""ตรัง!I85"")+IMPORTRANGE(""https://docs.google.com/spreadsheets/d/1Dj4jcHCTV9JXKCaMoheSXS52JE63kDKyG7bPXnFogHk/edit?usp=sharing"&amp;""",""นครศรีธรรมราช!I85"")+IMPORTRANGE(""https://docs.google.com/spreadsheets/d/1iodCdmuK2GR3jzUwk8tpccY2JHQQA-87DLOtJP-ooyU/edit?usp=sharing"",""นราธิวาส!I85"")+IMPORTRANGE(""https://docs.google.com/spreadsheets/d/1SDNX3JhDdYRuIOsj0Wh2M-Qa_eaXl0NbWmhAOTbf"&amp;"QAs/edit?usp=sharing"",""ปัตตานี!I85"")+IMPORTRANGE(""https://docs.google.com/spreadsheets/d/16JDLGguT8s5DsGCND1KcwHP_AWR_zDMTqLHPLJUKhaU/edit?usp=sharing"",""พังงา!I85"")+IMPORTRANGE(""https://docs.google.com/spreadsheets/d/17ht0gPKzzT3PObBL1XJkeRmntBXI7"&amp;"wGjpLV7QorqlTk/edit?usp=sharing"",""พัทลุง!I85"")+IMPORTRANGE(""https://docs.google.com/spreadsheets/d/1rd4qoM1q_hsgaolqNGfrim9gbsoLxQsda4-vOz5x_BM/edit?usp=sharing"",""ภูเก็ต!I85"")+IMPORTRANGE(""https://docs.google.com/spreadsheets/d/1woKwKjgoLssDvPcPeV"&amp;"yezB5izizAn4X1JDrys69n6xI/edit?usp=sharing"",""ยะลา!I85"")+IMPORTRANGE(""https://docs.google.com/spreadsheets/d/1qfrKjzMhm2HJfxQ-qVlJlJQ25Hne1d0khsySbZyGtPA/edit?usp=sharing"",""ระนอง!I85"")+IMPORTRANGE(""https://docs.google.com/spreadsheets/d/1IbSCnFOKpZ"&amp;"snFogBHJnL_isstZVaOMnFiIN0fGTPZZw/edit?usp=sharing"",""สงขลา!I85"")+IMPORTRANGE(""https://docs.google.com/spreadsheets/d/1q9nWasZJ-K8bFGvbE9n0qSRuKGA4Toe3Y89cKCiVtCU/edit?usp=sharing"",""สตูล!I85"")+IMPORTRANGE(""https://docs.google.com/spreadsheets/d/18T"&amp;"20gbkS_WBjdscyTOV05cvq_JqvqQ17C81mpxf7Ncs/edit?usp=sharing"",""สุราษฎร์ธานี!I85"")"),31)</f>
        <v>31</v>
      </c>
      <c r="J85" s="152">
        <f ca="1">IFERROR(__xludf.DUMMYFUNCTION("IMPORTRANGE(""https://docs.google.com/spreadsheets/d/1kKUcYdkIfrgTSj8iHHHB2MD2FAtwyyocFgqGQn6ADyI/edit?usp=sharing"",""กระบี่!J85"")+IMPORTRANGE(""https://docs.google.com/spreadsheets/d/1GwtLaSlNZkLk7iDqcyZz22giiy40b_usZZBXYciEN1U/edit?usp=sharing"",""ชุม"&amp;"พร!J85"")+IMPORTRANGE(""https://docs.google.com/spreadsheets/d/16pAz3pOhQEZBhvFNMa5KGgZS6iKWpsKX0pg6tQmwFpo/edit?usp=sharing"",""ตรัง!J85"")+IMPORTRANGE(""https://docs.google.com/spreadsheets/d/1Dj4jcHCTV9JXKCaMoheSXS52JE63kDKyG7bPXnFogHk/edit?usp=sharing"&amp;""",""นครศรีธรรมราช!J85"")+IMPORTRANGE(""https://docs.google.com/spreadsheets/d/1iodCdmuK2GR3jzUwk8tpccY2JHQQA-87DLOtJP-ooyU/edit?usp=sharing"",""นราธิวาส!J85"")+IMPORTRANGE(""https://docs.google.com/spreadsheets/d/1SDNX3JhDdYRuIOsj0Wh2M-Qa_eaXl0NbWmhAOTbf"&amp;"QAs/edit?usp=sharing"",""ปัตตานี!J85"")+IMPORTRANGE(""https://docs.google.com/spreadsheets/d/16JDLGguT8s5DsGCND1KcwHP_AWR_zDMTqLHPLJUKhaU/edit?usp=sharing"",""พังงา!J85"")+IMPORTRANGE(""https://docs.google.com/spreadsheets/d/17ht0gPKzzT3PObBL1XJkeRmntBXI7"&amp;"wGjpLV7QorqlTk/edit?usp=sharing"",""พัทลุง!J85"")+IMPORTRANGE(""https://docs.google.com/spreadsheets/d/1rd4qoM1q_hsgaolqNGfrim9gbsoLxQsda4-vOz5x_BM/edit?usp=sharing"",""ภูเก็ต!J85"")+IMPORTRANGE(""https://docs.google.com/spreadsheets/d/1woKwKjgoLssDvPcPeV"&amp;"yezB5izizAn4X1JDrys69n6xI/edit?usp=sharing"",""ยะลา!J85"")+IMPORTRANGE(""https://docs.google.com/spreadsheets/d/1qfrKjzMhm2HJfxQ-qVlJlJQ25Hne1d0khsySbZyGtPA/edit?usp=sharing"",""ระนอง!J85"")+IMPORTRANGE(""https://docs.google.com/spreadsheets/d/1IbSCnFOKpZ"&amp;"snFogBHJnL_isstZVaOMnFiIN0fGTPZZw/edit?usp=sharing"",""สงขลา!J85"")+IMPORTRANGE(""https://docs.google.com/spreadsheets/d/1q9nWasZJ-K8bFGvbE9n0qSRuKGA4Toe3Y89cKCiVtCU/edit?usp=sharing"",""สตูล!J85"")+IMPORTRANGE(""https://docs.google.com/spreadsheets/d/18T"&amp;"20gbkS_WBjdscyTOV05cvq_JqvqQ17C81mpxf7Ncs/edit?usp=sharing"",""สุราษฎร์ธานี!J85"")"),31)</f>
        <v>31</v>
      </c>
      <c r="K85" s="153">
        <f t="shared" ca="1" si="68"/>
        <v>100</v>
      </c>
      <c r="L85" s="136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kKUcYdkIfrgTSj8iHHHB2MD2FAtwyyocFgqGQn6ADyI/edit?usp=sharing"",""กระบี่!I86"")+IMPORTRANGE(""https://docs.google.com/spreadsheets/d/1GwtLaSlNZkLk7iDqcyZz22giiy40b_usZZBXYciEN1U/edit?usp=sharing"",""ชุม"&amp;"พร!I86"")+IMPORTRANGE(""https://docs.google.com/spreadsheets/d/16pAz3pOhQEZBhvFNMa5KGgZS6iKWpsKX0pg6tQmwFpo/edit?usp=sharing"",""ตรัง!I86"")+IMPORTRANGE(""https://docs.google.com/spreadsheets/d/1Dj4jcHCTV9JXKCaMoheSXS52JE63kDKyG7bPXnFogHk/edit?usp=sharing"&amp;""",""นครศรีธรรมราช!I86"")+IMPORTRANGE(""https://docs.google.com/spreadsheets/d/1iodCdmuK2GR3jzUwk8tpccY2JHQQA-87DLOtJP-ooyU/edit?usp=sharing"",""นราธิวาส!I86"")+IMPORTRANGE(""https://docs.google.com/spreadsheets/d/1SDNX3JhDdYRuIOsj0Wh2M-Qa_eaXl0NbWmhAOTbf"&amp;"QAs/edit?usp=sharing"",""ปัตตานี!I86"")+IMPORTRANGE(""https://docs.google.com/spreadsheets/d/16JDLGguT8s5DsGCND1KcwHP_AWR_zDMTqLHPLJUKhaU/edit?usp=sharing"",""พังงา!I86"")+IMPORTRANGE(""https://docs.google.com/spreadsheets/d/17ht0gPKzzT3PObBL1XJkeRmntBXI7"&amp;"wGjpLV7QorqlTk/edit?usp=sharing"",""พัทลุง!I86"")+IMPORTRANGE(""https://docs.google.com/spreadsheets/d/1rd4qoM1q_hsgaolqNGfrim9gbsoLxQsda4-vOz5x_BM/edit?usp=sharing"",""ภูเก็ต!I86"")+IMPORTRANGE(""https://docs.google.com/spreadsheets/d/1woKwKjgoLssDvPcPeV"&amp;"yezB5izizAn4X1JDrys69n6xI/edit?usp=sharing"",""ยะลา!I86"")+IMPORTRANGE(""https://docs.google.com/spreadsheets/d/1qfrKjzMhm2HJfxQ-qVlJlJQ25Hne1d0khsySbZyGtPA/edit?usp=sharing"",""ระนอง!I86"")+IMPORTRANGE(""https://docs.google.com/spreadsheets/d/1IbSCnFOKpZ"&amp;"snFogBHJnL_isstZVaOMnFiIN0fGTPZZw/edit?usp=sharing"",""สงขลา!I86"")+IMPORTRANGE(""https://docs.google.com/spreadsheets/d/1q9nWasZJ-K8bFGvbE9n0qSRuKGA4Toe3Y89cKCiVtCU/edit?usp=sharing"",""สตูล!I86"")+IMPORTRANGE(""https://docs.google.com/spreadsheets/d/18T"&amp;"20gbkS_WBjdscyTOV05cvq_JqvqQ17C81mpxf7Ncs/edit?usp=sharing"",""สุราษฎร์ธานี!I86"")"),2)</f>
        <v>2</v>
      </c>
      <c r="J86" s="152">
        <f ca="1">IFERROR(__xludf.DUMMYFUNCTION("IMPORTRANGE(""https://docs.google.com/spreadsheets/d/1kKUcYdkIfrgTSj8iHHHB2MD2FAtwyyocFgqGQn6ADyI/edit?usp=sharing"",""กระบี่!J86"")+IMPORTRANGE(""https://docs.google.com/spreadsheets/d/1GwtLaSlNZkLk7iDqcyZz22giiy40b_usZZBXYciEN1U/edit?usp=sharing"",""ชุม"&amp;"พร!J86"")+IMPORTRANGE(""https://docs.google.com/spreadsheets/d/16pAz3pOhQEZBhvFNMa5KGgZS6iKWpsKX0pg6tQmwFpo/edit?usp=sharing"",""ตรัง!J86"")+IMPORTRANGE(""https://docs.google.com/spreadsheets/d/1Dj4jcHCTV9JXKCaMoheSXS52JE63kDKyG7bPXnFogHk/edit?usp=sharing"&amp;""",""นครศรีธรรมราช!J86"")+IMPORTRANGE(""https://docs.google.com/spreadsheets/d/1iodCdmuK2GR3jzUwk8tpccY2JHQQA-87DLOtJP-ooyU/edit?usp=sharing"",""นราธิวาส!J86"")+IMPORTRANGE(""https://docs.google.com/spreadsheets/d/1SDNX3JhDdYRuIOsj0Wh2M-Qa_eaXl0NbWmhAOTbf"&amp;"QAs/edit?usp=sharing"",""ปัตตานี!J86"")+IMPORTRANGE(""https://docs.google.com/spreadsheets/d/16JDLGguT8s5DsGCND1KcwHP_AWR_zDMTqLHPLJUKhaU/edit?usp=sharing"",""พังงา!J86"")+IMPORTRANGE(""https://docs.google.com/spreadsheets/d/17ht0gPKzzT3PObBL1XJkeRmntBXI7"&amp;"wGjpLV7QorqlTk/edit?usp=sharing"",""พัทลุง!J86"")+IMPORTRANGE(""https://docs.google.com/spreadsheets/d/1rd4qoM1q_hsgaolqNGfrim9gbsoLxQsda4-vOz5x_BM/edit?usp=sharing"",""ภูเก็ต!J86"")+IMPORTRANGE(""https://docs.google.com/spreadsheets/d/1woKwKjgoLssDvPcPeV"&amp;"yezB5izizAn4X1JDrys69n6xI/edit?usp=sharing"",""ยะลา!J86"")+IMPORTRANGE(""https://docs.google.com/spreadsheets/d/1qfrKjzMhm2HJfxQ-qVlJlJQ25Hne1d0khsySbZyGtPA/edit?usp=sharing"",""ระนอง!J86"")+IMPORTRANGE(""https://docs.google.com/spreadsheets/d/1IbSCnFOKpZ"&amp;"snFogBHJnL_isstZVaOMnFiIN0fGTPZZw/edit?usp=sharing"",""สงขลา!J86"")+IMPORTRANGE(""https://docs.google.com/spreadsheets/d/1q9nWasZJ-K8bFGvbE9n0qSRuKGA4Toe3Y89cKCiVtCU/edit?usp=sharing"",""สตูล!J86"")+IMPORTRANGE(""https://docs.google.com/spreadsheets/d/18T"&amp;"20gbkS_WBjdscyTOV05cvq_JqvqQ17C81mpxf7Ncs/edit?usp=sharing"",""สุราษฎร์ธานี!J86"")"),2)</f>
        <v>2</v>
      </c>
      <c r="K86" s="153">
        <f t="shared" ca="1" si="68"/>
        <v>100</v>
      </c>
      <c r="L86" s="136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kKUcYdkIfrgTSj8iHHHB2MD2FAtwyyocFgqGQn6ADyI/edit?usp=sharing"",""กระบี่!I87"")+IMPORTRANGE(""https://docs.google.com/spreadsheets/d/1GwtLaSlNZkLk7iDqcyZz22giiy40b_usZZBXYciEN1U/edit?usp=sharing"",""ชุม"&amp;"พร!I87"")+IMPORTRANGE(""https://docs.google.com/spreadsheets/d/16pAz3pOhQEZBhvFNMa5KGgZS6iKWpsKX0pg6tQmwFpo/edit?usp=sharing"",""ตรัง!I87"")+IMPORTRANGE(""https://docs.google.com/spreadsheets/d/1Dj4jcHCTV9JXKCaMoheSXS52JE63kDKyG7bPXnFogHk/edit?usp=sharing"&amp;""",""นครศรีธรรมราช!I87"")+IMPORTRANGE(""https://docs.google.com/spreadsheets/d/1iodCdmuK2GR3jzUwk8tpccY2JHQQA-87DLOtJP-ooyU/edit?usp=sharing"",""นราธิวาส!I87"")+IMPORTRANGE(""https://docs.google.com/spreadsheets/d/1SDNX3JhDdYRuIOsj0Wh2M-Qa_eaXl0NbWmhAOTbf"&amp;"QAs/edit?usp=sharing"",""ปัตตานี!I87"")+IMPORTRANGE(""https://docs.google.com/spreadsheets/d/16JDLGguT8s5DsGCND1KcwHP_AWR_zDMTqLHPLJUKhaU/edit?usp=sharing"",""พังงา!I87"")+IMPORTRANGE(""https://docs.google.com/spreadsheets/d/17ht0gPKzzT3PObBL1XJkeRmntBXI7"&amp;"wGjpLV7QorqlTk/edit?usp=sharing"",""พัทลุง!I87"")+IMPORTRANGE(""https://docs.google.com/spreadsheets/d/1rd4qoM1q_hsgaolqNGfrim9gbsoLxQsda4-vOz5x_BM/edit?usp=sharing"",""ภูเก็ต!I87"")+IMPORTRANGE(""https://docs.google.com/spreadsheets/d/1woKwKjgoLssDvPcPeV"&amp;"yezB5izizAn4X1JDrys69n6xI/edit?usp=sharing"",""ยะลา!I87"")+IMPORTRANGE(""https://docs.google.com/spreadsheets/d/1qfrKjzMhm2HJfxQ-qVlJlJQ25Hne1d0khsySbZyGtPA/edit?usp=sharing"",""ระนอง!I87"")+IMPORTRANGE(""https://docs.google.com/spreadsheets/d/1IbSCnFOKpZ"&amp;"snFogBHJnL_isstZVaOMnFiIN0fGTPZZw/edit?usp=sharing"",""สงขลา!I87"")+IMPORTRANGE(""https://docs.google.com/spreadsheets/d/1q9nWasZJ-K8bFGvbE9n0qSRuKGA4Toe3Y89cKCiVtCU/edit?usp=sharing"",""สตูล!I87"")+IMPORTRANGE(""https://docs.google.com/spreadsheets/d/18T"&amp;"20gbkS_WBjdscyTOV05cvq_JqvqQ17C81mpxf7Ncs/edit?usp=sharing"",""สุราษฎร์ธานี!I87"")"),60)</f>
        <v>60</v>
      </c>
      <c r="J87" s="152">
        <f ca="1">IFERROR(__xludf.DUMMYFUNCTION("IMPORTRANGE(""https://docs.google.com/spreadsheets/d/1kKUcYdkIfrgTSj8iHHHB2MD2FAtwyyocFgqGQn6ADyI/edit?usp=sharing"",""กระบี่!J87"")+IMPORTRANGE(""https://docs.google.com/spreadsheets/d/1GwtLaSlNZkLk7iDqcyZz22giiy40b_usZZBXYciEN1U/edit?usp=sharing"",""ชุม"&amp;"พร!J87"")+IMPORTRANGE(""https://docs.google.com/spreadsheets/d/16pAz3pOhQEZBhvFNMa5KGgZS6iKWpsKX0pg6tQmwFpo/edit?usp=sharing"",""ตรัง!J87"")+IMPORTRANGE(""https://docs.google.com/spreadsheets/d/1Dj4jcHCTV9JXKCaMoheSXS52JE63kDKyG7bPXnFogHk/edit?usp=sharing"&amp;""",""นครศรีธรรมราช!J87"")+IMPORTRANGE(""https://docs.google.com/spreadsheets/d/1iodCdmuK2GR3jzUwk8tpccY2JHQQA-87DLOtJP-ooyU/edit?usp=sharing"",""นราธิวาส!J87"")+IMPORTRANGE(""https://docs.google.com/spreadsheets/d/1SDNX3JhDdYRuIOsj0Wh2M-Qa_eaXl0NbWmhAOTbf"&amp;"QAs/edit?usp=sharing"",""ปัตตานี!J87"")+IMPORTRANGE(""https://docs.google.com/spreadsheets/d/16JDLGguT8s5DsGCND1KcwHP_AWR_zDMTqLHPLJUKhaU/edit?usp=sharing"",""พังงา!J87"")+IMPORTRANGE(""https://docs.google.com/spreadsheets/d/17ht0gPKzzT3PObBL1XJkeRmntBXI7"&amp;"wGjpLV7QorqlTk/edit?usp=sharing"",""พัทลุง!J87"")+IMPORTRANGE(""https://docs.google.com/spreadsheets/d/1rd4qoM1q_hsgaolqNGfrim9gbsoLxQsda4-vOz5x_BM/edit?usp=sharing"",""ภูเก็ต!J87"")+IMPORTRANGE(""https://docs.google.com/spreadsheets/d/1woKwKjgoLssDvPcPeV"&amp;"yezB5izizAn4X1JDrys69n6xI/edit?usp=sharing"",""ยะลา!J87"")+IMPORTRANGE(""https://docs.google.com/spreadsheets/d/1qfrKjzMhm2HJfxQ-qVlJlJQ25Hne1d0khsySbZyGtPA/edit?usp=sharing"",""ระนอง!J87"")+IMPORTRANGE(""https://docs.google.com/spreadsheets/d/1IbSCnFOKpZ"&amp;"snFogBHJnL_isstZVaOMnFiIN0fGTPZZw/edit?usp=sharing"",""สงขลา!J87"")+IMPORTRANGE(""https://docs.google.com/spreadsheets/d/1q9nWasZJ-K8bFGvbE9n0qSRuKGA4Toe3Y89cKCiVtCU/edit?usp=sharing"",""สตูล!J87"")+IMPORTRANGE(""https://docs.google.com/spreadsheets/d/18T"&amp;"20gbkS_WBjdscyTOV05cvq_JqvqQ17C81mpxf7Ncs/edit?usp=sharing"",""สุราษฎร์ธานี!J87"")"),60)</f>
        <v>60</v>
      </c>
      <c r="K87" s="153">
        <f t="shared" ca="1" si="68"/>
        <v>100</v>
      </c>
      <c r="L87" s="136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kKUcYdkIfrgTSj8iHHHB2MD2FAtwyyocFgqGQn6ADyI/edit?usp=sharing"",""กระบี่!I88"")+IMPORTRANGE(""https://docs.google.com/spreadsheets/d/1GwtLaSlNZkLk7iDqcyZz22giiy40b_usZZBXYciEN1U/edit?usp=sharing"",""ชุม"&amp;"พร!I88"")+IMPORTRANGE(""https://docs.google.com/spreadsheets/d/16pAz3pOhQEZBhvFNMa5KGgZS6iKWpsKX0pg6tQmwFpo/edit?usp=sharing"",""ตรัง!I88"")+IMPORTRANGE(""https://docs.google.com/spreadsheets/d/1Dj4jcHCTV9JXKCaMoheSXS52JE63kDKyG7bPXnFogHk/edit?usp=sharing"&amp;""",""นครศรีธรรมราช!I88"")+IMPORTRANGE(""https://docs.google.com/spreadsheets/d/1iodCdmuK2GR3jzUwk8tpccY2JHQQA-87DLOtJP-ooyU/edit?usp=sharing"",""นราธิวาส!I88"")+IMPORTRANGE(""https://docs.google.com/spreadsheets/d/1SDNX3JhDdYRuIOsj0Wh2M-Qa_eaXl0NbWmhAOTbf"&amp;"QAs/edit?usp=sharing"",""ปัตตานี!I88"")+IMPORTRANGE(""https://docs.google.com/spreadsheets/d/16JDLGguT8s5DsGCND1KcwHP_AWR_zDMTqLHPLJUKhaU/edit?usp=sharing"",""พังงา!I88"")+IMPORTRANGE(""https://docs.google.com/spreadsheets/d/17ht0gPKzzT3PObBL1XJkeRmntBXI7"&amp;"wGjpLV7QorqlTk/edit?usp=sharing"",""พัทลุง!I88"")+IMPORTRANGE(""https://docs.google.com/spreadsheets/d/1rd4qoM1q_hsgaolqNGfrim9gbsoLxQsda4-vOz5x_BM/edit?usp=sharing"",""ภูเก็ต!I88"")+IMPORTRANGE(""https://docs.google.com/spreadsheets/d/1woKwKjgoLssDvPcPeV"&amp;"yezB5izizAn4X1JDrys69n6xI/edit?usp=sharing"",""ยะลา!I88"")+IMPORTRANGE(""https://docs.google.com/spreadsheets/d/1qfrKjzMhm2HJfxQ-qVlJlJQ25Hne1d0khsySbZyGtPA/edit?usp=sharing"",""ระนอง!I88"")+IMPORTRANGE(""https://docs.google.com/spreadsheets/d/1IbSCnFOKpZ"&amp;"snFogBHJnL_isstZVaOMnFiIN0fGTPZZw/edit?usp=sharing"",""สงขลา!I88"")+IMPORTRANGE(""https://docs.google.com/spreadsheets/d/1q9nWasZJ-K8bFGvbE9n0qSRuKGA4Toe3Y89cKCiVtCU/edit?usp=sharing"",""สตูล!I88"")+IMPORTRANGE(""https://docs.google.com/spreadsheets/d/18T"&amp;"20gbkS_WBjdscyTOV05cvq_JqvqQ17C81mpxf7Ncs/edit?usp=sharing"",""สุราษฎร์ธานี!I88"")"),1)</f>
        <v>1</v>
      </c>
      <c r="J88" s="152">
        <f ca="1">IFERROR(__xludf.DUMMYFUNCTION("IMPORTRANGE(""https://docs.google.com/spreadsheets/d/1kKUcYdkIfrgTSj8iHHHB2MD2FAtwyyocFgqGQn6ADyI/edit?usp=sharing"",""กระบี่!J88"")+IMPORTRANGE(""https://docs.google.com/spreadsheets/d/1GwtLaSlNZkLk7iDqcyZz22giiy40b_usZZBXYciEN1U/edit?usp=sharing"",""ชุม"&amp;"พร!J88"")+IMPORTRANGE(""https://docs.google.com/spreadsheets/d/16pAz3pOhQEZBhvFNMa5KGgZS6iKWpsKX0pg6tQmwFpo/edit?usp=sharing"",""ตรัง!J88"")+IMPORTRANGE(""https://docs.google.com/spreadsheets/d/1Dj4jcHCTV9JXKCaMoheSXS52JE63kDKyG7bPXnFogHk/edit?usp=sharing"&amp;""",""นครศรีธรรมราช!J88"")+IMPORTRANGE(""https://docs.google.com/spreadsheets/d/1iodCdmuK2GR3jzUwk8tpccY2JHQQA-87DLOtJP-ooyU/edit?usp=sharing"",""นราธิวาส!J88"")+IMPORTRANGE(""https://docs.google.com/spreadsheets/d/1SDNX3JhDdYRuIOsj0Wh2M-Qa_eaXl0NbWmhAOTbf"&amp;"QAs/edit?usp=sharing"",""ปัตตานี!J88"")+IMPORTRANGE(""https://docs.google.com/spreadsheets/d/16JDLGguT8s5DsGCND1KcwHP_AWR_zDMTqLHPLJUKhaU/edit?usp=sharing"",""พังงา!J88"")+IMPORTRANGE(""https://docs.google.com/spreadsheets/d/17ht0gPKzzT3PObBL1XJkeRmntBXI7"&amp;"wGjpLV7QorqlTk/edit?usp=sharing"",""พัทลุง!J88"")+IMPORTRANGE(""https://docs.google.com/spreadsheets/d/1rd4qoM1q_hsgaolqNGfrim9gbsoLxQsda4-vOz5x_BM/edit?usp=sharing"",""ภูเก็ต!J88"")+IMPORTRANGE(""https://docs.google.com/spreadsheets/d/1woKwKjgoLssDvPcPeV"&amp;"yezB5izizAn4X1JDrys69n6xI/edit?usp=sharing"",""ยะลา!J88"")+IMPORTRANGE(""https://docs.google.com/spreadsheets/d/1qfrKjzMhm2HJfxQ-qVlJlJQ25Hne1d0khsySbZyGtPA/edit?usp=sharing"",""ระนอง!J88"")+IMPORTRANGE(""https://docs.google.com/spreadsheets/d/1IbSCnFOKpZ"&amp;"snFogBHJnL_isstZVaOMnFiIN0fGTPZZw/edit?usp=sharing"",""สงขลา!J88"")+IMPORTRANGE(""https://docs.google.com/spreadsheets/d/1q9nWasZJ-K8bFGvbE9n0qSRuKGA4Toe3Y89cKCiVtCU/edit?usp=sharing"",""สตูล!J88"")+IMPORTRANGE(""https://docs.google.com/spreadsheets/d/18T"&amp;"20gbkS_WBjdscyTOV05cvq_JqvqQ17C81mpxf7Ncs/edit?usp=sharing"",""สุราษฎร์ธานี!J88"")"),0)</f>
        <v>0</v>
      </c>
      <c r="K88" s="153">
        <f t="shared" ca="1" si="68"/>
        <v>0</v>
      </c>
      <c r="L88" s="136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kKUcYdkIfrgTSj8iHHHB2MD2FAtwyyocFgqGQn6ADyI/edit?usp=sharing"",""กระบี่!I89"")+IMPORTRANGE(""https://docs.google.com/spreadsheets/d/1GwtLaSlNZkLk7iDqcyZz22giiy40b_usZZBXYciEN1U/edit?usp=sharing"",""ชุม"&amp;"พร!I89"")+IMPORTRANGE(""https://docs.google.com/spreadsheets/d/16pAz3pOhQEZBhvFNMa5KGgZS6iKWpsKX0pg6tQmwFpo/edit?usp=sharing"",""ตรัง!I89"")+IMPORTRANGE(""https://docs.google.com/spreadsheets/d/1Dj4jcHCTV9JXKCaMoheSXS52JE63kDKyG7bPXnFogHk/edit?usp=sharing"&amp;""",""นครศรีธรรมราช!I89"")+IMPORTRANGE(""https://docs.google.com/spreadsheets/d/1iodCdmuK2GR3jzUwk8tpccY2JHQQA-87DLOtJP-ooyU/edit?usp=sharing"",""นราธิวาส!I89"")+IMPORTRANGE(""https://docs.google.com/spreadsheets/d/1SDNX3JhDdYRuIOsj0Wh2M-Qa_eaXl0NbWmhAOTbf"&amp;"QAs/edit?usp=sharing"",""ปัตตานี!I89"")+IMPORTRANGE(""https://docs.google.com/spreadsheets/d/16JDLGguT8s5DsGCND1KcwHP_AWR_zDMTqLHPLJUKhaU/edit?usp=sharing"",""พังงา!I89"")+IMPORTRANGE(""https://docs.google.com/spreadsheets/d/17ht0gPKzzT3PObBL1XJkeRmntBXI7"&amp;"wGjpLV7QorqlTk/edit?usp=sharing"",""พัทลุง!I89"")+IMPORTRANGE(""https://docs.google.com/spreadsheets/d/1rd4qoM1q_hsgaolqNGfrim9gbsoLxQsda4-vOz5x_BM/edit?usp=sharing"",""ภูเก็ต!I89"")+IMPORTRANGE(""https://docs.google.com/spreadsheets/d/1woKwKjgoLssDvPcPeV"&amp;"yezB5izizAn4X1JDrys69n6xI/edit?usp=sharing"",""ยะลา!I89"")+IMPORTRANGE(""https://docs.google.com/spreadsheets/d/1qfrKjzMhm2HJfxQ-qVlJlJQ25Hne1d0khsySbZyGtPA/edit?usp=sharing"",""ระนอง!I89"")+IMPORTRANGE(""https://docs.google.com/spreadsheets/d/1IbSCnFOKpZ"&amp;"snFogBHJnL_isstZVaOMnFiIN0fGTPZZw/edit?usp=sharing"",""สงขลา!I89"")+IMPORTRANGE(""https://docs.google.com/spreadsheets/d/1q9nWasZJ-K8bFGvbE9n0qSRuKGA4Toe3Y89cKCiVtCU/edit?usp=sharing"",""สตูล!I89"")+IMPORTRANGE(""https://docs.google.com/spreadsheets/d/18T"&amp;"20gbkS_WBjdscyTOV05cvq_JqvqQ17C81mpxf7Ncs/edit?usp=sharing"",""สุราษฎร์ธานี!I89"")"),30)</f>
        <v>30</v>
      </c>
      <c r="J89" s="152">
        <f ca="1">IFERROR(__xludf.DUMMYFUNCTION("IMPORTRANGE(""https://docs.google.com/spreadsheets/d/1kKUcYdkIfrgTSj8iHHHB2MD2FAtwyyocFgqGQn6ADyI/edit?usp=sharing"",""กระบี่!J89"")+IMPORTRANGE(""https://docs.google.com/spreadsheets/d/1GwtLaSlNZkLk7iDqcyZz22giiy40b_usZZBXYciEN1U/edit?usp=sharing"",""ชุม"&amp;"พร!J89"")+IMPORTRANGE(""https://docs.google.com/spreadsheets/d/16pAz3pOhQEZBhvFNMa5KGgZS6iKWpsKX0pg6tQmwFpo/edit?usp=sharing"",""ตรัง!J89"")+IMPORTRANGE(""https://docs.google.com/spreadsheets/d/1Dj4jcHCTV9JXKCaMoheSXS52JE63kDKyG7bPXnFogHk/edit?usp=sharing"&amp;""",""นครศรีธรรมราช!J89"")+IMPORTRANGE(""https://docs.google.com/spreadsheets/d/1iodCdmuK2GR3jzUwk8tpccY2JHQQA-87DLOtJP-ooyU/edit?usp=sharing"",""นราธิวาส!J89"")+IMPORTRANGE(""https://docs.google.com/spreadsheets/d/1SDNX3JhDdYRuIOsj0Wh2M-Qa_eaXl0NbWmhAOTbf"&amp;"QAs/edit?usp=sharing"",""ปัตตานี!J89"")+IMPORTRANGE(""https://docs.google.com/spreadsheets/d/16JDLGguT8s5DsGCND1KcwHP_AWR_zDMTqLHPLJUKhaU/edit?usp=sharing"",""พังงา!J89"")+IMPORTRANGE(""https://docs.google.com/spreadsheets/d/17ht0gPKzzT3PObBL1XJkeRmntBXI7"&amp;"wGjpLV7QorqlTk/edit?usp=sharing"",""พัทลุง!J89"")+IMPORTRANGE(""https://docs.google.com/spreadsheets/d/1rd4qoM1q_hsgaolqNGfrim9gbsoLxQsda4-vOz5x_BM/edit?usp=sharing"",""ภูเก็ต!J89"")+IMPORTRANGE(""https://docs.google.com/spreadsheets/d/1woKwKjgoLssDvPcPeV"&amp;"yezB5izizAn4X1JDrys69n6xI/edit?usp=sharing"",""ยะลา!J89"")+IMPORTRANGE(""https://docs.google.com/spreadsheets/d/1qfrKjzMhm2HJfxQ-qVlJlJQ25Hne1d0khsySbZyGtPA/edit?usp=sharing"",""ระนอง!J89"")+IMPORTRANGE(""https://docs.google.com/spreadsheets/d/1IbSCnFOKpZ"&amp;"snFogBHJnL_isstZVaOMnFiIN0fGTPZZw/edit?usp=sharing"",""สงขลา!J89"")+IMPORTRANGE(""https://docs.google.com/spreadsheets/d/1q9nWasZJ-K8bFGvbE9n0qSRuKGA4Toe3Y89cKCiVtCU/edit?usp=sharing"",""สตูล!J89"")+IMPORTRANGE(""https://docs.google.com/spreadsheets/d/18T"&amp;"20gbkS_WBjdscyTOV05cvq_JqvqQ17C81mpxf7Ncs/edit?usp=sharing"",""สุราษฎร์ธานี!J89"")"),0)</f>
        <v>0</v>
      </c>
      <c r="K89" s="153">
        <f t="shared" ca="1" si="68"/>
        <v>0</v>
      </c>
      <c r="L89" s="136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kKUcYdkIfrgTSj8iHHHB2MD2FAtwyyocFgqGQn6ADyI/edit?usp=sharing"",""กระบี่!I90"")+IMPORTRANGE(""https://docs.google.com/spreadsheets/d/1GwtLaSlNZkLk7iDqcyZz22giiy40b_usZZBXYciEN1U/edit?usp=sharing"",""ชุม"&amp;"พร!I90"")+IMPORTRANGE(""https://docs.google.com/spreadsheets/d/16pAz3pOhQEZBhvFNMa5KGgZS6iKWpsKX0pg6tQmwFpo/edit?usp=sharing"",""ตรัง!I90"")+IMPORTRANGE(""https://docs.google.com/spreadsheets/d/1Dj4jcHCTV9JXKCaMoheSXS52JE63kDKyG7bPXnFogHk/edit?usp=sharing"&amp;""",""นครศรีธรรมราช!I90"")+IMPORTRANGE(""https://docs.google.com/spreadsheets/d/1iodCdmuK2GR3jzUwk8tpccY2JHQQA-87DLOtJP-ooyU/edit?usp=sharing"",""นราธิวาส!I90"")+IMPORTRANGE(""https://docs.google.com/spreadsheets/d/1SDNX3JhDdYRuIOsj0Wh2M-Qa_eaXl0NbWmhAOTbf"&amp;"QAs/edit?usp=sharing"",""ปัตตานี!I90"")+IMPORTRANGE(""https://docs.google.com/spreadsheets/d/16JDLGguT8s5DsGCND1KcwHP_AWR_zDMTqLHPLJUKhaU/edit?usp=sharing"",""พังงา!I90"")+IMPORTRANGE(""https://docs.google.com/spreadsheets/d/17ht0gPKzzT3PObBL1XJkeRmntBXI7"&amp;"wGjpLV7QorqlTk/edit?usp=sharing"",""พัทลุง!I90"")+IMPORTRANGE(""https://docs.google.com/spreadsheets/d/1rd4qoM1q_hsgaolqNGfrim9gbsoLxQsda4-vOz5x_BM/edit?usp=sharing"",""ภูเก็ต!I90"")+IMPORTRANGE(""https://docs.google.com/spreadsheets/d/1woKwKjgoLssDvPcPeV"&amp;"yezB5izizAn4X1JDrys69n6xI/edit?usp=sharing"",""ยะลา!I90"")+IMPORTRANGE(""https://docs.google.com/spreadsheets/d/1qfrKjzMhm2HJfxQ-qVlJlJQ25Hne1d0khsySbZyGtPA/edit?usp=sharing"",""ระนอง!I90"")+IMPORTRANGE(""https://docs.google.com/spreadsheets/d/1IbSCnFOKpZ"&amp;"snFogBHJnL_isstZVaOMnFiIN0fGTPZZw/edit?usp=sharing"",""สงขลา!I90"")+IMPORTRANGE(""https://docs.google.com/spreadsheets/d/1q9nWasZJ-K8bFGvbE9n0qSRuKGA4Toe3Y89cKCiVtCU/edit?usp=sharing"",""สตูล!I90"")+IMPORTRANGE(""https://docs.google.com/spreadsheets/d/18T"&amp;"20gbkS_WBjdscyTOV05cvq_JqvqQ17C81mpxf7Ncs/edit?usp=sharing"",""สุราษฎร์ธานี!I90"")"),4)</f>
        <v>4</v>
      </c>
      <c r="J90" s="152">
        <f ca="1">IFERROR(__xludf.DUMMYFUNCTION("IMPORTRANGE(""https://docs.google.com/spreadsheets/d/1kKUcYdkIfrgTSj8iHHHB2MD2FAtwyyocFgqGQn6ADyI/edit?usp=sharing"",""กระบี่!J90"")+IMPORTRANGE(""https://docs.google.com/spreadsheets/d/1GwtLaSlNZkLk7iDqcyZz22giiy40b_usZZBXYciEN1U/edit?usp=sharing"",""ชุม"&amp;"พร!J90"")+IMPORTRANGE(""https://docs.google.com/spreadsheets/d/16pAz3pOhQEZBhvFNMa5KGgZS6iKWpsKX0pg6tQmwFpo/edit?usp=sharing"",""ตรัง!J90"")+IMPORTRANGE(""https://docs.google.com/spreadsheets/d/1Dj4jcHCTV9JXKCaMoheSXS52JE63kDKyG7bPXnFogHk/edit?usp=sharing"&amp;""",""นครศรีธรรมราช!J90"")+IMPORTRANGE(""https://docs.google.com/spreadsheets/d/1iodCdmuK2GR3jzUwk8tpccY2JHQQA-87DLOtJP-ooyU/edit?usp=sharing"",""นราธิวาส!J90"")+IMPORTRANGE(""https://docs.google.com/spreadsheets/d/1SDNX3JhDdYRuIOsj0Wh2M-Qa_eaXl0NbWmhAOTbf"&amp;"QAs/edit?usp=sharing"",""ปัตตานี!J90"")+IMPORTRANGE(""https://docs.google.com/spreadsheets/d/16JDLGguT8s5DsGCND1KcwHP_AWR_zDMTqLHPLJUKhaU/edit?usp=sharing"",""พังงา!J90"")+IMPORTRANGE(""https://docs.google.com/spreadsheets/d/17ht0gPKzzT3PObBL1XJkeRmntBXI7"&amp;"wGjpLV7QorqlTk/edit?usp=sharing"",""พัทลุง!J90"")+IMPORTRANGE(""https://docs.google.com/spreadsheets/d/1rd4qoM1q_hsgaolqNGfrim9gbsoLxQsda4-vOz5x_BM/edit?usp=sharing"",""ภูเก็ต!J90"")+IMPORTRANGE(""https://docs.google.com/spreadsheets/d/1woKwKjgoLssDvPcPeV"&amp;"yezB5izizAn4X1JDrys69n6xI/edit?usp=sharing"",""ยะลา!J90"")+IMPORTRANGE(""https://docs.google.com/spreadsheets/d/1qfrKjzMhm2HJfxQ-qVlJlJQ25Hne1d0khsySbZyGtPA/edit?usp=sharing"",""ระนอง!J90"")+IMPORTRANGE(""https://docs.google.com/spreadsheets/d/1IbSCnFOKpZ"&amp;"snFogBHJnL_isstZVaOMnFiIN0fGTPZZw/edit?usp=sharing"",""สงขลา!J90"")+IMPORTRANGE(""https://docs.google.com/spreadsheets/d/1q9nWasZJ-K8bFGvbE9n0qSRuKGA4Toe3Y89cKCiVtCU/edit?usp=sharing"",""สตูล!J90"")+IMPORTRANGE(""https://docs.google.com/spreadsheets/d/18T"&amp;"20gbkS_WBjdscyTOV05cvq_JqvqQ17C81mpxf7Ncs/edit?usp=sharing"",""สุราษฎร์ธานี!J90"")"),0)</f>
        <v>0</v>
      </c>
      <c r="K90" s="153">
        <f t="shared" ca="1" si="68"/>
        <v>0</v>
      </c>
      <c r="L90" s="136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55"/>
      <c r="I91" s="122"/>
      <c r="J91" s="122"/>
      <c r="K91" s="123"/>
      <c r="L91" s="123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56" t="s">
        <v>46</v>
      </c>
      <c r="I92" s="127">
        <f t="shared" ref="I92:J92" ca="1" si="70">I108</f>
        <v>297</v>
      </c>
      <c r="J92" s="127">
        <f t="shared" ca="1" si="70"/>
        <v>237</v>
      </c>
      <c r="K92" s="35">
        <f t="shared" ref="K92:K93" ca="1" si="71">IF(I92&gt;0,J92*100/I92,0)</f>
        <v>79.797979797979792</v>
      </c>
      <c r="L92" s="34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56" t="s">
        <v>35</v>
      </c>
      <c r="I93" s="127">
        <f t="shared" ref="I93:J93" ca="1" si="72">I109</f>
        <v>99</v>
      </c>
      <c r="J93" s="127">
        <f t="shared" ca="1" si="72"/>
        <v>79</v>
      </c>
      <c r="K93" s="35">
        <f t="shared" ca="1" si="71"/>
        <v>79.797979797979792</v>
      </c>
      <c r="L93" s="34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129" t="s">
        <v>18</v>
      </c>
      <c r="D94" s="130" t="s">
        <v>19</v>
      </c>
      <c r="E94" s="41"/>
      <c r="F94" s="41"/>
      <c r="G94" s="43"/>
      <c r="H94" s="131" t="s">
        <v>14</v>
      </c>
      <c r="I94" s="45"/>
      <c r="J94" s="45"/>
      <c r="K94" s="46"/>
      <c r="L94" s="132">
        <f t="shared" ref="L94:N94" ca="1" si="73">L95+L96</f>
        <v>0</v>
      </c>
      <c r="M94" s="132">
        <f t="shared" ca="1" si="73"/>
        <v>59400</v>
      </c>
      <c r="N94" s="132">
        <f t="shared" ca="1" si="73"/>
        <v>23400</v>
      </c>
      <c r="O94" s="132">
        <f t="shared" ref="O94:O102" ca="1" si="74">IF(L94&gt;0,N94*100/L94,0)</f>
        <v>0</v>
      </c>
      <c r="P94" s="132">
        <f t="shared" ref="P94:P102" ca="1" si="75">IF(M94&gt;0,N94*100/M94,0)</f>
        <v>39.393939393939391</v>
      </c>
      <c r="Q94" s="132">
        <f t="shared" ref="Q94:S94" ca="1" si="76">Q95+Q96</f>
        <v>835758</v>
      </c>
      <c r="R94" s="132">
        <f t="shared" ca="1" si="76"/>
        <v>835758</v>
      </c>
      <c r="S94" s="132">
        <f t="shared" ca="1" si="76"/>
        <v>282900</v>
      </c>
      <c r="T94" s="132">
        <f t="shared" ref="T94:T102" ca="1" si="77">IF(Q94&gt;0,S94*100/Q94,0)</f>
        <v>33.849511461451762</v>
      </c>
      <c r="U94" s="132">
        <f t="shared" ref="U94:U102" ca="1" si="78">IF(R94&gt;0,S94*100/R94,0)</f>
        <v>33.849511461451762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49">
        <f t="shared" ref="L95:N95" ca="1" si="79">L98+L101</f>
        <v>0</v>
      </c>
      <c r="M95" s="49">
        <f t="shared" ca="1" si="79"/>
        <v>0</v>
      </c>
      <c r="N95" s="49">
        <f t="shared" ca="1" si="79"/>
        <v>0</v>
      </c>
      <c r="O95" s="49">
        <f t="shared" ca="1" si="74"/>
        <v>0</v>
      </c>
      <c r="P95" s="49">
        <f t="shared" ca="1" si="75"/>
        <v>0</v>
      </c>
      <c r="Q95" s="49">
        <f t="shared" ref="Q95:S95" ca="1" si="80">Q98+Q101</f>
        <v>0</v>
      </c>
      <c r="R95" s="49">
        <f t="shared" ca="1" si="80"/>
        <v>0</v>
      </c>
      <c r="S95" s="49">
        <f t="shared" ca="1" si="80"/>
        <v>0</v>
      </c>
      <c r="T95" s="49">
        <f t="shared" ca="1" si="77"/>
        <v>0</v>
      </c>
      <c r="U95" s="49">
        <f t="shared" ca="1" si="78"/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47">
        <f t="shared" ref="L96:N96" ca="1" si="81">L99+L102</f>
        <v>0</v>
      </c>
      <c r="M96" s="47">
        <f t="shared" ca="1" si="81"/>
        <v>59400</v>
      </c>
      <c r="N96" s="47">
        <f t="shared" ca="1" si="81"/>
        <v>23400</v>
      </c>
      <c r="O96" s="47">
        <f t="shared" ca="1" si="74"/>
        <v>0</v>
      </c>
      <c r="P96" s="47">
        <f t="shared" ca="1" si="75"/>
        <v>39.393939393939391</v>
      </c>
      <c r="Q96" s="47">
        <f t="shared" ref="Q96:S96" ca="1" si="82">Q99+Q102</f>
        <v>835758</v>
      </c>
      <c r="R96" s="47">
        <f t="shared" ca="1" si="82"/>
        <v>835758</v>
      </c>
      <c r="S96" s="47">
        <f t="shared" ca="1" si="82"/>
        <v>282900</v>
      </c>
      <c r="T96" s="47">
        <f t="shared" ca="1" si="77"/>
        <v>33.849511461451762</v>
      </c>
      <c r="U96" s="47">
        <f t="shared" ca="1" si="78"/>
        <v>33.849511461451762</v>
      </c>
    </row>
    <row r="97" spans="1:21" ht="18.75" x14ac:dyDescent="0.25">
      <c r="A97" s="128"/>
      <c r="B97" s="159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47">
        <f t="shared" ref="L97:N97" ca="1" si="83">L98+L99</f>
        <v>0</v>
      </c>
      <c r="M97" s="47">
        <f t="shared" ca="1" si="83"/>
        <v>59400</v>
      </c>
      <c r="N97" s="47">
        <f t="shared" ca="1" si="83"/>
        <v>23400</v>
      </c>
      <c r="O97" s="47">
        <f t="shared" ca="1" si="74"/>
        <v>0</v>
      </c>
      <c r="P97" s="47">
        <f t="shared" ca="1" si="75"/>
        <v>39.393939393939391</v>
      </c>
      <c r="Q97" s="47">
        <f t="shared" ref="Q97:S97" ca="1" si="84">Q98+Q99</f>
        <v>835758</v>
      </c>
      <c r="R97" s="47">
        <f t="shared" ca="1" si="84"/>
        <v>835758</v>
      </c>
      <c r="S97" s="47">
        <f t="shared" ca="1" si="84"/>
        <v>282900</v>
      </c>
      <c r="T97" s="47">
        <f t="shared" ca="1" si="77"/>
        <v>33.849511461451762</v>
      </c>
      <c r="U97" s="47">
        <f t="shared" ca="1" si="78"/>
        <v>33.849511461451762</v>
      </c>
    </row>
    <row r="98" spans="1:21" ht="18.75" hidden="1" x14ac:dyDescent="0.25">
      <c r="A98" s="128"/>
      <c r="B98" s="159"/>
      <c r="C98" s="159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49">
        <f ca="1">IFERROR(__xludf.DUMMYFUNCTION("IMPORTRANGE(""https://docs.google.com/spreadsheets/d/1kKUcYdkIfrgTSj8iHHHB2MD2FAtwyyocFgqGQn6ADyI/edit?usp=sharing"",""กระบี่!L98"")+IMPORTRANGE(""https://docs.google.com/spreadsheets/d/1GwtLaSlNZkLk7iDqcyZz22giiy40b_usZZBXYciEN1U/edit?usp=sharing"",""ชุม"&amp;"พร!L98"")+IMPORTRANGE(""https://docs.google.com/spreadsheets/d/16pAz3pOhQEZBhvFNMa5KGgZS6iKWpsKX0pg6tQmwFpo/edit?usp=sharing"",""ตรัง!L98"")+IMPORTRANGE(""https://docs.google.com/spreadsheets/d/1Dj4jcHCTV9JXKCaMoheSXS52JE63kDKyG7bPXnFogHk/edit?usp=sharing"&amp;""",""นครศรีธรรมราช!L98"")+IMPORTRANGE(""https://docs.google.com/spreadsheets/d/1iodCdmuK2GR3jzUwk8tpccY2JHQQA-87DLOtJP-ooyU/edit?usp=sharing"",""นราธิวาส!L98"")+IMPORTRANGE(""https://docs.google.com/spreadsheets/d/1SDNX3JhDdYRuIOsj0Wh2M-Qa_eaXl0NbWmhAOTbf"&amp;"QAs/edit?usp=sharing"",""ปัตตานี!L98"")+IMPORTRANGE(""https://docs.google.com/spreadsheets/d/16JDLGguT8s5DsGCND1KcwHP_AWR_zDMTqLHPLJUKhaU/edit?usp=sharing"",""พังงา!L98"")+IMPORTRANGE(""https://docs.google.com/spreadsheets/d/17ht0gPKzzT3PObBL1XJkeRmntBXI7"&amp;"wGjpLV7QorqlTk/edit?usp=sharing"",""พัทลุง!L98"")+IMPORTRANGE(""https://docs.google.com/spreadsheets/d/1rd4qoM1q_hsgaolqNGfrim9gbsoLxQsda4-vOz5x_BM/edit?usp=sharing"",""ภูเก็ต!L98"")+IMPORTRANGE(""https://docs.google.com/spreadsheets/d/1woKwKjgoLssDvPcPeV"&amp;"yezB5izizAn4X1JDrys69n6xI/edit?usp=sharing"",""ยะลา!L98"")+IMPORTRANGE(""https://docs.google.com/spreadsheets/d/1qfrKjzMhm2HJfxQ-qVlJlJQ25Hne1d0khsySbZyGtPA/edit?usp=sharing"",""ระนอง!L98"")+IMPORTRANGE(""https://docs.google.com/spreadsheets/d/1IbSCnFOKpZ"&amp;"snFogBHJnL_isstZVaOMnFiIN0fGTPZZw/edit?usp=sharing"",""สงขลา!L98"")+IMPORTRANGE(""https://docs.google.com/spreadsheets/d/1q9nWasZJ-K8bFGvbE9n0qSRuKGA4Toe3Y89cKCiVtCU/edit?usp=sharing"",""สตูล!L98"")+IMPORTRANGE(""https://docs.google.com/spreadsheets/d/18T"&amp;"20gbkS_WBjdscyTOV05cvq_JqvqQ17C81mpxf7Ncs/edit?usp=sharing"",""สุราษฎร์ธานี!L98"")"),0)</f>
        <v>0</v>
      </c>
      <c r="M98" s="49">
        <f ca="1">IFERROR(__xludf.DUMMYFUNCTION("IMPORTRANGE(""https://docs.google.com/spreadsheets/d/1kKUcYdkIfrgTSj8iHHHB2MD2FAtwyyocFgqGQn6ADyI/edit?usp=sharing"",""กระบี่!M98"")+IMPORTRANGE(""https://docs.google.com/spreadsheets/d/1GwtLaSlNZkLk7iDqcyZz22giiy40b_usZZBXYciEN1U/edit?usp=sharing"",""ชุม"&amp;"พร!M98"")+IMPORTRANGE(""https://docs.google.com/spreadsheets/d/16pAz3pOhQEZBhvFNMa5KGgZS6iKWpsKX0pg6tQmwFpo/edit?usp=sharing"",""ตรัง!M98"")+IMPORTRANGE(""https://docs.google.com/spreadsheets/d/1Dj4jcHCTV9JXKCaMoheSXS52JE63kDKyG7bPXnFogHk/edit?usp=sharing"&amp;""",""นครศรีธรรมราช!M98"")+IMPORTRANGE(""https://docs.google.com/spreadsheets/d/1iodCdmuK2GR3jzUwk8tpccY2JHQQA-87DLOtJP-ooyU/edit?usp=sharing"",""นราธิวาส!M98"")+IMPORTRANGE(""https://docs.google.com/spreadsheets/d/1SDNX3JhDdYRuIOsj0Wh2M-Qa_eaXl0NbWmhAOTbf"&amp;"QAs/edit?usp=sharing"",""ปัตตานี!M98"")+IMPORTRANGE(""https://docs.google.com/spreadsheets/d/16JDLGguT8s5DsGCND1KcwHP_AWR_zDMTqLHPLJUKhaU/edit?usp=sharing"",""พังงา!M98"")+IMPORTRANGE(""https://docs.google.com/spreadsheets/d/17ht0gPKzzT3PObBL1XJkeRmntBXI7"&amp;"wGjpLV7QorqlTk/edit?usp=sharing"",""พัทลุง!M98"")+IMPORTRANGE(""https://docs.google.com/spreadsheets/d/1rd4qoM1q_hsgaolqNGfrim9gbsoLxQsda4-vOz5x_BM/edit?usp=sharing"",""ภูเก็ต!M98"")+IMPORTRANGE(""https://docs.google.com/spreadsheets/d/1woKwKjgoLssDvPcPeV"&amp;"yezB5izizAn4X1JDrys69n6xI/edit?usp=sharing"",""ยะลา!M98"")+IMPORTRANGE(""https://docs.google.com/spreadsheets/d/1qfrKjzMhm2HJfxQ-qVlJlJQ25Hne1d0khsySbZyGtPA/edit?usp=sharing"",""ระนอง!M98"")+IMPORTRANGE(""https://docs.google.com/spreadsheets/d/1IbSCnFOKpZ"&amp;"snFogBHJnL_isstZVaOMnFiIN0fGTPZZw/edit?usp=sharing"",""สงขลา!M98"")+IMPORTRANGE(""https://docs.google.com/spreadsheets/d/1q9nWasZJ-K8bFGvbE9n0qSRuKGA4Toe3Y89cKCiVtCU/edit?usp=sharing"",""สตูล!M98"")+IMPORTRANGE(""https://docs.google.com/spreadsheets/d/18T"&amp;"20gbkS_WBjdscyTOV05cvq_JqvqQ17C81mpxf7Ncs/edit?usp=sharing"",""สุราษฎร์ธานี!M98"")"),0)</f>
        <v>0</v>
      </c>
      <c r="N98" s="49">
        <f ca="1">IFERROR(__xludf.DUMMYFUNCTION("IMPORTRANGE(""https://docs.google.com/spreadsheets/d/1kKUcYdkIfrgTSj8iHHHB2MD2FAtwyyocFgqGQn6ADyI/edit?usp=sharing"",""กระบี่!N98"")+IMPORTRANGE(""https://docs.google.com/spreadsheets/d/1GwtLaSlNZkLk7iDqcyZz22giiy40b_usZZBXYciEN1U/edit?usp=sharing"",""ชุม"&amp;"พร!N98"")+IMPORTRANGE(""https://docs.google.com/spreadsheets/d/16pAz3pOhQEZBhvFNMa5KGgZS6iKWpsKX0pg6tQmwFpo/edit?usp=sharing"",""ตรัง!N98"")+IMPORTRANGE(""https://docs.google.com/spreadsheets/d/1Dj4jcHCTV9JXKCaMoheSXS52JE63kDKyG7bPXnFogHk/edit?usp=sharing"&amp;""",""นครศรีธรรมราช!N98"")+IMPORTRANGE(""https://docs.google.com/spreadsheets/d/1iodCdmuK2GR3jzUwk8tpccY2JHQQA-87DLOtJP-ooyU/edit?usp=sharing"",""นราธิวาส!N98"")+IMPORTRANGE(""https://docs.google.com/spreadsheets/d/1SDNX3JhDdYRuIOsj0Wh2M-Qa_eaXl0NbWmhAOTbf"&amp;"QAs/edit?usp=sharing"",""ปัตตานี!N98"")+IMPORTRANGE(""https://docs.google.com/spreadsheets/d/16JDLGguT8s5DsGCND1KcwHP_AWR_zDMTqLHPLJUKhaU/edit?usp=sharing"",""พังงา!N98"")+IMPORTRANGE(""https://docs.google.com/spreadsheets/d/17ht0gPKzzT3PObBL1XJkeRmntBXI7"&amp;"wGjpLV7QorqlTk/edit?usp=sharing"",""พัทลุง!N98"")+IMPORTRANGE(""https://docs.google.com/spreadsheets/d/1rd4qoM1q_hsgaolqNGfrim9gbsoLxQsda4-vOz5x_BM/edit?usp=sharing"",""ภูเก็ต!N98"")+IMPORTRANGE(""https://docs.google.com/spreadsheets/d/1woKwKjgoLssDvPcPeV"&amp;"yezB5izizAn4X1JDrys69n6xI/edit?usp=sharing"",""ยะลา!N98"")+IMPORTRANGE(""https://docs.google.com/spreadsheets/d/1qfrKjzMhm2HJfxQ-qVlJlJQ25Hne1d0khsySbZyGtPA/edit?usp=sharing"",""ระนอง!N98"")+IMPORTRANGE(""https://docs.google.com/spreadsheets/d/1IbSCnFOKpZ"&amp;"snFogBHJnL_isstZVaOMnFiIN0fGTPZZw/edit?usp=sharing"",""สงขลา!N98"")+IMPORTRANGE(""https://docs.google.com/spreadsheets/d/1q9nWasZJ-K8bFGvbE9n0qSRuKGA4Toe3Y89cKCiVtCU/edit?usp=sharing"",""สตูล!N98"")+IMPORTRANGE(""https://docs.google.com/spreadsheets/d/18T"&amp;"20gbkS_WBjdscyTOV05cvq_JqvqQ17C81mpxf7Ncs/edit?usp=sharing"",""สุราษฎร์ธานี!N98"")"),0)</f>
        <v>0</v>
      </c>
      <c r="O98" s="49">
        <f t="shared" ca="1" si="74"/>
        <v>0</v>
      </c>
      <c r="P98" s="49">
        <f t="shared" ca="1" si="75"/>
        <v>0</v>
      </c>
      <c r="Q98" s="49">
        <f ca="1">IFERROR(__xludf.DUMMYFUNCTION("IMPORTRANGE(""https://docs.google.com/spreadsheets/d/1kKUcYdkIfrgTSj8iHHHB2MD2FAtwyyocFgqGQn6ADyI/edit?usp=sharing"",""กระบี่!Q98"")+IMPORTRANGE(""https://docs.google.com/spreadsheets/d/1GwtLaSlNZkLk7iDqcyZz22giiy40b_usZZBXYciEN1U/edit?usp=sharing"",""ชุม"&amp;"พร!Q98"")+IMPORTRANGE(""https://docs.google.com/spreadsheets/d/16pAz3pOhQEZBhvFNMa5KGgZS6iKWpsKX0pg6tQmwFpo/edit?usp=sharing"",""ตรัง!Q98"")+IMPORTRANGE(""https://docs.google.com/spreadsheets/d/1Dj4jcHCTV9JXKCaMoheSXS52JE63kDKyG7bPXnFogHk/edit?usp=sharing"&amp;""",""นครศรีธรรมราช!Q98"")+IMPORTRANGE(""https://docs.google.com/spreadsheets/d/1iodCdmuK2GR3jzUwk8tpccY2JHQQA-87DLOtJP-ooyU/edit?usp=sharing"",""นราธิวาส!Q98"")+IMPORTRANGE(""https://docs.google.com/spreadsheets/d/1SDNX3JhDdYRuIOsj0Wh2M-Qa_eaXl0NbWmhAOTbf"&amp;"QAs/edit?usp=sharing"",""ปัตตานี!Q98"")+IMPORTRANGE(""https://docs.google.com/spreadsheets/d/16JDLGguT8s5DsGCND1KcwHP_AWR_zDMTqLHPLJUKhaU/edit?usp=sharing"",""พังงา!Q98"")+IMPORTRANGE(""https://docs.google.com/spreadsheets/d/17ht0gPKzzT3PObBL1XJkeRmntBXI7"&amp;"wGjpLV7QorqlTk/edit?usp=sharing"",""พัทลุง!Q98"")+IMPORTRANGE(""https://docs.google.com/spreadsheets/d/1rd4qoM1q_hsgaolqNGfrim9gbsoLxQsda4-vOz5x_BM/edit?usp=sharing"",""ภูเก็ต!Q98"")+IMPORTRANGE(""https://docs.google.com/spreadsheets/d/1woKwKjgoLssDvPcPeV"&amp;"yezB5izizAn4X1JDrys69n6xI/edit?usp=sharing"",""ยะลา!Q98"")+IMPORTRANGE(""https://docs.google.com/spreadsheets/d/1qfrKjzMhm2HJfxQ-qVlJlJQ25Hne1d0khsySbZyGtPA/edit?usp=sharing"",""ระนอง!Q98"")+IMPORTRANGE(""https://docs.google.com/spreadsheets/d/1IbSCnFOKpZ"&amp;"snFogBHJnL_isstZVaOMnFiIN0fGTPZZw/edit?usp=sharing"",""สงขลา!Q98"")+IMPORTRANGE(""https://docs.google.com/spreadsheets/d/1q9nWasZJ-K8bFGvbE9n0qSRuKGA4Toe3Y89cKCiVtCU/edit?usp=sharing"",""สตูล!Q98"")+IMPORTRANGE(""https://docs.google.com/spreadsheets/d/18T"&amp;"20gbkS_WBjdscyTOV05cvq_JqvqQ17C81mpxf7Ncs/edit?usp=sharing"",""สุราษฎร์ธานี!Q98"")"),0)</f>
        <v>0</v>
      </c>
      <c r="R98" s="49">
        <f ca="1">IFERROR(__xludf.DUMMYFUNCTION("IMPORTRANGE(""https://docs.google.com/spreadsheets/d/1kKUcYdkIfrgTSj8iHHHB2MD2FAtwyyocFgqGQn6ADyI/edit?usp=sharing"",""กระบี่!R98"")+IMPORTRANGE(""https://docs.google.com/spreadsheets/d/1GwtLaSlNZkLk7iDqcyZz22giiy40b_usZZBXYciEN1U/edit?usp=sharing"",""ชุม"&amp;"พร!R98"")+IMPORTRANGE(""https://docs.google.com/spreadsheets/d/16pAz3pOhQEZBhvFNMa5KGgZS6iKWpsKX0pg6tQmwFpo/edit?usp=sharing"",""ตรัง!R98"")+IMPORTRANGE(""https://docs.google.com/spreadsheets/d/1Dj4jcHCTV9JXKCaMoheSXS52JE63kDKyG7bPXnFogHk/edit?usp=sharing"&amp;""",""นครศรีธรรมราช!R98"")+IMPORTRANGE(""https://docs.google.com/spreadsheets/d/1iodCdmuK2GR3jzUwk8tpccY2JHQQA-87DLOtJP-ooyU/edit?usp=sharing"",""นราธิวาส!R98"")+IMPORTRANGE(""https://docs.google.com/spreadsheets/d/1SDNX3JhDdYRuIOsj0Wh2M-Qa_eaXl0NbWmhAOTbf"&amp;"QAs/edit?usp=sharing"",""ปัตตานี!R98"")+IMPORTRANGE(""https://docs.google.com/spreadsheets/d/16JDLGguT8s5DsGCND1KcwHP_AWR_zDMTqLHPLJUKhaU/edit?usp=sharing"",""พังงา!R98"")+IMPORTRANGE(""https://docs.google.com/spreadsheets/d/17ht0gPKzzT3PObBL1XJkeRmntBXI7"&amp;"wGjpLV7QorqlTk/edit?usp=sharing"",""พัทลุง!R98"")+IMPORTRANGE(""https://docs.google.com/spreadsheets/d/1rd4qoM1q_hsgaolqNGfrim9gbsoLxQsda4-vOz5x_BM/edit?usp=sharing"",""ภูเก็ต!R98"")+IMPORTRANGE(""https://docs.google.com/spreadsheets/d/1woKwKjgoLssDvPcPeV"&amp;"yezB5izizAn4X1JDrys69n6xI/edit?usp=sharing"",""ยะลา!R98"")+IMPORTRANGE(""https://docs.google.com/spreadsheets/d/1qfrKjzMhm2HJfxQ-qVlJlJQ25Hne1d0khsySbZyGtPA/edit?usp=sharing"",""ระนอง!R98"")+IMPORTRANGE(""https://docs.google.com/spreadsheets/d/1IbSCnFOKpZ"&amp;"snFogBHJnL_isstZVaOMnFiIN0fGTPZZw/edit?usp=sharing"",""สงขลา!R98"")+IMPORTRANGE(""https://docs.google.com/spreadsheets/d/1q9nWasZJ-K8bFGvbE9n0qSRuKGA4Toe3Y89cKCiVtCU/edit?usp=sharing"",""สตูล!R98"")+IMPORTRANGE(""https://docs.google.com/spreadsheets/d/18T"&amp;"20gbkS_WBjdscyTOV05cvq_JqvqQ17C81mpxf7Ncs/edit?usp=sharing"",""สุราษฎร์ธานี!R98"")"),0)</f>
        <v>0</v>
      </c>
      <c r="S98" s="49">
        <f ca="1">IFERROR(__xludf.DUMMYFUNCTION("IMPORTRANGE(""https://docs.google.com/spreadsheets/d/1kKUcYdkIfrgTSj8iHHHB2MD2FAtwyyocFgqGQn6ADyI/edit?usp=sharing"",""กระบี่!S98"")+IMPORTRANGE(""https://docs.google.com/spreadsheets/d/1GwtLaSlNZkLk7iDqcyZz22giiy40b_usZZBXYciEN1U/edit?usp=sharing"",""ชุม"&amp;"พร!S98"")+IMPORTRANGE(""https://docs.google.com/spreadsheets/d/16pAz3pOhQEZBhvFNMa5KGgZS6iKWpsKX0pg6tQmwFpo/edit?usp=sharing"",""ตรัง!S98"")+IMPORTRANGE(""https://docs.google.com/spreadsheets/d/1Dj4jcHCTV9JXKCaMoheSXS52JE63kDKyG7bPXnFogHk/edit?usp=sharing"&amp;""",""นครศรีธรรมราช!S98"")+IMPORTRANGE(""https://docs.google.com/spreadsheets/d/1iodCdmuK2GR3jzUwk8tpccY2JHQQA-87DLOtJP-ooyU/edit?usp=sharing"",""นราธิวาส!S98"")+IMPORTRANGE(""https://docs.google.com/spreadsheets/d/1SDNX3JhDdYRuIOsj0Wh2M-Qa_eaXl0NbWmhAOTbf"&amp;"QAs/edit?usp=sharing"",""ปัตตานี!S98"")+IMPORTRANGE(""https://docs.google.com/spreadsheets/d/16JDLGguT8s5DsGCND1KcwHP_AWR_zDMTqLHPLJUKhaU/edit?usp=sharing"",""พังงา!S98"")+IMPORTRANGE(""https://docs.google.com/spreadsheets/d/17ht0gPKzzT3PObBL1XJkeRmntBXI7"&amp;"wGjpLV7QorqlTk/edit?usp=sharing"",""พัทลุง!S98"")+IMPORTRANGE(""https://docs.google.com/spreadsheets/d/1rd4qoM1q_hsgaolqNGfrim9gbsoLxQsda4-vOz5x_BM/edit?usp=sharing"",""ภูเก็ต!S98"")+IMPORTRANGE(""https://docs.google.com/spreadsheets/d/1woKwKjgoLssDvPcPeV"&amp;"yezB5izizAn4X1JDrys69n6xI/edit?usp=sharing"",""ยะลา!S98"")+IMPORTRANGE(""https://docs.google.com/spreadsheets/d/1qfrKjzMhm2HJfxQ-qVlJlJQ25Hne1d0khsySbZyGtPA/edit?usp=sharing"",""ระนอง!S98"")+IMPORTRANGE(""https://docs.google.com/spreadsheets/d/1IbSCnFOKpZ"&amp;"snFogBHJnL_isstZVaOMnFiIN0fGTPZZw/edit?usp=sharing"",""สงขลา!S98"")+IMPORTRANGE(""https://docs.google.com/spreadsheets/d/1q9nWasZJ-K8bFGvbE9n0qSRuKGA4Toe3Y89cKCiVtCU/edit?usp=sharing"",""สตูล!S98"")+IMPORTRANGE(""https://docs.google.com/spreadsheets/d/18T"&amp;"20gbkS_WBjdscyTOV05cvq_JqvqQ17C81mpxf7Ncs/edit?usp=sharing"",""สุราษฎร์ธานี!S98"")"),0)</f>
        <v>0</v>
      </c>
      <c r="T98" s="49">
        <f t="shared" ca="1" si="77"/>
        <v>0</v>
      </c>
      <c r="U98" s="49">
        <f t="shared" ca="1" si="78"/>
        <v>0</v>
      </c>
    </row>
    <row r="99" spans="1:21" ht="18.75" hidden="1" x14ac:dyDescent="0.25">
      <c r="A99" s="128"/>
      <c r="B99" s="159"/>
      <c r="C99" s="159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47">
        <f ca="1">IFERROR(__xludf.DUMMYFUNCTION("IMPORTRANGE(""https://docs.google.com/spreadsheets/d/1kKUcYdkIfrgTSj8iHHHB2MD2FAtwyyocFgqGQn6ADyI/edit?usp=sharing"",""กระบี่!L99"")+IMPORTRANGE(""https://docs.google.com/spreadsheets/d/1GwtLaSlNZkLk7iDqcyZz22giiy40b_usZZBXYciEN1U/edit?usp=sharing"",""ชุม"&amp;"พร!L99"")+IMPORTRANGE(""https://docs.google.com/spreadsheets/d/16pAz3pOhQEZBhvFNMa5KGgZS6iKWpsKX0pg6tQmwFpo/edit?usp=sharing"",""ตรัง!L99"")+IMPORTRANGE(""https://docs.google.com/spreadsheets/d/1Dj4jcHCTV9JXKCaMoheSXS52JE63kDKyG7bPXnFogHk/edit?usp=sharing"&amp;""",""นครศรีธรรมราช!L99"")+IMPORTRANGE(""https://docs.google.com/spreadsheets/d/1iodCdmuK2GR3jzUwk8tpccY2JHQQA-87DLOtJP-ooyU/edit?usp=sharing"",""นราธิวาส!L99"")+IMPORTRANGE(""https://docs.google.com/spreadsheets/d/1SDNX3JhDdYRuIOsj0Wh2M-Qa_eaXl0NbWmhAOTbf"&amp;"QAs/edit?usp=sharing"",""ปัตตานี!L99"")+IMPORTRANGE(""https://docs.google.com/spreadsheets/d/16JDLGguT8s5DsGCND1KcwHP_AWR_zDMTqLHPLJUKhaU/edit?usp=sharing"",""พังงา!L99"")+IMPORTRANGE(""https://docs.google.com/spreadsheets/d/17ht0gPKzzT3PObBL1XJkeRmntBXI7"&amp;"wGjpLV7QorqlTk/edit?usp=sharing"",""พัทลุง!L99"")+IMPORTRANGE(""https://docs.google.com/spreadsheets/d/1rd4qoM1q_hsgaolqNGfrim9gbsoLxQsda4-vOz5x_BM/edit?usp=sharing"",""ภูเก็ต!L99"")+IMPORTRANGE(""https://docs.google.com/spreadsheets/d/1woKwKjgoLssDvPcPeV"&amp;"yezB5izizAn4X1JDrys69n6xI/edit?usp=sharing"",""ยะลา!L99"")+IMPORTRANGE(""https://docs.google.com/spreadsheets/d/1qfrKjzMhm2HJfxQ-qVlJlJQ25Hne1d0khsySbZyGtPA/edit?usp=sharing"",""ระนอง!L99"")+IMPORTRANGE(""https://docs.google.com/spreadsheets/d/1IbSCnFOKpZ"&amp;"snFogBHJnL_isstZVaOMnFiIN0fGTPZZw/edit?usp=sharing"",""สงขลา!L99"")+IMPORTRANGE(""https://docs.google.com/spreadsheets/d/1q9nWasZJ-K8bFGvbE9n0qSRuKGA4Toe3Y89cKCiVtCU/edit?usp=sharing"",""สตูล!L99"")+IMPORTRANGE(""https://docs.google.com/spreadsheets/d/18T"&amp;"20gbkS_WBjdscyTOV05cvq_JqvqQ17C81mpxf7Ncs/edit?usp=sharing"",""สุราษฎร์ธานี!L99"")"),0)</f>
        <v>0</v>
      </c>
      <c r="M99" s="47">
        <f ca="1">IFERROR(__xludf.DUMMYFUNCTION("IMPORTRANGE(""https://docs.google.com/spreadsheets/d/1kKUcYdkIfrgTSj8iHHHB2MD2FAtwyyocFgqGQn6ADyI/edit?usp=sharing"",""กระบี่!M99"")+IMPORTRANGE(""https://docs.google.com/spreadsheets/d/1GwtLaSlNZkLk7iDqcyZz22giiy40b_usZZBXYciEN1U/edit?usp=sharing"",""ชุม"&amp;"พร!M99"")+IMPORTRANGE(""https://docs.google.com/spreadsheets/d/16pAz3pOhQEZBhvFNMa5KGgZS6iKWpsKX0pg6tQmwFpo/edit?usp=sharing"",""ตรัง!M99"")+IMPORTRANGE(""https://docs.google.com/spreadsheets/d/1Dj4jcHCTV9JXKCaMoheSXS52JE63kDKyG7bPXnFogHk/edit?usp=sharing"&amp;""",""นครศรีธรรมราช!M99"")+IMPORTRANGE(""https://docs.google.com/spreadsheets/d/1iodCdmuK2GR3jzUwk8tpccY2JHQQA-87DLOtJP-ooyU/edit?usp=sharing"",""นราธิวาส!M99"")+IMPORTRANGE(""https://docs.google.com/spreadsheets/d/1SDNX3JhDdYRuIOsj0Wh2M-Qa_eaXl0NbWmhAOTbf"&amp;"QAs/edit?usp=sharing"",""ปัตตานี!M99"")+IMPORTRANGE(""https://docs.google.com/spreadsheets/d/16JDLGguT8s5DsGCND1KcwHP_AWR_zDMTqLHPLJUKhaU/edit?usp=sharing"",""พังงา!M99"")+IMPORTRANGE(""https://docs.google.com/spreadsheets/d/17ht0gPKzzT3PObBL1XJkeRmntBXI7"&amp;"wGjpLV7QorqlTk/edit?usp=sharing"",""พัทลุง!M99"")+IMPORTRANGE(""https://docs.google.com/spreadsheets/d/1rd4qoM1q_hsgaolqNGfrim9gbsoLxQsda4-vOz5x_BM/edit?usp=sharing"",""ภูเก็ต!M99"")+IMPORTRANGE(""https://docs.google.com/spreadsheets/d/1woKwKjgoLssDvPcPeV"&amp;"yezB5izizAn4X1JDrys69n6xI/edit?usp=sharing"",""ยะลา!M99"")+IMPORTRANGE(""https://docs.google.com/spreadsheets/d/1qfrKjzMhm2HJfxQ-qVlJlJQ25Hne1d0khsySbZyGtPA/edit?usp=sharing"",""ระนอง!M99"")+IMPORTRANGE(""https://docs.google.com/spreadsheets/d/1IbSCnFOKpZ"&amp;"snFogBHJnL_isstZVaOMnFiIN0fGTPZZw/edit?usp=sharing"",""สงขลา!M99"")+IMPORTRANGE(""https://docs.google.com/spreadsheets/d/1q9nWasZJ-K8bFGvbE9n0qSRuKGA4Toe3Y89cKCiVtCU/edit?usp=sharing"",""สตูล!M99"")+IMPORTRANGE(""https://docs.google.com/spreadsheets/d/18T"&amp;"20gbkS_WBjdscyTOV05cvq_JqvqQ17C81mpxf7Ncs/edit?usp=sharing"",""สุราษฎร์ธานี!M99"")"),59400)</f>
        <v>59400</v>
      </c>
      <c r="N99" s="47">
        <f ca="1">IFERROR(__xludf.DUMMYFUNCTION("IMPORTRANGE(""https://docs.google.com/spreadsheets/d/1kKUcYdkIfrgTSj8iHHHB2MD2FAtwyyocFgqGQn6ADyI/edit?usp=sharing"",""กระบี่!N99"")+IMPORTRANGE(""https://docs.google.com/spreadsheets/d/1GwtLaSlNZkLk7iDqcyZz22giiy40b_usZZBXYciEN1U/edit?usp=sharing"",""ชุม"&amp;"พร!N99"")+IMPORTRANGE(""https://docs.google.com/spreadsheets/d/16pAz3pOhQEZBhvFNMa5KGgZS6iKWpsKX0pg6tQmwFpo/edit?usp=sharing"",""ตรัง!N99"")+IMPORTRANGE(""https://docs.google.com/spreadsheets/d/1Dj4jcHCTV9JXKCaMoheSXS52JE63kDKyG7bPXnFogHk/edit?usp=sharing"&amp;""",""นครศรีธรรมราช!N99"")+IMPORTRANGE(""https://docs.google.com/spreadsheets/d/1iodCdmuK2GR3jzUwk8tpccY2JHQQA-87DLOtJP-ooyU/edit?usp=sharing"",""นราธิวาส!N99"")+IMPORTRANGE(""https://docs.google.com/spreadsheets/d/1SDNX3JhDdYRuIOsj0Wh2M-Qa_eaXl0NbWmhAOTbf"&amp;"QAs/edit?usp=sharing"",""ปัตตานี!N99"")+IMPORTRANGE(""https://docs.google.com/spreadsheets/d/16JDLGguT8s5DsGCND1KcwHP_AWR_zDMTqLHPLJUKhaU/edit?usp=sharing"",""พังงา!N99"")+IMPORTRANGE(""https://docs.google.com/spreadsheets/d/17ht0gPKzzT3PObBL1XJkeRmntBXI7"&amp;"wGjpLV7QorqlTk/edit?usp=sharing"",""พัทลุง!N99"")+IMPORTRANGE(""https://docs.google.com/spreadsheets/d/1rd4qoM1q_hsgaolqNGfrim9gbsoLxQsda4-vOz5x_BM/edit?usp=sharing"",""ภูเก็ต!N99"")+IMPORTRANGE(""https://docs.google.com/spreadsheets/d/1woKwKjgoLssDvPcPeV"&amp;"yezB5izizAn4X1JDrys69n6xI/edit?usp=sharing"",""ยะลา!N99"")+IMPORTRANGE(""https://docs.google.com/spreadsheets/d/1qfrKjzMhm2HJfxQ-qVlJlJQ25Hne1d0khsySbZyGtPA/edit?usp=sharing"",""ระนอง!N99"")+IMPORTRANGE(""https://docs.google.com/spreadsheets/d/1IbSCnFOKpZ"&amp;"snFogBHJnL_isstZVaOMnFiIN0fGTPZZw/edit?usp=sharing"",""สงขลา!N99"")+IMPORTRANGE(""https://docs.google.com/spreadsheets/d/1q9nWasZJ-K8bFGvbE9n0qSRuKGA4Toe3Y89cKCiVtCU/edit?usp=sharing"",""สตูล!N99"")+IMPORTRANGE(""https://docs.google.com/spreadsheets/d/18T"&amp;"20gbkS_WBjdscyTOV05cvq_JqvqQ17C81mpxf7Ncs/edit?usp=sharing"",""สุราษฎร์ธานี!N99"")"),23400)</f>
        <v>23400</v>
      </c>
      <c r="O99" s="47">
        <f t="shared" ca="1" si="74"/>
        <v>0</v>
      </c>
      <c r="P99" s="47">
        <f t="shared" ca="1" si="75"/>
        <v>39.393939393939391</v>
      </c>
      <c r="Q99" s="47">
        <f ca="1">IFERROR(__xludf.DUMMYFUNCTION("IMPORTRANGE(""https://docs.google.com/spreadsheets/d/1kKUcYdkIfrgTSj8iHHHB2MD2FAtwyyocFgqGQn6ADyI/edit?usp=sharing"",""กระบี่!Q99"")+IMPORTRANGE(""https://docs.google.com/spreadsheets/d/1GwtLaSlNZkLk7iDqcyZz22giiy40b_usZZBXYciEN1U/edit?usp=sharing"",""ชุม"&amp;"พร!Q99"")+IMPORTRANGE(""https://docs.google.com/spreadsheets/d/16pAz3pOhQEZBhvFNMa5KGgZS6iKWpsKX0pg6tQmwFpo/edit?usp=sharing"",""ตรัง!Q99"")+IMPORTRANGE(""https://docs.google.com/spreadsheets/d/1Dj4jcHCTV9JXKCaMoheSXS52JE63kDKyG7bPXnFogHk/edit?usp=sharing"&amp;""",""นครศรีธรรมราช!Q99"")+IMPORTRANGE(""https://docs.google.com/spreadsheets/d/1iodCdmuK2GR3jzUwk8tpccY2JHQQA-87DLOtJP-ooyU/edit?usp=sharing"",""นราธิวาส!Q99"")+IMPORTRANGE(""https://docs.google.com/spreadsheets/d/1SDNX3JhDdYRuIOsj0Wh2M-Qa_eaXl0NbWmhAOTbf"&amp;"QAs/edit?usp=sharing"",""ปัตตานี!Q99"")+IMPORTRANGE(""https://docs.google.com/spreadsheets/d/16JDLGguT8s5DsGCND1KcwHP_AWR_zDMTqLHPLJUKhaU/edit?usp=sharing"",""พังงา!Q99"")+IMPORTRANGE(""https://docs.google.com/spreadsheets/d/17ht0gPKzzT3PObBL1XJkeRmntBXI7"&amp;"wGjpLV7QorqlTk/edit?usp=sharing"",""พัทลุง!Q99"")+IMPORTRANGE(""https://docs.google.com/spreadsheets/d/1rd4qoM1q_hsgaolqNGfrim9gbsoLxQsda4-vOz5x_BM/edit?usp=sharing"",""ภูเก็ต!Q99"")+IMPORTRANGE(""https://docs.google.com/spreadsheets/d/1woKwKjgoLssDvPcPeV"&amp;"yezB5izizAn4X1JDrys69n6xI/edit?usp=sharing"",""ยะลา!Q99"")+IMPORTRANGE(""https://docs.google.com/spreadsheets/d/1qfrKjzMhm2HJfxQ-qVlJlJQ25Hne1d0khsySbZyGtPA/edit?usp=sharing"",""ระนอง!Q99"")+IMPORTRANGE(""https://docs.google.com/spreadsheets/d/1IbSCnFOKpZ"&amp;"snFogBHJnL_isstZVaOMnFiIN0fGTPZZw/edit?usp=sharing"",""สงขลา!Q99"")+IMPORTRANGE(""https://docs.google.com/spreadsheets/d/1q9nWasZJ-K8bFGvbE9n0qSRuKGA4Toe3Y89cKCiVtCU/edit?usp=sharing"",""สตูล!Q99"")+IMPORTRANGE(""https://docs.google.com/spreadsheets/d/18T"&amp;"20gbkS_WBjdscyTOV05cvq_JqvqQ17C81mpxf7Ncs/edit?usp=sharing"",""สุราษฎร์ธานี!Q99"")"),835758)</f>
        <v>835758</v>
      </c>
      <c r="R99" s="47">
        <f ca="1">IFERROR(__xludf.DUMMYFUNCTION("IMPORTRANGE(""https://docs.google.com/spreadsheets/d/1kKUcYdkIfrgTSj8iHHHB2MD2FAtwyyocFgqGQn6ADyI/edit?usp=sharing"",""กระบี่!R99"")+IMPORTRANGE(""https://docs.google.com/spreadsheets/d/1GwtLaSlNZkLk7iDqcyZz22giiy40b_usZZBXYciEN1U/edit?usp=sharing"",""ชุม"&amp;"พร!R99"")+IMPORTRANGE(""https://docs.google.com/spreadsheets/d/16pAz3pOhQEZBhvFNMa5KGgZS6iKWpsKX0pg6tQmwFpo/edit?usp=sharing"",""ตรัง!R99"")+IMPORTRANGE(""https://docs.google.com/spreadsheets/d/1Dj4jcHCTV9JXKCaMoheSXS52JE63kDKyG7bPXnFogHk/edit?usp=sharing"&amp;""",""นครศรีธรรมราช!R99"")+IMPORTRANGE(""https://docs.google.com/spreadsheets/d/1iodCdmuK2GR3jzUwk8tpccY2JHQQA-87DLOtJP-ooyU/edit?usp=sharing"",""นราธิวาส!R99"")+IMPORTRANGE(""https://docs.google.com/spreadsheets/d/1SDNX3JhDdYRuIOsj0Wh2M-Qa_eaXl0NbWmhAOTbf"&amp;"QAs/edit?usp=sharing"",""ปัตตานี!R99"")+IMPORTRANGE(""https://docs.google.com/spreadsheets/d/16JDLGguT8s5DsGCND1KcwHP_AWR_zDMTqLHPLJUKhaU/edit?usp=sharing"",""พังงา!R99"")+IMPORTRANGE(""https://docs.google.com/spreadsheets/d/17ht0gPKzzT3PObBL1XJkeRmntBXI7"&amp;"wGjpLV7QorqlTk/edit?usp=sharing"",""พัทลุง!R99"")+IMPORTRANGE(""https://docs.google.com/spreadsheets/d/1rd4qoM1q_hsgaolqNGfrim9gbsoLxQsda4-vOz5x_BM/edit?usp=sharing"",""ภูเก็ต!R99"")+IMPORTRANGE(""https://docs.google.com/spreadsheets/d/1woKwKjgoLssDvPcPeV"&amp;"yezB5izizAn4X1JDrys69n6xI/edit?usp=sharing"",""ยะลา!R99"")+IMPORTRANGE(""https://docs.google.com/spreadsheets/d/1qfrKjzMhm2HJfxQ-qVlJlJQ25Hne1d0khsySbZyGtPA/edit?usp=sharing"",""ระนอง!R99"")+IMPORTRANGE(""https://docs.google.com/spreadsheets/d/1IbSCnFOKpZ"&amp;"snFogBHJnL_isstZVaOMnFiIN0fGTPZZw/edit?usp=sharing"",""สงขลา!R99"")+IMPORTRANGE(""https://docs.google.com/spreadsheets/d/1q9nWasZJ-K8bFGvbE9n0qSRuKGA4Toe3Y89cKCiVtCU/edit?usp=sharing"",""สตูล!R99"")+IMPORTRANGE(""https://docs.google.com/spreadsheets/d/18T"&amp;"20gbkS_WBjdscyTOV05cvq_JqvqQ17C81mpxf7Ncs/edit?usp=sharing"",""สุราษฎร์ธานี!R99"")"),835758)</f>
        <v>835758</v>
      </c>
      <c r="S99" s="47">
        <f ca="1">IFERROR(__xludf.DUMMYFUNCTION("IMPORTRANGE(""https://docs.google.com/spreadsheets/d/1kKUcYdkIfrgTSj8iHHHB2MD2FAtwyyocFgqGQn6ADyI/edit?usp=sharing"",""กระบี่!S99"")+IMPORTRANGE(""https://docs.google.com/spreadsheets/d/1GwtLaSlNZkLk7iDqcyZz22giiy40b_usZZBXYciEN1U/edit?usp=sharing"",""ชุม"&amp;"พร!S99"")+IMPORTRANGE(""https://docs.google.com/spreadsheets/d/16pAz3pOhQEZBhvFNMa5KGgZS6iKWpsKX0pg6tQmwFpo/edit?usp=sharing"",""ตรัง!S99"")+IMPORTRANGE(""https://docs.google.com/spreadsheets/d/1Dj4jcHCTV9JXKCaMoheSXS52JE63kDKyG7bPXnFogHk/edit?usp=sharing"&amp;""",""นครศรีธรรมราช!S99"")+IMPORTRANGE(""https://docs.google.com/spreadsheets/d/1iodCdmuK2GR3jzUwk8tpccY2JHQQA-87DLOtJP-ooyU/edit?usp=sharing"",""นราธิวาส!S99"")+IMPORTRANGE(""https://docs.google.com/spreadsheets/d/1SDNX3JhDdYRuIOsj0Wh2M-Qa_eaXl0NbWmhAOTbf"&amp;"QAs/edit?usp=sharing"",""ปัตตานี!S99"")+IMPORTRANGE(""https://docs.google.com/spreadsheets/d/16JDLGguT8s5DsGCND1KcwHP_AWR_zDMTqLHPLJUKhaU/edit?usp=sharing"",""พังงา!S99"")+IMPORTRANGE(""https://docs.google.com/spreadsheets/d/17ht0gPKzzT3PObBL1XJkeRmntBXI7"&amp;"wGjpLV7QorqlTk/edit?usp=sharing"",""พัทลุง!S99"")+IMPORTRANGE(""https://docs.google.com/spreadsheets/d/1rd4qoM1q_hsgaolqNGfrim9gbsoLxQsda4-vOz5x_BM/edit?usp=sharing"",""ภูเก็ต!S99"")+IMPORTRANGE(""https://docs.google.com/spreadsheets/d/1woKwKjgoLssDvPcPeV"&amp;"yezB5izizAn4X1JDrys69n6xI/edit?usp=sharing"",""ยะลา!S99"")+IMPORTRANGE(""https://docs.google.com/spreadsheets/d/1qfrKjzMhm2HJfxQ-qVlJlJQ25Hne1d0khsySbZyGtPA/edit?usp=sharing"",""ระนอง!S99"")+IMPORTRANGE(""https://docs.google.com/spreadsheets/d/1IbSCnFOKpZ"&amp;"snFogBHJnL_isstZVaOMnFiIN0fGTPZZw/edit?usp=sharing"",""สงขลา!S99"")+IMPORTRANGE(""https://docs.google.com/spreadsheets/d/1q9nWasZJ-K8bFGvbE9n0qSRuKGA4Toe3Y89cKCiVtCU/edit?usp=sharing"",""สตูล!S99"")+IMPORTRANGE(""https://docs.google.com/spreadsheets/d/18T"&amp;"20gbkS_WBjdscyTOV05cvq_JqvqQ17C81mpxf7Ncs/edit?usp=sharing"",""สุราษฎร์ธานี!S99"")"),282900)</f>
        <v>282900</v>
      </c>
      <c r="T99" s="47">
        <f t="shared" ca="1" si="77"/>
        <v>33.849511461451762</v>
      </c>
      <c r="U99" s="47">
        <f t="shared" ca="1" si="78"/>
        <v>33.849511461451762</v>
      </c>
    </row>
    <row r="100" spans="1:21" ht="18.75" x14ac:dyDescent="0.25">
      <c r="A100" s="128"/>
      <c r="B100" s="159"/>
      <c r="C100" s="159"/>
      <c r="D100" s="161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47">
        <f t="shared" ref="L100:N100" ca="1" si="85">L101+L102</f>
        <v>0</v>
      </c>
      <c r="M100" s="47">
        <f t="shared" ca="1" si="85"/>
        <v>0</v>
      </c>
      <c r="N100" s="47">
        <f t="shared" ca="1" si="85"/>
        <v>0</v>
      </c>
      <c r="O100" s="47">
        <f t="shared" ca="1" si="74"/>
        <v>0</v>
      </c>
      <c r="P100" s="47">
        <f t="shared" ca="1" si="75"/>
        <v>0</v>
      </c>
      <c r="Q100" s="47">
        <f t="shared" ref="Q100:S100" ca="1" si="86">Q101+Q102</f>
        <v>0</v>
      </c>
      <c r="R100" s="47">
        <f t="shared" ca="1" si="86"/>
        <v>0</v>
      </c>
      <c r="S100" s="47">
        <f t="shared" ca="1" si="86"/>
        <v>0</v>
      </c>
      <c r="T100" s="47">
        <f t="shared" ca="1" si="77"/>
        <v>0</v>
      </c>
      <c r="U100" s="47">
        <f t="shared" ca="1" si="78"/>
        <v>0</v>
      </c>
    </row>
    <row r="101" spans="1:21" ht="18.75" hidden="1" x14ac:dyDescent="0.25">
      <c r="A101" s="128"/>
      <c r="B101" s="159"/>
      <c r="C101" s="159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49">
        <f ca="1">IFERROR(__xludf.DUMMYFUNCTION("IMPORTRANGE(""https://docs.google.com/spreadsheets/d/1kKUcYdkIfrgTSj8iHHHB2MD2FAtwyyocFgqGQn6ADyI/edit?usp=sharing"",""กระบี่!L101"")+IMPORTRANGE(""https://docs.google.com/spreadsheets/d/1GwtLaSlNZkLk7iDqcyZz22giiy40b_usZZBXYciEN1U/edit?usp=sharing"",""ชุ"&amp;"มพร!L101"")+IMPORTRANGE(""https://docs.google.com/spreadsheets/d/16pAz3pOhQEZBhvFNMa5KGgZS6iKWpsKX0pg6tQmwFpo/edit?usp=sharing"",""ตรัง!L101"")+IMPORTRANGE(""https://docs.google.com/spreadsheets/d/1Dj4jcHCTV9JXKCaMoheSXS52JE63kDKyG7bPXnFogHk/edit?usp=shar"&amp;"ing"",""นครศรีธรรมราช!L101"")+IMPORTRANGE(""https://docs.google.com/spreadsheets/d/1iodCdmuK2GR3jzUwk8tpccY2JHQQA-87DLOtJP-ooyU/edit?usp=sharing"",""นราธิวาส!L101"")+IMPORTRANGE(""https://docs.google.com/spreadsheets/d/1SDNX3JhDdYRuIOsj0Wh2M-Qa_eaXl0NbWmh"&amp;"AOTbfQAs/edit?usp=sharing"",""ปัตตานี!L101"")+IMPORTRANGE(""https://docs.google.com/spreadsheets/d/16JDLGguT8s5DsGCND1KcwHP_AWR_zDMTqLHPLJUKhaU/edit?usp=sharing"",""พังงา!L101"")+IMPORTRANGE(""https://docs.google.com/spreadsheets/d/17ht0gPKzzT3PObBL1XJkeR"&amp;"mntBXI7wGjpLV7QorqlTk/edit?usp=sharing"",""พัทลุง!L101"")+IMPORTRANGE(""https://docs.google.com/spreadsheets/d/1rd4qoM1q_hsgaolqNGfrim9gbsoLxQsda4-vOz5x_BM/edit?usp=sharing"",""ภูเก็ต!L101"")+IMPORTRANGE(""https://docs.google.com/spreadsheets/d/1woKwKjgoL"&amp;"ssDvPcPeVyezB5izizAn4X1JDrys69n6xI/edit?usp=sharing"",""ยะลา!L101"")+IMPORTRANGE(""https://docs.google.com/spreadsheets/d/1qfrKjzMhm2HJfxQ-qVlJlJQ25Hne1d0khsySbZyGtPA/edit?usp=sharing"",""ระนอง!L101"")+IMPORTRANGE(""https://docs.google.com/spreadsheets/d/"&amp;"1IbSCnFOKpZsnFogBHJnL_isstZVaOMnFiIN0fGTPZZw/edit?usp=sharing"",""สงขลา!L101"")+IMPORTRANGE(""https://docs.google.com/spreadsheets/d/1q9nWasZJ-K8bFGvbE9n0qSRuKGA4Toe3Y89cKCiVtCU/edit?usp=sharing"",""สตูล!L101"")+IMPORTRANGE(""https://docs.google.com/sprea"&amp;"dsheets/d/18T20gbkS_WBjdscyTOV05cvq_JqvqQ17C81mpxf7Ncs/edit?usp=sharing"",""สุราษฎร์ธานี!L101"")"),0)</f>
        <v>0</v>
      </c>
      <c r="M101" s="49">
        <f ca="1">IFERROR(__xludf.DUMMYFUNCTION("IMPORTRANGE(""https://docs.google.com/spreadsheets/d/1kKUcYdkIfrgTSj8iHHHB2MD2FAtwyyocFgqGQn6ADyI/edit?usp=sharing"",""กระบี่!M101"")+IMPORTRANGE(""https://docs.google.com/spreadsheets/d/1GwtLaSlNZkLk7iDqcyZz22giiy40b_usZZBXYciEN1U/edit?usp=sharing"",""ชุ"&amp;"มพร!M101"")+IMPORTRANGE(""https://docs.google.com/spreadsheets/d/16pAz3pOhQEZBhvFNMa5KGgZS6iKWpsKX0pg6tQmwFpo/edit?usp=sharing"",""ตรัง!M101"")+IMPORTRANGE(""https://docs.google.com/spreadsheets/d/1Dj4jcHCTV9JXKCaMoheSXS52JE63kDKyG7bPXnFogHk/edit?usp=shar"&amp;"ing"",""นครศรีธรรมราช!M101"")+IMPORTRANGE(""https://docs.google.com/spreadsheets/d/1iodCdmuK2GR3jzUwk8tpccY2JHQQA-87DLOtJP-ooyU/edit?usp=sharing"",""นราธิวาส!M101"")+IMPORTRANGE(""https://docs.google.com/spreadsheets/d/1SDNX3JhDdYRuIOsj0Wh2M-Qa_eaXl0NbWmh"&amp;"AOTbfQAs/edit?usp=sharing"",""ปัตตานี!M101"")+IMPORTRANGE(""https://docs.google.com/spreadsheets/d/16JDLGguT8s5DsGCND1KcwHP_AWR_zDMTqLHPLJUKhaU/edit?usp=sharing"",""พังงา!M101"")+IMPORTRANGE(""https://docs.google.com/spreadsheets/d/17ht0gPKzzT3PObBL1XJkeR"&amp;"mntBXI7wGjpLV7QorqlTk/edit?usp=sharing"",""พัทลุง!M101"")+IMPORTRANGE(""https://docs.google.com/spreadsheets/d/1rd4qoM1q_hsgaolqNGfrim9gbsoLxQsda4-vOz5x_BM/edit?usp=sharing"",""ภูเก็ต!M101"")+IMPORTRANGE(""https://docs.google.com/spreadsheets/d/1woKwKjgoL"&amp;"ssDvPcPeVyezB5izizAn4X1JDrys69n6xI/edit?usp=sharing"",""ยะลา!M101"")+IMPORTRANGE(""https://docs.google.com/spreadsheets/d/1qfrKjzMhm2HJfxQ-qVlJlJQ25Hne1d0khsySbZyGtPA/edit?usp=sharing"",""ระนอง!M101"")+IMPORTRANGE(""https://docs.google.com/spreadsheets/d/"&amp;"1IbSCnFOKpZsnFogBHJnL_isstZVaOMnFiIN0fGTPZZw/edit?usp=sharing"",""สงขลา!M101"")+IMPORTRANGE(""https://docs.google.com/spreadsheets/d/1q9nWasZJ-K8bFGvbE9n0qSRuKGA4Toe3Y89cKCiVtCU/edit?usp=sharing"",""สตูล!M101"")+IMPORTRANGE(""https://docs.google.com/sprea"&amp;"dsheets/d/18T20gbkS_WBjdscyTOV05cvq_JqvqQ17C81mpxf7Ncs/edit?usp=sharing"",""สุราษฎร์ธานี!M101"")"),0)</f>
        <v>0</v>
      </c>
      <c r="N101" s="49">
        <f ca="1">IFERROR(__xludf.DUMMYFUNCTION("IMPORTRANGE(""https://docs.google.com/spreadsheets/d/1kKUcYdkIfrgTSj8iHHHB2MD2FAtwyyocFgqGQn6ADyI/edit?usp=sharing"",""กระบี่!N101"")+IMPORTRANGE(""https://docs.google.com/spreadsheets/d/1GwtLaSlNZkLk7iDqcyZz22giiy40b_usZZBXYciEN1U/edit?usp=sharing"",""ชุ"&amp;"มพร!N101"")+IMPORTRANGE(""https://docs.google.com/spreadsheets/d/16pAz3pOhQEZBhvFNMa5KGgZS6iKWpsKX0pg6tQmwFpo/edit?usp=sharing"",""ตรัง!N101"")+IMPORTRANGE(""https://docs.google.com/spreadsheets/d/1Dj4jcHCTV9JXKCaMoheSXS52JE63kDKyG7bPXnFogHk/edit?usp=shar"&amp;"ing"",""นครศรีธรรมราช!N101"")+IMPORTRANGE(""https://docs.google.com/spreadsheets/d/1iodCdmuK2GR3jzUwk8tpccY2JHQQA-87DLOtJP-ooyU/edit?usp=sharing"",""นราธิวาส!N101"")+IMPORTRANGE(""https://docs.google.com/spreadsheets/d/1SDNX3JhDdYRuIOsj0Wh2M-Qa_eaXl0NbWmh"&amp;"AOTbfQAs/edit?usp=sharing"",""ปัตตานี!N101"")+IMPORTRANGE(""https://docs.google.com/spreadsheets/d/16JDLGguT8s5DsGCND1KcwHP_AWR_zDMTqLHPLJUKhaU/edit?usp=sharing"",""พังงา!N101"")+IMPORTRANGE(""https://docs.google.com/spreadsheets/d/17ht0gPKzzT3PObBL1XJkeR"&amp;"mntBXI7wGjpLV7QorqlTk/edit?usp=sharing"",""พัทลุง!N101"")+IMPORTRANGE(""https://docs.google.com/spreadsheets/d/1rd4qoM1q_hsgaolqNGfrim9gbsoLxQsda4-vOz5x_BM/edit?usp=sharing"",""ภูเก็ต!N101"")+IMPORTRANGE(""https://docs.google.com/spreadsheets/d/1woKwKjgoL"&amp;"ssDvPcPeVyezB5izizAn4X1JDrys69n6xI/edit?usp=sharing"",""ยะลา!N101"")+IMPORTRANGE(""https://docs.google.com/spreadsheets/d/1qfrKjzMhm2HJfxQ-qVlJlJQ25Hne1d0khsySbZyGtPA/edit?usp=sharing"",""ระนอง!N101"")+IMPORTRANGE(""https://docs.google.com/spreadsheets/d/"&amp;"1IbSCnFOKpZsnFogBHJnL_isstZVaOMnFiIN0fGTPZZw/edit?usp=sharing"",""สงขลา!N101"")+IMPORTRANGE(""https://docs.google.com/spreadsheets/d/1q9nWasZJ-K8bFGvbE9n0qSRuKGA4Toe3Y89cKCiVtCU/edit?usp=sharing"",""สตูล!N101"")+IMPORTRANGE(""https://docs.google.com/sprea"&amp;"dsheets/d/18T20gbkS_WBjdscyTOV05cvq_JqvqQ17C81mpxf7Ncs/edit?usp=sharing"",""สุราษฎร์ธานี!N101"")"),0)</f>
        <v>0</v>
      </c>
      <c r="O101" s="49">
        <f t="shared" ca="1" si="74"/>
        <v>0</v>
      </c>
      <c r="P101" s="49">
        <f t="shared" ca="1" si="75"/>
        <v>0</v>
      </c>
      <c r="Q101" s="49">
        <f ca="1">IFERROR(__xludf.DUMMYFUNCTION("IMPORTRANGE(""https://docs.google.com/spreadsheets/d/1kKUcYdkIfrgTSj8iHHHB2MD2FAtwyyocFgqGQn6ADyI/edit?usp=sharing"",""กระบี่!Q101"")+IMPORTRANGE(""https://docs.google.com/spreadsheets/d/1GwtLaSlNZkLk7iDqcyZz22giiy40b_usZZBXYciEN1U/edit?usp=sharing"",""ชุ"&amp;"มพร!Q101"")+IMPORTRANGE(""https://docs.google.com/spreadsheets/d/16pAz3pOhQEZBhvFNMa5KGgZS6iKWpsKX0pg6tQmwFpo/edit?usp=sharing"",""ตรัง!Q101"")+IMPORTRANGE(""https://docs.google.com/spreadsheets/d/1Dj4jcHCTV9JXKCaMoheSXS52JE63kDKyG7bPXnFogHk/edit?usp=shar"&amp;"ing"",""นครศรีธรรมราช!Q101"")+IMPORTRANGE(""https://docs.google.com/spreadsheets/d/1iodCdmuK2GR3jzUwk8tpccY2JHQQA-87DLOtJP-ooyU/edit?usp=sharing"",""นราธิวาส!Q101"")+IMPORTRANGE(""https://docs.google.com/spreadsheets/d/1SDNX3JhDdYRuIOsj0Wh2M-Qa_eaXl0NbWmh"&amp;"AOTbfQAs/edit?usp=sharing"",""ปัตตานี!Q101"")+IMPORTRANGE(""https://docs.google.com/spreadsheets/d/16JDLGguT8s5DsGCND1KcwHP_AWR_zDMTqLHPLJUKhaU/edit?usp=sharing"",""พังงา!Q101"")+IMPORTRANGE(""https://docs.google.com/spreadsheets/d/17ht0gPKzzT3PObBL1XJkeR"&amp;"mntBXI7wGjpLV7QorqlTk/edit?usp=sharing"",""พัทลุง!Q101"")+IMPORTRANGE(""https://docs.google.com/spreadsheets/d/1rd4qoM1q_hsgaolqNGfrim9gbsoLxQsda4-vOz5x_BM/edit?usp=sharing"",""ภูเก็ต!Q101"")+IMPORTRANGE(""https://docs.google.com/spreadsheets/d/1woKwKjgoL"&amp;"ssDvPcPeVyezB5izizAn4X1JDrys69n6xI/edit?usp=sharing"",""ยะลา!Q101"")+IMPORTRANGE(""https://docs.google.com/spreadsheets/d/1qfrKjzMhm2HJfxQ-qVlJlJQ25Hne1d0khsySbZyGtPA/edit?usp=sharing"",""ระนอง!Q101"")+IMPORTRANGE(""https://docs.google.com/spreadsheets/d/"&amp;"1IbSCnFOKpZsnFogBHJnL_isstZVaOMnFiIN0fGTPZZw/edit?usp=sharing"",""สงขลา!Q101"")+IMPORTRANGE(""https://docs.google.com/spreadsheets/d/1q9nWasZJ-K8bFGvbE9n0qSRuKGA4Toe3Y89cKCiVtCU/edit?usp=sharing"",""สตูล!Q101"")+IMPORTRANGE(""https://docs.google.com/sprea"&amp;"dsheets/d/18T20gbkS_WBjdscyTOV05cvq_JqvqQ17C81mpxf7Ncs/edit?usp=sharing"",""สุราษฎร์ธานี!Q101"")"),0)</f>
        <v>0</v>
      </c>
      <c r="R101" s="49">
        <f ca="1">IFERROR(__xludf.DUMMYFUNCTION("IMPORTRANGE(""https://docs.google.com/spreadsheets/d/1kKUcYdkIfrgTSj8iHHHB2MD2FAtwyyocFgqGQn6ADyI/edit?usp=sharing"",""กระบี่!R101"")+IMPORTRANGE(""https://docs.google.com/spreadsheets/d/1GwtLaSlNZkLk7iDqcyZz22giiy40b_usZZBXYciEN1U/edit?usp=sharing"",""ชุ"&amp;"มพร!R101"")+IMPORTRANGE(""https://docs.google.com/spreadsheets/d/16pAz3pOhQEZBhvFNMa5KGgZS6iKWpsKX0pg6tQmwFpo/edit?usp=sharing"",""ตรัง!R101"")+IMPORTRANGE(""https://docs.google.com/spreadsheets/d/1Dj4jcHCTV9JXKCaMoheSXS52JE63kDKyG7bPXnFogHk/edit?usp=shar"&amp;"ing"",""นครศรีธรรมราช!R101"")+IMPORTRANGE(""https://docs.google.com/spreadsheets/d/1iodCdmuK2GR3jzUwk8tpccY2JHQQA-87DLOtJP-ooyU/edit?usp=sharing"",""นราธิวาส!R101"")+IMPORTRANGE(""https://docs.google.com/spreadsheets/d/1SDNX3JhDdYRuIOsj0Wh2M-Qa_eaXl0NbWmh"&amp;"AOTbfQAs/edit?usp=sharing"",""ปัตตานี!R101"")+IMPORTRANGE(""https://docs.google.com/spreadsheets/d/16JDLGguT8s5DsGCND1KcwHP_AWR_zDMTqLHPLJUKhaU/edit?usp=sharing"",""พังงา!R101"")+IMPORTRANGE(""https://docs.google.com/spreadsheets/d/17ht0gPKzzT3PObBL1XJkeR"&amp;"mntBXI7wGjpLV7QorqlTk/edit?usp=sharing"",""พัทลุง!R101"")+IMPORTRANGE(""https://docs.google.com/spreadsheets/d/1rd4qoM1q_hsgaolqNGfrim9gbsoLxQsda4-vOz5x_BM/edit?usp=sharing"",""ภูเก็ต!R101"")+IMPORTRANGE(""https://docs.google.com/spreadsheets/d/1woKwKjgoL"&amp;"ssDvPcPeVyezB5izizAn4X1JDrys69n6xI/edit?usp=sharing"",""ยะลา!R101"")+IMPORTRANGE(""https://docs.google.com/spreadsheets/d/1qfrKjzMhm2HJfxQ-qVlJlJQ25Hne1d0khsySbZyGtPA/edit?usp=sharing"",""ระนอง!R101"")+IMPORTRANGE(""https://docs.google.com/spreadsheets/d/"&amp;"1IbSCnFOKpZsnFogBHJnL_isstZVaOMnFiIN0fGTPZZw/edit?usp=sharing"",""สงขลา!R101"")+IMPORTRANGE(""https://docs.google.com/spreadsheets/d/1q9nWasZJ-K8bFGvbE9n0qSRuKGA4Toe3Y89cKCiVtCU/edit?usp=sharing"",""สตูล!R101"")+IMPORTRANGE(""https://docs.google.com/sprea"&amp;"dsheets/d/18T20gbkS_WBjdscyTOV05cvq_JqvqQ17C81mpxf7Ncs/edit?usp=sharing"",""สุราษฎร์ธานี!R101"")"),0)</f>
        <v>0</v>
      </c>
      <c r="S101" s="49">
        <f ca="1">IFERROR(__xludf.DUMMYFUNCTION("IMPORTRANGE(""https://docs.google.com/spreadsheets/d/1kKUcYdkIfrgTSj8iHHHB2MD2FAtwyyocFgqGQn6ADyI/edit?usp=sharing"",""กระบี่!S101"")+IMPORTRANGE(""https://docs.google.com/spreadsheets/d/1GwtLaSlNZkLk7iDqcyZz22giiy40b_usZZBXYciEN1U/edit?usp=sharing"",""ชุ"&amp;"มพร!S101"")+IMPORTRANGE(""https://docs.google.com/spreadsheets/d/16pAz3pOhQEZBhvFNMa5KGgZS6iKWpsKX0pg6tQmwFpo/edit?usp=sharing"",""ตรัง!S101"")+IMPORTRANGE(""https://docs.google.com/spreadsheets/d/1Dj4jcHCTV9JXKCaMoheSXS52JE63kDKyG7bPXnFogHk/edit?usp=shar"&amp;"ing"",""นครศรีธรรมราช!S101"")+IMPORTRANGE(""https://docs.google.com/spreadsheets/d/1iodCdmuK2GR3jzUwk8tpccY2JHQQA-87DLOtJP-ooyU/edit?usp=sharing"",""นราธิวาส!S101"")+IMPORTRANGE(""https://docs.google.com/spreadsheets/d/1SDNX3JhDdYRuIOsj0Wh2M-Qa_eaXl0NbWmh"&amp;"AOTbfQAs/edit?usp=sharing"",""ปัตตานี!S101"")+IMPORTRANGE(""https://docs.google.com/spreadsheets/d/16JDLGguT8s5DsGCND1KcwHP_AWR_zDMTqLHPLJUKhaU/edit?usp=sharing"",""พังงา!S101"")+IMPORTRANGE(""https://docs.google.com/spreadsheets/d/17ht0gPKzzT3PObBL1XJkeR"&amp;"mntBXI7wGjpLV7QorqlTk/edit?usp=sharing"",""พัทลุง!S101"")+IMPORTRANGE(""https://docs.google.com/spreadsheets/d/1rd4qoM1q_hsgaolqNGfrim9gbsoLxQsda4-vOz5x_BM/edit?usp=sharing"",""ภูเก็ต!S101"")+IMPORTRANGE(""https://docs.google.com/spreadsheets/d/1woKwKjgoL"&amp;"ssDvPcPeVyezB5izizAn4X1JDrys69n6xI/edit?usp=sharing"",""ยะลา!S101"")+IMPORTRANGE(""https://docs.google.com/spreadsheets/d/1qfrKjzMhm2HJfxQ-qVlJlJQ25Hne1d0khsySbZyGtPA/edit?usp=sharing"",""ระนอง!S101"")+IMPORTRANGE(""https://docs.google.com/spreadsheets/d/"&amp;"1IbSCnFOKpZsnFogBHJnL_isstZVaOMnFiIN0fGTPZZw/edit?usp=sharing"",""สงขลา!S101"")+IMPORTRANGE(""https://docs.google.com/spreadsheets/d/1q9nWasZJ-K8bFGvbE9n0qSRuKGA4Toe3Y89cKCiVtCU/edit?usp=sharing"",""สตูล!S101"")+IMPORTRANGE(""https://docs.google.com/sprea"&amp;"dsheets/d/18T20gbkS_WBjdscyTOV05cvq_JqvqQ17C81mpxf7Ncs/edit?usp=sharing"",""สุราษฎร์ธานี!S101"")"),0)</f>
        <v>0</v>
      </c>
      <c r="T101" s="49">
        <f t="shared" ca="1" si="77"/>
        <v>0</v>
      </c>
      <c r="U101" s="49">
        <f t="shared" ca="1" si="78"/>
        <v>0</v>
      </c>
    </row>
    <row r="102" spans="1:21" ht="18.75" hidden="1" x14ac:dyDescent="0.25">
      <c r="A102" s="128"/>
      <c r="B102" s="159"/>
      <c r="C102" s="159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47">
        <f ca="1">IFERROR(__xludf.DUMMYFUNCTION("IMPORTRANGE(""https://docs.google.com/spreadsheets/d/1kKUcYdkIfrgTSj8iHHHB2MD2FAtwyyocFgqGQn6ADyI/edit?usp=sharing"",""กระบี่!L102"")+IMPORTRANGE(""https://docs.google.com/spreadsheets/d/1GwtLaSlNZkLk7iDqcyZz22giiy40b_usZZBXYciEN1U/edit?usp=sharing"",""ชุ"&amp;"มพร!L102"")+IMPORTRANGE(""https://docs.google.com/spreadsheets/d/16pAz3pOhQEZBhvFNMa5KGgZS6iKWpsKX0pg6tQmwFpo/edit?usp=sharing"",""ตรัง!L102"")+IMPORTRANGE(""https://docs.google.com/spreadsheets/d/1Dj4jcHCTV9JXKCaMoheSXS52JE63kDKyG7bPXnFogHk/edit?usp=shar"&amp;"ing"",""นครศรีธรรมราช!L102"")+IMPORTRANGE(""https://docs.google.com/spreadsheets/d/1iodCdmuK2GR3jzUwk8tpccY2JHQQA-87DLOtJP-ooyU/edit?usp=sharing"",""นราธิวาส!L102"")+IMPORTRANGE(""https://docs.google.com/spreadsheets/d/1SDNX3JhDdYRuIOsj0Wh2M-Qa_eaXl0NbWmh"&amp;"AOTbfQAs/edit?usp=sharing"",""ปัตตานี!L102"")+IMPORTRANGE(""https://docs.google.com/spreadsheets/d/16JDLGguT8s5DsGCND1KcwHP_AWR_zDMTqLHPLJUKhaU/edit?usp=sharing"",""พังงา!L102"")+IMPORTRANGE(""https://docs.google.com/spreadsheets/d/17ht0gPKzzT3PObBL1XJkeR"&amp;"mntBXI7wGjpLV7QorqlTk/edit?usp=sharing"",""พัทลุง!L102"")+IMPORTRANGE(""https://docs.google.com/spreadsheets/d/1rd4qoM1q_hsgaolqNGfrim9gbsoLxQsda4-vOz5x_BM/edit?usp=sharing"",""ภูเก็ต!L102"")+IMPORTRANGE(""https://docs.google.com/spreadsheets/d/1woKwKjgoL"&amp;"ssDvPcPeVyezB5izizAn4X1JDrys69n6xI/edit?usp=sharing"",""ยะลา!L102"")+IMPORTRANGE(""https://docs.google.com/spreadsheets/d/1qfrKjzMhm2HJfxQ-qVlJlJQ25Hne1d0khsySbZyGtPA/edit?usp=sharing"",""ระนอง!L102"")+IMPORTRANGE(""https://docs.google.com/spreadsheets/d/"&amp;"1IbSCnFOKpZsnFogBHJnL_isstZVaOMnFiIN0fGTPZZw/edit?usp=sharing"",""สงขลา!L102"")+IMPORTRANGE(""https://docs.google.com/spreadsheets/d/1q9nWasZJ-K8bFGvbE9n0qSRuKGA4Toe3Y89cKCiVtCU/edit?usp=sharing"",""สตูล!L102"")+IMPORTRANGE(""https://docs.google.com/sprea"&amp;"dsheets/d/18T20gbkS_WBjdscyTOV05cvq_JqvqQ17C81mpxf7Ncs/edit?usp=sharing"",""สุราษฎร์ธานี!L102"")"),0)</f>
        <v>0</v>
      </c>
      <c r="M102" s="47">
        <f ca="1">IFERROR(__xludf.DUMMYFUNCTION("IMPORTRANGE(""https://docs.google.com/spreadsheets/d/1kKUcYdkIfrgTSj8iHHHB2MD2FAtwyyocFgqGQn6ADyI/edit?usp=sharing"",""กระบี่!M102"")+IMPORTRANGE(""https://docs.google.com/spreadsheets/d/1GwtLaSlNZkLk7iDqcyZz22giiy40b_usZZBXYciEN1U/edit?usp=sharing"",""ชุ"&amp;"มพร!M102"")+IMPORTRANGE(""https://docs.google.com/spreadsheets/d/16pAz3pOhQEZBhvFNMa5KGgZS6iKWpsKX0pg6tQmwFpo/edit?usp=sharing"",""ตรัง!M102"")+IMPORTRANGE(""https://docs.google.com/spreadsheets/d/1Dj4jcHCTV9JXKCaMoheSXS52JE63kDKyG7bPXnFogHk/edit?usp=shar"&amp;"ing"",""นครศรีธรรมราช!M102"")+IMPORTRANGE(""https://docs.google.com/spreadsheets/d/1iodCdmuK2GR3jzUwk8tpccY2JHQQA-87DLOtJP-ooyU/edit?usp=sharing"",""นราธิวาส!M102"")+IMPORTRANGE(""https://docs.google.com/spreadsheets/d/1SDNX3JhDdYRuIOsj0Wh2M-Qa_eaXl0NbWmh"&amp;"AOTbfQAs/edit?usp=sharing"",""ปัตตานี!M102"")+IMPORTRANGE(""https://docs.google.com/spreadsheets/d/16JDLGguT8s5DsGCND1KcwHP_AWR_zDMTqLHPLJUKhaU/edit?usp=sharing"",""พังงา!M102"")+IMPORTRANGE(""https://docs.google.com/spreadsheets/d/17ht0gPKzzT3PObBL1XJkeR"&amp;"mntBXI7wGjpLV7QorqlTk/edit?usp=sharing"",""พัทลุง!M102"")+IMPORTRANGE(""https://docs.google.com/spreadsheets/d/1rd4qoM1q_hsgaolqNGfrim9gbsoLxQsda4-vOz5x_BM/edit?usp=sharing"",""ภูเก็ต!M102"")+IMPORTRANGE(""https://docs.google.com/spreadsheets/d/1woKwKjgoL"&amp;"ssDvPcPeVyezB5izizAn4X1JDrys69n6xI/edit?usp=sharing"",""ยะลา!M102"")+IMPORTRANGE(""https://docs.google.com/spreadsheets/d/1qfrKjzMhm2HJfxQ-qVlJlJQ25Hne1d0khsySbZyGtPA/edit?usp=sharing"",""ระนอง!M102"")+IMPORTRANGE(""https://docs.google.com/spreadsheets/d/"&amp;"1IbSCnFOKpZsnFogBHJnL_isstZVaOMnFiIN0fGTPZZw/edit?usp=sharing"",""สงขลา!M102"")+IMPORTRANGE(""https://docs.google.com/spreadsheets/d/1q9nWasZJ-K8bFGvbE9n0qSRuKGA4Toe3Y89cKCiVtCU/edit?usp=sharing"",""สตูล!M102"")+IMPORTRANGE(""https://docs.google.com/sprea"&amp;"dsheets/d/18T20gbkS_WBjdscyTOV05cvq_JqvqQ17C81mpxf7Ncs/edit?usp=sharing"",""สุราษฎร์ธานี!M102"")"),0)</f>
        <v>0</v>
      </c>
      <c r="N102" s="47">
        <f ca="1">IFERROR(__xludf.DUMMYFUNCTION("IMPORTRANGE(""https://docs.google.com/spreadsheets/d/1kKUcYdkIfrgTSj8iHHHB2MD2FAtwyyocFgqGQn6ADyI/edit?usp=sharing"",""กระบี่!N102"")+IMPORTRANGE(""https://docs.google.com/spreadsheets/d/1GwtLaSlNZkLk7iDqcyZz22giiy40b_usZZBXYciEN1U/edit?usp=sharing"",""ชุ"&amp;"มพร!N102"")+IMPORTRANGE(""https://docs.google.com/spreadsheets/d/16pAz3pOhQEZBhvFNMa5KGgZS6iKWpsKX0pg6tQmwFpo/edit?usp=sharing"",""ตรัง!N102"")+IMPORTRANGE(""https://docs.google.com/spreadsheets/d/1Dj4jcHCTV9JXKCaMoheSXS52JE63kDKyG7bPXnFogHk/edit?usp=shar"&amp;"ing"",""นครศรีธรรมราช!N102"")+IMPORTRANGE(""https://docs.google.com/spreadsheets/d/1iodCdmuK2GR3jzUwk8tpccY2JHQQA-87DLOtJP-ooyU/edit?usp=sharing"",""นราธิวาส!N102"")+IMPORTRANGE(""https://docs.google.com/spreadsheets/d/1SDNX3JhDdYRuIOsj0Wh2M-Qa_eaXl0NbWmh"&amp;"AOTbfQAs/edit?usp=sharing"",""ปัตตานี!N102"")+IMPORTRANGE(""https://docs.google.com/spreadsheets/d/16JDLGguT8s5DsGCND1KcwHP_AWR_zDMTqLHPLJUKhaU/edit?usp=sharing"",""พังงา!N102"")+IMPORTRANGE(""https://docs.google.com/spreadsheets/d/17ht0gPKzzT3PObBL1XJkeR"&amp;"mntBXI7wGjpLV7QorqlTk/edit?usp=sharing"",""พัทลุง!N102"")+IMPORTRANGE(""https://docs.google.com/spreadsheets/d/1rd4qoM1q_hsgaolqNGfrim9gbsoLxQsda4-vOz5x_BM/edit?usp=sharing"",""ภูเก็ต!N102"")+IMPORTRANGE(""https://docs.google.com/spreadsheets/d/1woKwKjgoL"&amp;"ssDvPcPeVyezB5izizAn4X1JDrys69n6xI/edit?usp=sharing"",""ยะลา!N102"")+IMPORTRANGE(""https://docs.google.com/spreadsheets/d/1qfrKjzMhm2HJfxQ-qVlJlJQ25Hne1d0khsySbZyGtPA/edit?usp=sharing"",""ระนอง!N102"")+IMPORTRANGE(""https://docs.google.com/spreadsheets/d/"&amp;"1IbSCnFOKpZsnFogBHJnL_isstZVaOMnFiIN0fGTPZZw/edit?usp=sharing"",""สงขลา!N102"")+IMPORTRANGE(""https://docs.google.com/spreadsheets/d/1q9nWasZJ-K8bFGvbE9n0qSRuKGA4Toe3Y89cKCiVtCU/edit?usp=sharing"",""สตูล!N102"")+IMPORTRANGE(""https://docs.google.com/sprea"&amp;"dsheets/d/18T20gbkS_WBjdscyTOV05cvq_JqvqQ17C81mpxf7Ncs/edit?usp=sharing"",""สุราษฎร์ธานี!N102"")"),0)</f>
        <v>0</v>
      </c>
      <c r="O102" s="47">
        <f t="shared" ca="1" si="74"/>
        <v>0</v>
      </c>
      <c r="P102" s="47">
        <f t="shared" ca="1" si="75"/>
        <v>0</v>
      </c>
      <c r="Q102" s="47">
        <f ca="1">IFERROR(__xludf.DUMMYFUNCTION("IMPORTRANGE(""https://docs.google.com/spreadsheets/d/1kKUcYdkIfrgTSj8iHHHB2MD2FAtwyyocFgqGQn6ADyI/edit?usp=sharing"",""กระบี่!Q102"")+IMPORTRANGE(""https://docs.google.com/spreadsheets/d/1GwtLaSlNZkLk7iDqcyZz22giiy40b_usZZBXYciEN1U/edit?usp=sharing"",""ชุ"&amp;"มพร!Q102"")+IMPORTRANGE(""https://docs.google.com/spreadsheets/d/16pAz3pOhQEZBhvFNMa5KGgZS6iKWpsKX0pg6tQmwFpo/edit?usp=sharing"",""ตรัง!Q102"")+IMPORTRANGE(""https://docs.google.com/spreadsheets/d/1Dj4jcHCTV9JXKCaMoheSXS52JE63kDKyG7bPXnFogHk/edit?usp=shar"&amp;"ing"",""นครศรีธรรมราช!Q102"")+IMPORTRANGE(""https://docs.google.com/spreadsheets/d/1iodCdmuK2GR3jzUwk8tpccY2JHQQA-87DLOtJP-ooyU/edit?usp=sharing"",""นราธิวาส!Q102"")+IMPORTRANGE(""https://docs.google.com/spreadsheets/d/1SDNX3JhDdYRuIOsj0Wh2M-Qa_eaXl0NbWmh"&amp;"AOTbfQAs/edit?usp=sharing"",""ปัตตานี!Q102"")+IMPORTRANGE(""https://docs.google.com/spreadsheets/d/16JDLGguT8s5DsGCND1KcwHP_AWR_zDMTqLHPLJUKhaU/edit?usp=sharing"",""พังงา!Q102"")+IMPORTRANGE(""https://docs.google.com/spreadsheets/d/17ht0gPKzzT3PObBL1XJkeR"&amp;"mntBXI7wGjpLV7QorqlTk/edit?usp=sharing"",""พัทลุง!Q102"")+IMPORTRANGE(""https://docs.google.com/spreadsheets/d/1rd4qoM1q_hsgaolqNGfrim9gbsoLxQsda4-vOz5x_BM/edit?usp=sharing"",""ภูเก็ต!Q102"")+IMPORTRANGE(""https://docs.google.com/spreadsheets/d/1woKwKjgoL"&amp;"ssDvPcPeVyezB5izizAn4X1JDrys69n6xI/edit?usp=sharing"",""ยะลา!Q102"")+IMPORTRANGE(""https://docs.google.com/spreadsheets/d/1qfrKjzMhm2HJfxQ-qVlJlJQ25Hne1d0khsySbZyGtPA/edit?usp=sharing"",""ระนอง!Q102"")+IMPORTRANGE(""https://docs.google.com/spreadsheets/d/"&amp;"1IbSCnFOKpZsnFogBHJnL_isstZVaOMnFiIN0fGTPZZw/edit?usp=sharing"",""สงขลา!Q102"")+IMPORTRANGE(""https://docs.google.com/spreadsheets/d/1q9nWasZJ-K8bFGvbE9n0qSRuKGA4Toe3Y89cKCiVtCU/edit?usp=sharing"",""สตูล!Q102"")+IMPORTRANGE(""https://docs.google.com/sprea"&amp;"dsheets/d/18T20gbkS_WBjdscyTOV05cvq_JqvqQ17C81mpxf7Ncs/edit?usp=sharing"",""สุราษฎร์ธานี!Q102"")"),0)</f>
        <v>0</v>
      </c>
      <c r="R102" s="47">
        <f ca="1">IFERROR(__xludf.DUMMYFUNCTION("IMPORTRANGE(""https://docs.google.com/spreadsheets/d/1kKUcYdkIfrgTSj8iHHHB2MD2FAtwyyocFgqGQn6ADyI/edit?usp=sharing"",""กระบี่!R102"")+IMPORTRANGE(""https://docs.google.com/spreadsheets/d/1GwtLaSlNZkLk7iDqcyZz22giiy40b_usZZBXYciEN1U/edit?usp=sharing"",""ชุ"&amp;"มพร!R102"")+IMPORTRANGE(""https://docs.google.com/spreadsheets/d/16pAz3pOhQEZBhvFNMa5KGgZS6iKWpsKX0pg6tQmwFpo/edit?usp=sharing"",""ตรัง!R102"")+IMPORTRANGE(""https://docs.google.com/spreadsheets/d/1Dj4jcHCTV9JXKCaMoheSXS52JE63kDKyG7bPXnFogHk/edit?usp=shar"&amp;"ing"",""นครศรีธรรมราช!R102"")+IMPORTRANGE(""https://docs.google.com/spreadsheets/d/1iodCdmuK2GR3jzUwk8tpccY2JHQQA-87DLOtJP-ooyU/edit?usp=sharing"",""นราธิวาส!R102"")+IMPORTRANGE(""https://docs.google.com/spreadsheets/d/1SDNX3JhDdYRuIOsj0Wh2M-Qa_eaXl0NbWmh"&amp;"AOTbfQAs/edit?usp=sharing"",""ปัตตานี!R102"")+IMPORTRANGE(""https://docs.google.com/spreadsheets/d/16JDLGguT8s5DsGCND1KcwHP_AWR_zDMTqLHPLJUKhaU/edit?usp=sharing"",""พังงา!R102"")+IMPORTRANGE(""https://docs.google.com/spreadsheets/d/17ht0gPKzzT3PObBL1XJkeR"&amp;"mntBXI7wGjpLV7QorqlTk/edit?usp=sharing"",""พัทลุง!R102"")+IMPORTRANGE(""https://docs.google.com/spreadsheets/d/1rd4qoM1q_hsgaolqNGfrim9gbsoLxQsda4-vOz5x_BM/edit?usp=sharing"",""ภูเก็ต!R102"")+IMPORTRANGE(""https://docs.google.com/spreadsheets/d/1woKwKjgoL"&amp;"ssDvPcPeVyezB5izizAn4X1JDrys69n6xI/edit?usp=sharing"",""ยะลา!R102"")+IMPORTRANGE(""https://docs.google.com/spreadsheets/d/1qfrKjzMhm2HJfxQ-qVlJlJQ25Hne1d0khsySbZyGtPA/edit?usp=sharing"",""ระนอง!R102"")+IMPORTRANGE(""https://docs.google.com/spreadsheets/d/"&amp;"1IbSCnFOKpZsnFogBHJnL_isstZVaOMnFiIN0fGTPZZw/edit?usp=sharing"",""สงขลา!R102"")+IMPORTRANGE(""https://docs.google.com/spreadsheets/d/1q9nWasZJ-K8bFGvbE9n0qSRuKGA4Toe3Y89cKCiVtCU/edit?usp=sharing"",""สตูล!R102"")+IMPORTRANGE(""https://docs.google.com/sprea"&amp;"dsheets/d/18T20gbkS_WBjdscyTOV05cvq_JqvqQ17C81mpxf7Ncs/edit?usp=sharing"",""สุราษฎร์ธานี!R102"")"),0)</f>
        <v>0</v>
      </c>
      <c r="S102" s="47">
        <f ca="1">IFERROR(__xludf.DUMMYFUNCTION("IMPORTRANGE(""https://docs.google.com/spreadsheets/d/1kKUcYdkIfrgTSj8iHHHB2MD2FAtwyyocFgqGQn6ADyI/edit?usp=sharing"",""กระบี่!S102"")+IMPORTRANGE(""https://docs.google.com/spreadsheets/d/1GwtLaSlNZkLk7iDqcyZz22giiy40b_usZZBXYciEN1U/edit?usp=sharing"",""ชุ"&amp;"มพร!S102"")+IMPORTRANGE(""https://docs.google.com/spreadsheets/d/16pAz3pOhQEZBhvFNMa5KGgZS6iKWpsKX0pg6tQmwFpo/edit?usp=sharing"",""ตรัง!S102"")+IMPORTRANGE(""https://docs.google.com/spreadsheets/d/1Dj4jcHCTV9JXKCaMoheSXS52JE63kDKyG7bPXnFogHk/edit?usp=shar"&amp;"ing"",""นครศรีธรรมราช!S102"")+IMPORTRANGE(""https://docs.google.com/spreadsheets/d/1iodCdmuK2GR3jzUwk8tpccY2JHQQA-87DLOtJP-ooyU/edit?usp=sharing"",""นราธิวาส!S102"")+IMPORTRANGE(""https://docs.google.com/spreadsheets/d/1SDNX3JhDdYRuIOsj0Wh2M-Qa_eaXl0NbWmh"&amp;"AOTbfQAs/edit?usp=sharing"",""ปัตตานี!S102"")+IMPORTRANGE(""https://docs.google.com/spreadsheets/d/16JDLGguT8s5DsGCND1KcwHP_AWR_zDMTqLHPLJUKhaU/edit?usp=sharing"",""พังงา!S102"")+IMPORTRANGE(""https://docs.google.com/spreadsheets/d/17ht0gPKzzT3PObBL1XJkeR"&amp;"mntBXI7wGjpLV7QorqlTk/edit?usp=sharing"",""พัทลุง!S102"")+IMPORTRANGE(""https://docs.google.com/spreadsheets/d/1rd4qoM1q_hsgaolqNGfrim9gbsoLxQsda4-vOz5x_BM/edit?usp=sharing"",""ภูเก็ต!S102"")+IMPORTRANGE(""https://docs.google.com/spreadsheets/d/1woKwKjgoL"&amp;"ssDvPcPeVyezB5izizAn4X1JDrys69n6xI/edit?usp=sharing"",""ยะลา!S102"")+IMPORTRANGE(""https://docs.google.com/spreadsheets/d/1qfrKjzMhm2HJfxQ-qVlJlJQ25Hne1d0khsySbZyGtPA/edit?usp=sharing"",""ระนอง!S102"")+IMPORTRANGE(""https://docs.google.com/spreadsheets/d/"&amp;"1IbSCnFOKpZsnFogBHJnL_isstZVaOMnFiIN0fGTPZZw/edit?usp=sharing"",""สงขลา!S102"")+IMPORTRANGE(""https://docs.google.com/spreadsheets/d/1q9nWasZJ-K8bFGvbE9n0qSRuKGA4Toe3Y89cKCiVtCU/edit?usp=sharing"",""สตูล!S102"")+IMPORTRANGE(""https://docs.google.com/sprea"&amp;"dsheets/d/18T20gbkS_WBjdscyTOV05cvq_JqvqQ17C81mpxf7Ncs/edit?usp=sharing"",""สุราษฎร์ธานี!S102"")"),0)</f>
        <v>0</v>
      </c>
      <c r="T102" s="47">
        <f t="shared" ca="1" si="77"/>
        <v>0</v>
      </c>
      <c r="U102" s="47">
        <f t="shared" ca="1" si="78"/>
        <v>0</v>
      </c>
    </row>
    <row r="103" spans="1:21" ht="19.5" x14ac:dyDescent="0.3">
      <c r="A103" s="138"/>
      <c r="B103" s="139"/>
      <c r="C103" s="162" t="s">
        <v>18</v>
      </c>
      <c r="D103" s="140" t="s">
        <v>38</v>
      </c>
      <c r="E103" s="141"/>
      <c r="F103" s="141"/>
      <c r="G103" s="142"/>
      <c r="H103" s="143"/>
      <c r="I103" s="135"/>
      <c r="J103" s="45"/>
      <c r="K103" s="46"/>
      <c r="L103" s="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22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22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22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kKUcYdkIfrgTSj8iHHHB2MD2FAtwyyocFgqGQn6ADyI/edit?usp=sharing"",""กระบี่!I108"")+IMPORTRANGE(""https://docs.google.com/spreadsheets/d/1GwtLaSlNZkLk7iDqcyZz22giiy40b_usZZBXYciEN1U/edit?usp=sharing"",""ชุ"&amp;"มพร!I108"")+IMPORTRANGE(""https://docs.google.com/spreadsheets/d/16pAz3pOhQEZBhvFNMa5KGgZS6iKWpsKX0pg6tQmwFpo/edit?usp=sharing"",""ตรัง!I108"")+IMPORTRANGE(""https://docs.google.com/spreadsheets/d/1Dj4jcHCTV9JXKCaMoheSXS52JE63kDKyG7bPXnFogHk/edit?usp=shar"&amp;"ing"",""นครศรีธรรมราช!I108"")+IMPORTRANGE(""https://docs.google.com/spreadsheets/d/1iodCdmuK2GR3jzUwk8tpccY2JHQQA-87DLOtJP-ooyU/edit?usp=sharing"",""นราธิวาส!I108"")+IMPORTRANGE(""https://docs.google.com/spreadsheets/d/1SDNX3JhDdYRuIOsj0Wh2M-Qa_eaXl0NbWmh"&amp;"AOTbfQAs/edit?usp=sharing"",""ปัตตานี!I108"")+IMPORTRANGE(""https://docs.google.com/spreadsheets/d/16JDLGguT8s5DsGCND1KcwHP_AWR_zDMTqLHPLJUKhaU/edit?usp=sharing"",""พังงา!I108"")+IMPORTRANGE(""https://docs.google.com/spreadsheets/d/17ht0gPKzzT3PObBL1XJkeR"&amp;"mntBXI7wGjpLV7QorqlTk/edit?usp=sharing"",""พัทลุง!I108"")+IMPORTRANGE(""https://docs.google.com/spreadsheets/d/1rd4qoM1q_hsgaolqNGfrim9gbsoLxQsda4-vOz5x_BM/edit?usp=sharing"",""ภูเก็ต!I108"")+IMPORTRANGE(""https://docs.google.com/spreadsheets/d/1woKwKjgoL"&amp;"ssDvPcPeVyezB5izizAn4X1JDrys69n6xI/edit?usp=sharing"",""ยะลา!I108"")+IMPORTRANGE(""https://docs.google.com/spreadsheets/d/1qfrKjzMhm2HJfxQ-qVlJlJQ25Hne1d0khsySbZyGtPA/edit?usp=sharing"",""ระนอง!I108"")+IMPORTRANGE(""https://docs.google.com/spreadsheets/d/"&amp;"1IbSCnFOKpZsnFogBHJnL_isstZVaOMnFiIN0fGTPZZw/edit?usp=sharing"",""สงขลา!I108"")+IMPORTRANGE(""https://docs.google.com/spreadsheets/d/1q9nWasZJ-K8bFGvbE9n0qSRuKGA4Toe3Y89cKCiVtCU/edit?usp=sharing"",""สตูล!I108"")+IMPORTRANGE(""https://docs.google.com/sprea"&amp;"dsheets/d/18T20gbkS_WBjdscyTOV05cvq_JqvqQ17C81mpxf7Ncs/edit?usp=sharing"",""สุราษฎร์ธานี!I108"")"),297)</f>
        <v>297</v>
      </c>
      <c r="J108" s="167">
        <f ca="1">IFERROR(__xludf.DUMMYFUNCTION("IMPORTRANGE(""https://docs.google.com/spreadsheets/d/1kKUcYdkIfrgTSj8iHHHB2MD2FAtwyyocFgqGQn6ADyI/edit?usp=sharing"",""กระบี่!J108"")+IMPORTRANGE(""https://docs.google.com/spreadsheets/d/1GwtLaSlNZkLk7iDqcyZz22giiy40b_usZZBXYciEN1U/edit?usp=sharing"",""ชุ"&amp;"มพร!J108"")+IMPORTRANGE(""https://docs.google.com/spreadsheets/d/16pAz3pOhQEZBhvFNMa5KGgZS6iKWpsKX0pg6tQmwFpo/edit?usp=sharing"",""ตรัง!J108"")+IMPORTRANGE(""https://docs.google.com/spreadsheets/d/1Dj4jcHCTV9JXKCaMoheSXS52JE63kDKyG7bPXnFogHk/edit?usp=shar"&amp;"ing"",""นครศรีธรรมราช!J108"")+IMPORTRANGE(""https://docs.google.com/spreadsheets/d/1iodCdmuK2GR3jzUwk8tpccY2JHQQA-87DLOtJP-ooyU/edit?usp=sharing"",""นราธิวาส!J108"")+IMPORTRANGE(""https://docs.google.com/spreadsheets/d/1SDNX3JhDdYRuIOsj0Wh2M-Qa_eaXl0NbWmh"&amp;"AOTbfQAs/edit?usp=sharing"",""ปัตตานี!J108"")+IMPORTRANGE(""https://docs.google.com/spreadsheets/d/16JDLGguT8s5DsGCND1KcwHP_AWR_zDMTqLHPLJUKhaU/edit?usp=sharing"",""พังงา!J108"")+IMPORTRANGE(""https://docs.google.com/spreadsheets/d/17ht0gPKzzT3PObBL1XJkeR"&amp;"mntBXI7wGjpLV7QorqlTk/edit?usp=sharing"",""พัทลุง!J108"")+IMPORTRANGE(""https://docs.google.com/spreadsheets/d/1rd4qoM1q_hsgaolqNGfrim9gbsoLxQsda4-vOz5x_BM/edit?usp=sharing"",""ภูเก็ต!J108"")+IMPORTRANGE(""https://docs.google.com/spreadsheets/d/1woKwKjgoL"&amp;"ssDvPcPeVyezB5izizAn4X1JDrys69n6xI/edit?usp=sharing"",""ยะลา!J108"")+IMPORTRANGE(""https://docs.google.com/spreadsheets/d/1qfrKjzMhm2HJfxQ-qVlJlJQ25Hne1d0khsySbZyGtPA/edit?usp=sharing"",""ระนอง!J108"")+IMPORTRANGE(""https://docs.google.com/spreadsheets/d/"&amp;"1IbSCnFOKpZsnFogBHJnL_isstZVaOMnFiIN0fGTPZZw/edit?usp=sharing"",""สงขลา!J108"")+IMPORTRANGE(""https://docs.google.com/spreadsheets/d/1q9nWasZJ-K8bFGvbE9n0qSRuKGA4Toe3Y89cKCiVtCU/edit?usp=sharing"",""สตูล!J108"")+IMPORTRANGE(""https://docs.google.com/sprea"&amp;"dsheets/d/18T20gbkS_WBjdscyTOV05cvq_JqvqQ17C81mpxf7Ncs/edit?usp=sharing"",""สุราษฎร์ธานี!J108"")"),237)</f>
        <v>237</v>
      </c>
      <c r="K108" s="47">
        <f t="shared" ref="K108:K109" ca="1" si="87">IF(I108&gt;0,J108*100/I108,0)</f>
        <v>79.797979797979792</v>
      </c>
      <c r="L108" s="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kKUcYdkIfrgTSj8iHHHB2MD2FAtwyyocFgqGQn6ADyI/edit?usp=sharing"",""กระบี่!I109"")+IMPORTRANGE(""https://docs.google.com/spreadsheets/d/1GwtLaSlNZkLk7iDqcyZz22giiy40b_usZZBXYciEN1U/edit?usp=sharing"",""ชุ"&amp;"มพร!I109"")+IMPORTRANGE(""https://docs.google.com/spreadsheets/d/16pAz3pOhQEZBhvFNMa5KGgZS6iKWpsKX0pg6tQmwFpo/edit?usp=sharing"",""ตรัง!I109"")+IMPORTRANGE(""https://docs.google.com/spreadsheets/d/1Dj4jcHCTV9JXKCaMoheSXS52JE63kDKyG7bPXnFogHk/edit?usp=shar"&amp;"ing"",""นครศรีธรรมราช!I109"")+IMPORTRANGE(""https://docs.google.com/spreadsheets/d/1iodCdmuK2GR3jzUwk8tpccY2JHQQA-87DLOtJP-ooyU/edit?usp=sharing"",""นราธิวาส!I109"")+IMPORTRANGE(""https://docs.google.com/spreadsheets/d/1SDNX3JhDdYRuIOsj0Wh2M-Qa_eaXl0NbWmh"&amp;"AOTbfQAs/edit?usp=sharing"",""ปัตตานี!I109"")+IMPORTRANGE(""https://docs.google.com/spreadsheets/d/16JDLGguT8s5DsGCND1KcwHP_AWR_zDMTqLHPLJUKhaU/edit?usp=sharing"",""พังงา!I109"")+IMPORTRANGE(""https://docs.google.com/spreadsheets/d/17ht0gPKzzT3PObBL1XJkeR"&amp;"mntBXI7wGjpLV7QorqlTk/edit?usp=sharing"",""พัทลุง!I109"")+IMPORTRANGE(""https://docs.google.com/spreadsheets/d/1rd4qoM1q_hsgaolqNGfrim9gbsoLxQsda4-vOz5x_BM/edit?usp=sharing"",""ภูเก็ต!I109"")+IMPORTRANGE(""https://docs.google.com/spreadsheets/d/1woKwKjgoL"&amp;"ssDvPcPeVyezB5izizAn4X1JDrys69n6xI/edit?usp=sharing"",""ยะลา!I109"")+IMPORTRANGE(""https://docs.google.com/spreadsheets/d/1qfrKjzMhm2HJfxQ-qVlJlJQ25Hne1d0khsySbZyGtPA/edit?usp=sharing"",""ระนอง!I109"")+IMPORTRANGE(""https://docs.google.com/spreadsheets/d/"&amp;"1IbSCnFOKpZsnFogBHJnL_isstZVaOMnFiIN0fGTPZZw/edit?usp=sharing"",""สงขลา!I109"")+IMPORTRANGE(""https://docs.google.com/spreadsheets/d/1q9nWasZJ-K8bFGvbE9n0qSRuKGA4Toe3Y89cKCiVtCU/edit?usp=sharing"",""สตูล!I109"")+IMPORTRANGE(""https://docs.google.com/sprea"&amp;"dsheets/d/18T20gbkS_WBjdscyTOV05cvq_JqvqQ17C81mpxf7Ncs/edit?usp=sharing"",""สุราษฎร์ธานี!I109"")"),99)</f>
        <v>99</v>
      </c>
      <c r="J109" s="167">
        <f ca="1">IFERROR(__xludf.DUMMYFUNCTION("IMPORTRANGE(""https://docs.google.com/spreadsheets/d/1kKUcYdkIfrgTSj8iHHHB2MD2FAtwyyocFgqGQn6ADyI/edit?usp=sharing"",""กระบี่!J109"")+IMPORTRANGE(""https://docs.google.com/spreadsheets/d/1GwtLaSlNZkLk7iDqcyZz22giiy40b_usZZBXYciEN1U/edit?usp=sharing"",""ชุ"&amp;"มพร!J109"")+IMPORTRANGE(""https://docs.google.com/spreadsheets/d/16pAz3pOhQEZBhvFNMa5KGgZS6iKWpsKX0pg6tQmwFpo/edit?usp=sharing"",""ตรัง!J109"")+IMPORTRANGE(""https://docs.google.com/spreadsheets/d/1Dj4jcHCTV9JXKCaMoheSXS52JE63kDKyG7bPXnFogHk/edit?usp=shar"&amp;"ing"",""นครศรีธรรมราช!J109"")+IMPORTRANGE(""https://docs.google.com/spreadsheets/d/1iodCdmuK2GR3jzUwk8tpccY2JHQQA-87DLOtJP-ooyU/edit?usp=sharing"",""นราธิวาส!J109"")+IMPORTRANGE(""https://docs.google.com/spreadsheets/d/1SDNX3JhDdYRuIOsj0Wh2M-Qa_eaXl0NbWmh"&amp;"AOTbfQAs/edit?usp=sharing"",""ปัตตานี!J109"")+IMPORTRANGE(""https://docs.google.com/spreadsheets/d/16JDLGguT8s5DsGCND1KcwHP_AWR_zDMTqLHPLJUKhaU/edit?usp=sharing"",""พังงา!J109"")+IMPORTRANGE(""https://docs.google.com/spreadsheets/d/17ht0gPKzzT3PObBL1XJkeR"&amp;"mntBXI7wGjpLV7QorqlTk/edit?usp=sharing"",""พัทลุง!J109"")+IMPORTRANGE(""https://docs.google.com/spreadsheets/d/1rd4qoM1q_hsgaolqNGfrim9gbsoLxQsda4-vOz5x_BM/edit?usp=sharing"",""ภูเก็ต!J109"")+IMPORTRANGE(""https://docs.google.com/spreadsheets/d/1woKwKjgoL"&amp;"ssDvPcPeVyezB5izizAn4X1JDrys69n6xI/edit?usp=sharing"",""ยะลา!J109"")+IMPORTRANGE(""https://docs.google.com/spreadsheets/d/1qfrKjzMhm2HJfxQ-qVlJlJQ25Hne1d0khsySbZyGtPA/edit?usp=sharing"",""ระนอง!J109"")+IMPORTRANGE(""https://docs.google.com/spreadsheets/d/"&amp;"1IbSCnFOKpZsnFogBHJnL_isstZVaOMnFiIN0fGTPZZw/edit?usp=sharing"",""สงขลา!J109"")+IMPORTRANGE(""https://docs.google.com/spreadsheets/d/1q9nWasZJ-K8bFGvbE9n0qSRuKGA4Toe3Y89cKCiVtCU/edit?usp=sharing"",""สตูล!J109"")+IMPORTRANGE(""https://docs.google.com/sprea"&amp;"dsheets/d/18T20gbkS_WBjdscyTOV05cvq_JqvqQ17C81mpxf7Ncs/edit?usp=sharing"",""สุราษฎร์ธานี!J109"")"),79)</f>
        <v>79</v>
      </c>
      <c r="K109" s="47">
        <f t="shared" ca="1" si="87"/>
        <v>79.797979797979792</v>
      </c>
      <c r="L109" s="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22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22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64"/>
      <c r="E112" s="19"/>
      <c r="F112" s="19"/>
      <c r="G112" s="20"/>
      <c r="H112" s="20"/>
      <c r="I112" s="21"/>
      <c r="J112" s="21"/>
      <c r="K112" s="22"/>
      <c r="L112" s="22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170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kKUcYdkIfrgTSj8iHHHB2MD2FAtwyyocFgqGQn6ADyI/edit?usp=sharing"",""กระบี่!I113"")+IMPORTRANGE(""https://docs.google.com/spreadsheets/d/1GwtLaSlNZkLk7iDqcyZz22giiy40b_usZZBXYciEN1U/edit?usp=sharing"",""ชุ"&amp;"มพร!I113"")+IMPORTRANGE(""https://docs.google.com/spreadsheets/d/16pAz3pOhQEZBhvFNMa5KGgZS6iKWpsKX0pg6tQmwFpo/edit?usp=sharing"",""ตรัง!I113"")+IMPORTRANGE(""https://docs.google.com/spreadsheets/d/1Dj4jcHCTV9JXKCaMoheSXS52JE63kDKyG7bPXnFogHk/edit?usp=shar"&amp;"ing"",""นครศรีธรรมราช!I113"")+IMPORTRANGE(""https://docs.google.com/spreadsheets/d/1iodCdmuK2GR3jzUwk8tpccY2JHQQA-87DLOtJP-ooyU/edit?usp=sharing"",""นราธิวาส!I113"")+IMPORTRANGE(""https://docs.google.com/spreadsheets/d/1SDNX3JhDdYRuIOsj0Wh2M-Qa_eaXl0NbWmh"&amp;"AOTbfQAs/edit?usp=sharing"",""ปัตตานี!I113"")+IMPORTRANGE(""https://docs.google.com/spreadsheets/d/16JDLGguT8s5DsGCND1KcwHP_AWR_zDMTqLHPLJUKhaU/edit?usp=sharing"",""พังงา!I113"")+IMPORTRANGE(""https://docs.google.com/spreadsheets/d/17ht0gPKzzT3PObBL1XJkeR"&amp;"mntBXI7wGjpLV7QorqlTk/edit?usp=sharing"",""พัทลุง!I113"")+IMPORTRANGE(""https://docs.google.com/spreadsheets/d/1rd4qoM1q_hsgaolqNGfrim9gbsoLxQsda4-vOz5x_BM/edit?usp=sharing"",""ภูเก็ต!I113"")+IMPORTRANGE(""https://docs.google.com/spreadsheets/d/1woKwKjgoL"&amp;"ssDvPcPeVyezB5izizAn4X1JDrys69n6xI/edit?usp=sharing"",""ยะลา!I113"")+IMPORTRANGE(""https://docs.google.com/spreadsheets/d/1qfrKjzMhm2HJfxQ-qVlJlJQ25Hne1d0khsySbZyGtPA/edit?usp=sharing"",""ระนอง!I113"")+IMPORTRANGE(""https://docs.google.com/spreadsheets/d/"&amp;"1IbSCnFOKpZsnFogBHJnL_isstZVaOMnFiIN0fGTPZZw/edit?usp=sharing"",""สงขลา!I113"")+IMPORTRANGE(""https://docs.google.com/spreadsheets/d/1q9nWasZJ-K8bFGvbE9n0qSRuKGA4Toe3Y89cKCiVtCU/edit?usp=sharing"",""สตูล!I113"")+IMPORTRANGE(""https://docs.google.com/sprea"&amp;"dsheets/d/18T20gbkS_WBjdscyTOV05cvq_JqvqQ17C81mpxf7Ncs/edit?usp=sharing"",""สุราษฎร์ธานี!I113"")"),297)</f>
        <v>297</v>
      </c>
      <c r="J113" s="175">
        <f ca="1">IFERROR(__xludf.DUMMYFUNCTION("IMPORTRANGE(""https://docs.google.com/spreadsheets/d/1kKUcYdkIfrgTSj8iHHHB2MD2FAtwyyocFgqGQn6ADyI/edit?usp=sharing"",""กระบี่!J113"")+IMPORTRANGE(""https://docs.google.com/spreadsheets/d/1GwtLaSlNZkLk7iDqcyZz22giiy40b_usZZBXYciEN1U/edit?usp=sharing"",""ชุ"&amp;"มพร!J113"")+IMPORTRANGE(""https://docs.google.com/spreadsheets/d/16pAz3pOhQEZBhvFNMa5KGgZS6iKWpsKX0pg6tQmwFpo/edit?usp=sharing"",""ตรัง!J113"")+IMPORTRANGE(""https://docs.google.com/spreadsheets/d/1Dj4jcHCTV9JXKCaMoheSXS52JE63kDKyG7bPXnFogHk/edit?usp=shar"&amp;"ing"",""นครศรีธรรมราช!J113"")+IMPORTRANGE(""https://docs.google.com/spreadsheets/d/1iodCdmuK2GR3jzUwk8tpccY2JHQQA-87DLOtJP-ooyU/edit?usp=sharing"",""นราธิวาส!J113"")+IMPORTRANGE(""https://docs.google.com/spreadsheets/d/1SDNX3JhDdYRuIOsj0Wh2M-Qa_eaXl0NbWmh"&amp;"AOTbfQAs/edit?usp=sharing"",""ปัตตานี!J113"")+IMPORTRANGE(""https://docs.google.com/spreadsheets/d/16JDLGguT8s5DsGCND1KcwHP_AWR_zDMTqLHPLJUKhaU/edit?usp=sharing"",""พังงา!J113"")+IMPORTRANGE(""https://docs.google.com/spreadsheets/d/17ht0gPKzzT3PObBL1XJkeR"&amp;"mntBXI7wGjpLV7QorqlTk/edit?usp=sharing"",""พัทลุง!J113"")+IMPORTRANGE(""https://docs.google.com/spreadsheets/d/1rd4qoM1q_hsgaolqNGfrim9gbsoLxQsda4-vOz5x_BM/edit?usp=sharing"",""ภูเก็ต!J113"")+IMPORTRANGE(""https://docs.google.com/spreadsheets/d/1woKwKjgoL"&amp;"ssDvPcPeVyezB5izizAn4X1JDrys69n6xI/edit?usp=sharing"",""ยะลา!J113"")+IMPORTRANGE(""https://docs.google.com/spreadsheets/d/1qfrKjzMhm2HJfxQ-qVlJlJQ25Hne1d0khsySbZyGtPA/edit?usp=sharing"",""ระนอง!J113"")+IMPORTRANGE(""https://docs.google.com/spreadsheets/d/"&amp;"1IbSCnFOKpZsnFogBHJnL_isstZVaOMnFiIN0fGTPZZw/edit?usp=sharing"",""สงขลา!J113"")+IMPORTRANGE(""https://docs.google.com/spreadsheets/d/1q9nWasZJ-K8bFGvbE9n0qSRuKGA4Toe3Y89cKCiVtCU/edit?usp=sharing"",""สตูล!J113"")+IMPORTRANGE(""https://docs.google.com/sprea"&amp;"dsheets/d/18T20gbkS_WBjdscyTOV05cvq_JqvqQ17C81mpxf7Ncs/edit?usp=sharing"",""สุราษฎร์ธานี!J113"")"),90)</f>
        <v>90</v>
      </c>
      <c r="K113" s="176">
        <f t="shared" ref="K113:K114" ca="1" si="88">IF(I113&gt;0,J113*100/I113,0)</f>
        <v>30.303030303030305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kKUcYdkIfrgTSj8iHHHB2MD2FAtwyyocFgqGQn6ADyI/edit?usp=sharing"",""กระบี่!I114"")+IMPORTRANGE(""https://docs.google.com/spreadsheets/d/1GwtLaSlNZkLk7iDqcyZz22giiy40b_usZZBXYciEN1U/edit?usp=sharing"",""ชุ"&amp;"มพร!I114"")+IMPORTRANGE(""https://docs.google.com/spreadsheets/d/16pAz3pOhQEZBhvFNMa5KGgZS6iKWpsKX0pg6tQmwFpo/edit?usp=sharing"",""ตรัง!I114"")+IMPORTRANGE(""https://docs.google.com/spreadsheets/d/1Dj4jcHCTV9JXKCaMoheSXS52JE63kDKyG7bPXnFogHk/edit?usp=shar"&amp;"ing"",""นครศรีธรรมราช!I114"")+IMPORTRANGE(""https://docs.google.com/spreadsheets/d/1iodCdmuK2GR3jzUwk8tpccY2JHQQA-87DLOtJP-ooyU/edit?usp=sharing"",""นราธิวาส!I114"")+IMPORTRANGE(""https://docs.google.com/spreadsheets/d/1SDNX3JhDdYRuIOsj0Wh2M-Qa_eaXl0NbWmh"&amp;"AOTbfQAs/edit?usp=sharing"",""ปัตตานี!I114"")+IMPORTRANGE(""https://docs.google.com/spreadsheets/d/16JDLGguT8s5DsGCND1KcwHP_AWR_zDMTqLHPLJUKhaU/edit?usp=sharing"",""พังงา!I114"")+IMPORTRANGE(""https://docs.google.com/spreadsheets/d/17ht0gPKzzT3PObBL1XJkeR"&amp;"mntBXI7wGjpLV7QorqlTk/edit?usp=sharing"",""พัทลุง!I114"")+IMPORTRANGE(""https://docs.google.com/spreadsheets/d/1rd4qoM1q_hsgaolqNGfrim9gbsoLxQsda4-vOz5x_BM/edit?usp=sharing"",""ภูเก็ต!I114"")+IMPORTRANGE(""https://docs.google.com/spreadsheets/d/1woKwKjgoL"&amp;"ssDvPcPeVyezB5izizAn4X1JDrys69n6xI/edit?usp=sharing"",""ยะลา!I114"")+IMPORTRANGE(""https://docs.google.com/spreadsheets/d/1qfrKjzMhm2HJfxQ-qVlJlJQ25Hne1d0khsySbZyGtPA/edit?usp=sharing"",""ระนอง!I114"")+IMPORTRANGE(""https://docs.google.com/spreadsheets/d/"&amp;"1IbSCnFOKpZsnFogBHJnL_isstZVaOMnFiIN0fGTPZZw/edit?usp=sharing"",""สงขลา!I114"")+IMPORTRANGE(""https://docs.google.com/spreadsheets/d/1q9nWasZJ-K8bFGvbE9n0qSRuKGA4Toe3Y89cKCiVtCU/edit?usp=sharing"",""สตูล!I114"")+IMPORTRANGE(""https://docs.google.com/sprea"&amp;"dsheets/d/18T20gbkS_WBjdscyTOV05cvq_JqvqQ17C81mpxf7Ncs/edit?usp=sharing"",""สุราษฎร์ธานี!I114"")"),99)</f>
        <v>99</v>
      </c>
      <c r="J114" s="167">
        <f ca="1">IFERROR(__xludf.DUMMYFUNCTION("IMPORTRANGE(""https://docs.google.com/spreadsheets/d/1kKUcYdkIfrgTSj8iHHHB2MD2FAtwyyocFgqGQn6ADyI/edit?usp=sharing"",""กระบี่!J114"")+IMPORTRANGE(""https://docs.google.com/spreadsheets/d/1GwtLaSlNZkLk7iDqcyZz22giiy40b_usZZBXYciEN1U/edit?usp=sharing"",""ชุ"&amp;"มพร!J114"")+IMPORTRANGE(""https://docs.google.com/spreadsheets/d/16pAz3pOhQEZBhvFNMa5KGgZS6iKWpsKX0pg6tQmwFpo/edit?usp=sharing"",""ตรัง!J114"")+IMPORTRANGE(""https://docs.google.com/spreadsheets/d/1Dj4jcHCTV9JXKCaMoheSXS52JE63kDKyG7bPXnFogHk/edit?usp=shar"&amp;"ing"",""นครศรีธรรมราช!J114"")+IMPORTRANGE(""https://docs.google.com/spreadsheets/d/1iodCdmuK2GR3jzUwk8tpccY2JHQQA-87DLOtJP-ooyU/edit?usp=sharing"",""นราธิวาส!J114"")+IMPORTRANGE(""https://docs.google.com/spreadsheets/d/1SDNX3JhDdYRuIOsj0Wh2M-Qa_eaXl0NbWmh"&amp;"AOTbfQAs/edit?usp=sharing"",""ปัตตานี!J114"")+IMPORTRANGE(""https://docs.google.com/spreadsheets/d/16JDLGguT8s5DsGCND1KcwHP_AWR_zDMTqLHPLJUKhaU/edit?usp=sharing"",""พังงา!J114"")+IMPORTRANGE(""https://docs.google.com/spreadsheets/d/17ht0gPKzzT3PObBL1XJkeR"&amp;"mntBXI7wGjpLV7QorqlTk/edit?usp=sharing"",""พัทลุง!J114"")+IMPORTRANGE(""https://docs.google.com/spreadsheets/d/1rd4qoM1q_hsgaolqNGfrim9gbsoLxQsda4-vOz5x_BM/edit?usp=sharing"",""ภูเก็ต!J114"")+IMPORTRANGE(""https://docs.google.com/spreadsheets/d/1woKwKjgoL"&amp;"ssDvPcPeVyezB5izizAn4X1JDrys69n6xI/edit?usp=sharing"",""ยะลา!J114"")+IMPORTRANGE(""https://docs.google.com/spreadsheets/d/1qfrKjzMhm2HJfxQ-qVlJlJQ25Hne1d0khsySbZyGtPA/edit?usp=sharing"",""ระนอง!J114"")+IMPORTRANGE(""https://docs.google.com/spreadsheets/d/"&amp;"1IbSCnFOKpZsnFogBHJnL_isstZVaOMnFiIN0fGTPZZw/edit?usp=sharing"",""สงขลา!J114"")+IMPORTRANGE(""https://docs.google.com/spreadsheets/d/1q9nWasZJ-K8bFGvbE9n0qSRuKGA4Toe3Y89cKCiVtCU/edit?usp=sharing"",""สตูล!J114"")+IMPORTRANGE(""https://docs.google.com/sprea"&amp;"dsheets/d/18T20gbkS_WBjdscyTOV05cvq_JqvqQ17C81mpxf7Ncs/edit?usp=sharing"",""สุราษฎร์ธานี!J114"")"),30)</f>
        <v>30</v>
      </c>
      <c r="K114" s="47">
        <f t="shared" ca="1" si="88"/>
        <v>30.303030303030305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118" t="s">
        <v>51</v>
      </c>
      <c r="B115" s="120"/>
      <c r="C115" s="179"/>
      <c r="D115" s="119"/>
      <c r="E115" s="119"/>
      <c r="F115" s="119"/>
      <c r="G115" s="119"/>
      <c r="H115" s="120"/>
      <c r="I115" s="180"/>
      <c r="J115" s="180"/>
      <c r="K115" s="181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t="shared" ref="I116:J116" ca="1" si="89">I127</f>
        <v>255</v>
      </c>
      <c r="J116" s="127">
        <f t="shared" ca="1" si="89"/>
        <v>210</v>
      </c>
      <c r="K116" s="35">
        <f ca="1">IF(I116&gt;0,J116*100/I116,0)</f>
        <v>82.352941176470594</v>
      </c>
      <c r="L116" s="34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162" t="s">
        <v>18</v>
      </c>
      <c r="D117" s="130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132">
        <f t="shared" ref="L117:N117" ca="1" si="90">L118+L119</f>
        <v>351900</v>
      </c>
      <c r="M117" s="132">
        <f t="shared" ca="1" si="90"/>
        <v>351900</v>
      </c>
      <c r="N117" s="132">
        <f t="shared" ca="1" si="90"/>
        <v>0</v>
      </c>
      <c r="O117" s="132">
        <f t="shared" ref="O117:O125" ca="1" si="91">IF(L117&gt;0,N117*100/L117,0)</f>
        <v>0</v>
      </c>
      <c r="P117" s="132">
        <f t="shared" ref="P117:P125" ca="1" si="92">IF(M117&gt;0,N117*100/M117,0)</f>
        <v>0</v>
      </c>
      <c r="Q117" s="132">
        <f t="shared" ref="Q117:S117" ca="1" si="93">Q118+Q119</f>
        <v>6161560</v>
      </c>
      <c r="R117" s="132">
        <f t="shared" ca="1" si="93"/>
        <v>6239110</v>
      </c>
      <c r="S117" s="132">
        <f t="shared" ca="1" si="93"/>
        <v>1564380.8599999901</v>
      </c>
      <c r="T117" s="132">
        <f t="shared" ref="T117:T125" ca="1" si="94">IF(Q117&gt;0,S117*100/Q117,0)</f>
        <v>25.389363407967952</v>
      </c>
      <c r="U117" s="132">
        <f t="shared" ref="U117:U125" ca="1" si="95">IF(R117&gt;0,S117*100/R117,0)</f>
        <v>25.073782318311267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49">
        <f t="shared" ref="L118:N118" ca="1" si="96">L121+L124</f>
        <v>0</v>
      </c>
      <c r="M118" s="49">
        <f t="shared" ca="1" si="96"/>
        <v>0</v>
      </c>
      <c r="N118" s="49">
        <f t="shared" ca="1" si="96"/>
        <v>0</v>
      </c>
      <c r="O118" s="49">
        <f t="shared" ca="1" si="91"/>
        <v>0</v>
      </c>
      <c r="P118" s="49">
        <f t="shared" ca="1" si="92"/>
        <v>0</v>
      </c>
      <c r="Q118" s="49">
        <f t="shared" ref="Q118:S118" ca="1" si="97">Q121+Q124</f>
        <v>0</v>
      </c>
      <c r="R118" s="49">
        <f t="shared" ca="1" si="97"/>
        <v>0</v>
      </c>
      <c r="S118" s="49">
        <f t="shared" ca="1" si="97"/>
        <v>0</v>
      </c>
      <c r="T118" s="49">
        <f t="shared" ca="1" si="94"/>
        <v>0</v>
      </c>
      <c r="U118" s="49">
        <f t="shared" ca="1" si="95"/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47">
        <f t="shared" ref="L119:N119" ca="1" si="98">L122+L125</f>
        <v>351900</v>
      </c>
      <c r="M119" s="47">
        <f t="shared" ca="1" si="98"/>
        <v>351900</v>
      </c>
      <c r="N119" s="47">
        <f t="shared" ca="1" si="98"/>
        <v>0</v>
      </c>
      <c r="O119" s="47">
        <f t="shared" ca="1" si="91"/>
        <v>0</v>
      </c>
      <c r="P119" s="47">
        <f t="shared" ca="1" si="92"/>
        <v>0</v>
      </c>
      <c r="Q119" s="47">
        <f t="shared" ref="Q119:S119" ca="1" si="99">Q122+Q125</f>
        <v>6161560</v>
      </c>
      <c r="R119" s="47">
        <f t="shared" ca="1" si="99"/>
        <v>6239110</v>
      </c>
      <c r="S119" s="47">
        <f t="shared" ca="1" si="99"/>
        <v>1564380.8599999901</v>
      </c>
      <c r="T119" s="47">
        <f t="shared" ca="1" si="94"/>
        <v>25.389363407967952</v>
      </c>
      <c r="U119" s="47">
        <f t="shared" ca="1" si="95"/>
        <v>25.073782318311267</v>
      </c>
    </row>
    <row r="120" spans="1:21" ht="18.75" x14ac:dyDescent="0.25">
      <c r="A120" s="128"/>
      <c r="B120" s="159"/>
      <c r="C120" s="185"/>
      <c r="D120" s="161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47">
        <f t="shared" ref="L120:N120" ca="1" si="100">L121+L122</f>
        <v>0</v>
      </c>
      <c r="M120" s="47">
        <f t="shared" ca="1" si="100"/>
        <v>0</v>
      </c>
      <c r="N120" s="47">
        <f t="shared" ca="1" si="100"/>
        <v>0</v>
      </c>
      <c r="O120" s="47">
        <f t="shared" ca="1" si="91"/>
        <v>0</v>
      </c>
      <c r="P120" s="47">
        <f t="shared" ca="1" si="92"/>
        <v>0</v>
      </c>
      <c r="Q120" s="47">
        <f t="shared" ref="Q120:S120" ca="1" si="101">Q121+Q122</f>
        <v>2811560</v>
      </c>
      <c r="R120" s="47">
        <f t="shared" ca="1" si="101"/>
        <v>2889110</v>
      </c>
      <c r="S120" s="47">
        <f t="shared" ca="1" si="101"/>
        <v>1564380.8599999901</v>
      </c>
      <c r="T120" s="47">
        <f t="shared" ca="1" si="94"/>
        <v>55.641027045483298</v>
      </c>
      <c r="U120" s="47">
        <f t="shared" ca="1" si="95"/>
        <v>54.147500787439391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49">
        <f ca="1">IFERROR(__xludf.DUMMYFUNCTION("IMPORTRANGE(""https://docs.google.com/spreadsheets/d/1kKUcYdkIfrgTSj8iHHHB2MD2FAtwyyocFgqGQn6ADyI/edit?usp=sharing"",""กระบี่!L121"")+IMPORTRANGE(""https://docs.google.com/spreadsheets/d/1GwtLaSlNZkLk7iDqcyZz22giiy40b_usZZBXYciEN1U/edit?usp=sharing"",""ชุ"&amp;"มพร!L121"")+IMPORTRANGE(""https://docs.google.com/spreadsheets/d/16pAz3pOhQEZBhvFNMa5KGgZS6iKWpsKX0pg6tQmwFpo/edit?usp=sharing"",""ตรัง!L121"")+IMPORTRANGE(""https://docs.google.com/spreadsheets/d/1Dj4jcHCTV9JXKCaMoheSXS52JE63kDKyG7bPXnFogHk/edit?usp=shar"&amp;"ing"",""นครศรีธรรมราช!L121"")+IMPORTRANGE(""https://docs.google.com/spreadsheets/d/1iodCdmuK2GR3jzUwk8tpccY2JHQQA-87DLOtJP-ooyU/edit?usp=sharing"",""นราธิวาส!L121"")+IMPORTRANGE(""https://docs.google.com/spreadsheets/d/1SDNX3JhDdYRuIOsj0Wh2M-Qa_eaXl0NbWmh"&amp;"AOTbfQAs/edit?usp=sharing"",""ปัตตานี!L121"")+IMPORTRANGE(""https://docs.google.com/spreadsheets/d/16JDLGguT8s5DsGCND1KcwHP_AWR_zDMTqLHPLJUKhaU/edit?usp=sharing"",""พังงา!L121"")+IMPORTRANGE(""https://docs.google.com/spreadsheets/d/17ht0gPKzzT3PObBL1XJkeR"&amp;"mntBXI7wGjpLV7QorqlTk/edit?usp=sharing"",""พัทลุง!L121"")+IMPORTRANGE(""https://docs.google.com/spreadsheets/d/1rd4qoM1q_hsgaolqNGfrim9gbsoLxQsda4-vOz5x_BM/edit?usp=sharing"",""ภูเก็ต!L121"")+IMPORTRANGE(""https://docs.google.com/spreadsheets/d/1woKwKjgoL"&amp;"ssDvPcPeVyezB5izizAn4X1JDrys69n6xI/edit?usp=sharing"",""ยะลา!L121"")+IMPORTRANGE(""https://docs.google.com/spreadsheets/d/1qfrKjzMhm2HJfxQ-qVlJlJQ25Hne1d0khsySbZyGtPA/edit?usp=sharing"",""ระนอง!L121"")+IMPORTRANGE(""https://docs.google.com/spreadsheets/d/"&amp;"1IbSCnFOKpZsnFogBHJnL_isstZVaOMnFiIN0fGTPZZw/edit?usp=sharing"",""สงขลา!L121"")+IMPORTRANGE(""https://docs.google.com/spreadsheets/d/1q9nWasZJ-K8bFGvbE9n0qSRuKGA4Toe3Y89cKCiVtCU/edit?usp=sharing"",""สตูล!L121"")+IMPORTRANGE(""https://docs.google.com/sprea"&amp;"dsheets/d/18T20gbkS_WBjdscyTOV05cvq_JqvqQ17C81mpxf7Ncs/edit?usp=sharing"",""สุราษฎร์ธานี!L121"")"),0)</f>
        <v>0</v>
      </c>
      <c r="M121" s="49">
        <f ca="1">IFERROR(__xludf.DUMMYFUNCTION("IMPORTRANGE(""https://docs.google.com/spreadsheets/d/1kKUcYdkIfrgTSj8iHHHB2MD2FAtwyyocFgqGQn6ADyI/edit?usp=sharing"",""กระบี่!M121"")+IMPORTRANGE(""https://docs.google.com/spreadsheets/d/1GwtLaSlNZkLk7iDqcyZz22giiy40b_usZZBXYciEN1U/edit?usp=sharing"",""ชุ"&amp;"มพร!M121"")+IMPORTRANGE(""https://docs.google.com/spreadsheets/d/16pAz3pOhQEZBhvFNMa5KGgZS6iKWpsKX0pg6tQmwFpo/edit?usp=sharing"",""ตรัง!M121"")+IMPORTRANGE(""https://docs.google.com/spreadsheets/d/1Dj4jcHCTV9JXKCaMoheSXS52JE63kDKyG7bPXnFogHk/edit?usp=shar"&amp;"ing"",""นครศรีธรรมราช!M121"")+IMPORTRANGE(""https://docs.google.com/spreadsheets/d/1iodCdmuK2GR3jzUwk8tpccY2JHQQA-87DLOtJP-ooyU/edit?usp=sharing"",""นราธิวาส!M121"")+IMPORTRANGE(""https://docs.google.com/spreadsheets/d/1SDNX3JhDdYRuIOsj0Wh2M-Qa_eaXl0NbWmh"&amp;"AOTbfQAs/edit?usp=sharing"",""ปัตตานี!M121"")+IMPORTRANGE(""https://docs.google.com/spreadsheets/d/16JDLGguT8s5DsGCND1KcwHP_AWR_zDMTqLHPLJUKhaU/edit?usp=sharing"",""พังงา!M121"")+IMPORTRANGE(""https://docs.google.com/spreadsheets/d/17ht0gPKzzT3PObBL1XJkeR"&amp;"mntBXI7wGjpLV7QorqlTk/edit?usp=sharing"",""พัทลุง!M121"")+IMPORTRANGE(""https://docs.google.com/spreadsheets/d/1rd4qoM1q_hsgaolqNGfrim9gbsoLxQsda4-vOz5x_BM/edit?usp=sharing"",""ภูเก็ต!M121"")+IMPORTRANGE(""https://docs.google.com/spreadsheets/d/1woKwKjgoL"&amp;"ssDvPcPeVyezB5izizAn4X1JDrys69n6xI/edit?usp=sharing"",""ยะลา!M121"")+IMPORTRANGE(""https://docs.google.com/spreadsheets/d/1qfrKjzMhm2HJfxQ-qVlJlJQ25Hne1d0khsySbZyGtPA/edit?usp=sharing"",""ระนอง!M121"")+IMPORTRANGE(""https://docs.google.com/spreadsheets/d/"&amp;"1IbSCnFOKpZsnFogBHJnL_isstZVaOMnFiIN0fGTPZZw/edit?usp=sharing"",""สงขลา!M121"")+IMPORTRANGE(""https://docs.google.com/spreadsheets/d/1q9nWasZJ-K8bFGvbE9n0qSRuKGA4Toe3Y89cKCiVtCU/edit?usp=sharing"",""สตูล!M121"")+IMPORTRANGE(""https://docs.google.com/sprea"&amp;"dsheets/d/18T20gbkS_WBjdscyTOV05cvq_JqvqQ17C81mpxf7Ncs/edit?usp=sharing"",""สุราษฎร์ธานี!M121"")"),0)</f>
        <v>0</v>
      </c>
      <c r="N121" s="49">
        <f ca="1">IFERROR(__xludf.DUMMYFUNCTION("IMPORTRANGE(""https://docs.google.com/spreadsheets/d/1kKUcYdkIfrgTSj8iHHHB2MD2FAtwyyocFgqGQn6ADyI/edit?usp=sharing"",""กระบี่!N121"")+IMPORTRANGE(""https://docs.google.com/spreadsheets/d/1GwtLaSlNZkLk7iDqcyZz22giiy40b_usZZBXYciEN1U/edit?usp=sharing"",""ชุ"&amp;"มพร!N121"")+IMPORTRANGE(""https://docs.google.com/spreadsheets/d/16pAz3pOhQEZBhvFNMa5KGgZS6iKWpsKX0pg6tQmwFpo/edit?usp=sharing"",""ตรัง!N121"")+IMPORTRANGE(""https://docs.google.com/spreadsheets/d/1Dj4jcHCTV9JXKCaMoheSXS52JE63kDKyG7bPXnFogHk/edit?usp=shar"&amp;"ing"",""นครศรีธรรมราช!N121"")+IMPORTRANGE(""https://docs.google.com/spreadsheets/d/1iodCdmuK2GR3jzUwk8tpccY2JHQQA-87DLOtJP-ooyU/edit?usp=sharing"",""นราธิวาส!N121"")+IMPORTRANGE(""https://docs.google.com/spreadsheets/d/1SDNX3JhDdYRuIOsj0Wh2M-Qa_eaXl0NbWmh"&amp;"AOTbfQAs/edit?usp=sharing"",""ปัตตานี!N121"")+IMPORTRANGE(""https://docs.google.com/spreadsheets/d/16JDLGguT8s5DsGCND1KcwHP_AWR_zDMTqLHPLJUKhaU/edit?usp=sharing"",""พังงา!N121"")+IMPORTRANGE(""https://docs.google.com/spreadsheets/d/17ht0gPKzzT3PObBL1XJkeR"&amp;"mntBXI7wGjpLV7QorqlTk/edit?usp=sharing"",""พัทลุง!N121"")+IMPORTRANGE(""https://docs.google.com/spreadsheets/d/1rd4qoM1q_hsgaolqNGfrim9gbsoLxQsda4-vOz5x_BM/edit?usp=sharing"",""ภูเก็ต!N121"")+IMPORTRANGE(""https://docs.google.com/spreadsheets/d/1woKwKjgoL"&amp;"ssDvPcPeVyezB5izizAn4X1JDrys69n6xI/edit?usp=sharing"",""ยะลา!N121"")+IMPORTRANGE(""https://docs.google.com/spreadsheets/d/1qfrKjzMhm2HJfxQ-qVlJlJQ25Hne1d0khsySbZyGtPA/edit?usp=sharing"",""ระนอง!N121"")+IMPORTRANGE(""https://docs.google.com/spreadsheets/d/"&amp;"1IbSCnFOKpZsnFogBHJnL_isstZVaOMnFiIN0fGTPZZw/edit?usp=sharing"",""สงขลา!N121"")+IMPORTRANGE(""https://docs.google.com/spreadsheets/d/1q9nWasZJ-K8bFGvbE9n0qSRuKGA4Toe3Y89cKCiVtCU/edit?usp=sharing"",""สตูล!N121"")+IMPORTRANGE(""https://docs.google.com/sprea"&amp;"dsheets/d/18T20gbkS_WBjdscyTOV05cvq_JqvqQ17C81mpxf7Ncs/edit?usp=sharing"",""สุราษฎร์ธานี!N121"")"),0)</f>
        <v>0</v>
      </c>
      <c r="O121" s="49">
        <f t="shared" ca="1" si="91"/>
        <v>0</v>
      </c>
      <c r="P121" s="49">
        <f t="shared" ca="1" si="92"/>
        <v>0</v>
      </c>
      <c r="Q121" s="49">
        <f ca="1">IFERROR(__xludf.DUMMYFUNCTION("IMPORTRANGE(""https://docs.google.com/spreadsheets/d/1kKUcYdkIfrgTSj8iHHHB2MD2FAtwyyocFgqGQn6ADyI/edit?usp=sharing"",""กระบี่!Q121"")+IMPORTRANGE(""https://docs.google.com/spreadsheets/d/1GwtLaSlNZkLk7iDqcyZz22giiy40b_usZZBXYciEN1U/edit?usp=sharing"",""ชุ"&amp;"มพร!Q121"")+IMPORTRANGE(""https://docs.google.com/spreadsheets/d/16pAz3pOhQEZBhvFNMa5KGgZS6iKWpsKX0pg6tQmwFpo/edit?usp=sharing"",""ตรัง!Q121"")+IMPORTRANGE(""https://docs.google.com/spreadsheets/d/1Dj4jcHCTV9JXKCaMoheSXS52JE63kDKyG7bPXnFogHk/edit?usp=shar"&amp;"ing"",""นครศรีธรรมราช!Q121"")+IMPORTRANGE(""https://docs.google.com/spreadsheets/d/1iodCdmuK2GR3jzUwk8tpccY2JHQQA-87DLOtJP-ooyU/edit?usp=sharing"",""นราธิวาส!Q121"")+IMPORTRANGE(""https://docs.google.com/spreadsheets/d/1SDNX3JhDdYRuIOsj0Wh2M-Qa_eaXl0NbWmh"&amp;"AOTbfQAs/edit?usp=sharing"",""ปัตตานี!Q121"")+IMPORTRANGE(""https://docs.google.com/spreadsheets/d/16JDLGguT8s5DsGCND1KcwHP_AWR_zDMTqLHPLJUKhaU/edit?usp=sharing"",""พังงา!Q121"")+IMPORTRANGE(""https://docs.google.com/spreadsheets/d/17ht0gPKzzT3PObBL1XJkeR"&amp;"mntBXI7wGjpLV7QorqlTk/edit?usp=sharing"",""พัทลุง!Q121"")+IMPORTRANGE(""https://docs.google.com/spreadsheets/d/1rd4qoM1q_hsgaolqNGfrim9gbsoLxQsda4-vOz5x_BM/edit?usp=sharing"",""ภูเก็ต!Q121"")+IMPORTRANGE(""https://docs.google.com/spreadsheets/d/1woKwKjgoL"&amp;"ssDvPcPeVyezB5izizAn4X1JDrys69n6xI/edit?usp=sharing"",""ยะลา!Q121"")+IMPORTRANGE(""https://docs.google.com/spreadsheets/d/1qfrKjzMhm2HJfxQ-qVlJlJQ25Hne1d0khsySbZyGtPA/edit?usp=sharing"",""ระนอง!Q121"")+IMPORTRANGE(""https://docs.google.com/spreadsheets/d/"&amp;"1IbSCnFOKpZsnFogBHJnL_isstZVaOMnFiIN0fGTPZZw/edit?usp=sharing"",""สงขลา!Q121"")+IMPORTRANGE(""https://docs.google.com/spreadsheets/d/1q9nWasZJ-K8bFGvbE9n0qSRuKGA4Toe3Y89cKCiVtCU/edit?usp=sharing"",""สตูล!Q121"")+IMPORTRANGE(""https://docs.google.com/sprea"&amp;"dsheets/d/18T20gbkS_WBjdscyTOV05cvq_JqvqQ17C81mpxf7Ncs/edit?usp=sharing"",""สุราษฎร์ธานี!Q121"")"),0)</f>
        <v>0</v>
      </c>
      <c r="R121" s="49">
        <f ca="1">IFERROR(__xludf.DUMMYFUNCTION("IMPORTRANGE(""https://docs.google.com/spreadsheets/d/1kKUcYdkIfrgTSj8iHHHB2MD2FAtwyyocFgqGQn6ADyI/edit?usp=sharing"",""กระบี่!R121"")+IMPORTRANGE(""https://docs.google.com/spreadsheets/d/1GwtLaSlNZkLk7iDqcyZz22giiy40b_usZZBXYciEN1U/edit?usp=sharing"",""ชุ"&amp;"มพร!R121"")+IMPORTRANGE(""https://docs.google.com/spreadsheets/d/16pAz3pOhQEZBhvFNMa5KGgZS6iKWpsKX0pg6tQmwFpo/edit?usp=sharing"",""ตรัง!R121"")+IMPORTRANGE(""https://docs.google.com/spreadsheets/d/1Dj4jcHCTV9JXKCaMoheSXS52JE63kDKyG7bPXnFogHk/edit?usp=shar"&amp;"ing"",""นครศรีธรรมราช!R121"")+IMPORTRANGE(""https://docs.google.com/spreadsheets/d/1iodCdmuK2GR3jzUwk8tpccY2JHQQA-87DLOtJP-ooyU/edit?usp=sharing"",""นราธิวาส!R121"")+IMPORTRANGE(""https://docs.google.com/spreadsheets/d/1SDNX3JhDdYRuIOsj0Wh2M-Qa_eaXl0NbWmh"&amp;"AOTbfQAs/edit?usp=sharing"",""ปัตตานี!R121"")+IMPORTRANGE(""https://docs.google.com/spreadsheets/d/16JDLGguT8s5DsGCND1KcwHP_AWR_zDMTqLHPLJUKhaU/edit?usp=sharing"",""พังงา!R121"")+IMPORTRANGE(""https://docs.google.com/spreadsheets/d/17ht0gPKzzT3PObBL1XJkeR"&amp;"mntBXI7wGjpLV7QorqlTk/edit?usp=sharing"",""พัทลุง!R121"")+IMPORTRANGE(""https://docs.google.com/spreadsheets/d/1rd4qoM1q_hsgaolqNGfrim9gbsoLxQsda4-vOz5x_BM/edit?usp=sharing"",""ภูเก็ต!R121"")+IMPORTRANGE(""https://docs.google.com/spreadsheets/d/1woKwKjgoL"&amp;"ssDvPcPeVyezB5izizAn4X1JDrys69n6xI/edit?usp=sharing"",""ยะลา!R121"")+IMPORTRANGE(""https://docs.google.com/spreadsheets/d/1qfrKjzMhm2HJfxQ-qVlJlJQ25Hne1d0khsySbZyGtPA/edit?usp=sharing"",""ระนอง!R121"")+IMPORTRANGE(""https://docs.google.com/spreadsheets/d/"&amp;"1IbSCnFOKpZsnFogBHJnL_isstZVaOMnFiIN0fGTPZZw/edit?usp=sharing"",""สงขลา!R121"")+IMPORTRANGE(""https://docs.google.com/spreadsheets/d/1q9nWasZJ-K8bFGvbE9n0qSRuKGA4Toe3Y89cKCiVtCU/edit?usp=sharing"",""สตูล!R121"")+IMPORTRANGE(""https://docs.google.com/sprea"&amp;"dsheets/d/18T20gbkS_WBjdscyTOV05cvq_JqvqQ17C81mpxf7Ncs/edit?usp=sharing"",""สุราษฎร์ธานี!R121"")"),0)</f>
        <v>0</v>
      </c>
      <c r="S121" s="49">
        <f ca="1">IFERROR(__xludf.DUMMYFUNCTION("IMPORTRANGE(""https://docs.google.com/spreadsheets/d/1kKUcYdkIfrgTSj8iHHHB2MD2FAtwyyocFgqGQn6ADyI/edit?usp=sharing"",""กระบี่!S121"")+IMPORTRANGE(""https://docs.google.com/spreadsheets/d/1GwtLaSlNZkLk7iDqcyZz22giiy40b_usZZBXYciEN1U/edit?usp=sharing"",""ชุ"&amp;"มพร!S121"")+IMPORTRANGE(""https://docs.google.com/spreadsheets/d/16pAz3pOhQEZBhvFNMa5KGgZS6iKWpsKX0pg6tQmwFpo/edit?usp=sharing"",""ตรัง!S121"")+IMPORTRANGE(""https://docs.google.com/spreadsheets/d/1Dj4jcHCTV9JXKCaMoheSXS52JE63kDKyG7bPXnFogHk/edit?usp=shar"&amp;"ing"",""นครศรีธรรมราช!S121"")+IMPORTRANGE(""https://docs.google.com/spreadsheets/d/1iodCdmuK2GR3jzUwk8tpccY2JHQQA-87DLOtJP-ooyU/edit?usp=sharing"",""นราธิวาส!S121"")+IMPORTRANGE(""https://docs.google.com/spreadsheets/d/1SDNX3JhDdYRuIOsj0Wh2M-Qa_eaXl0NbWmh"&amp;"AOTbfQAs/edit?usp=sharing"",""ปัตตานี!S121"")+IMPORTRANGE(""https://docs.google.com/spreadsheets/d/16JDLGguT8s5DsGCND1KcwHP_AWR_zDMTqLHPLJUKhaU/edit?usp=sharing"",""พังงา!S121"")+IMPORTRANGE(""https://docs.google.com/spreadsheets/d/17ht0gPKzzT3PObBL1XJkeR"&amp;"mntBXI7wGjpLV7QorqlTk/edit?usp=sharing"",""พัทลุง!S121"")+IMPORTRANGE(""https://docs.google.com/spreadsheets/d/1rd4qoM1q_hsgaolqNGfrim9gbsoLxQsda4-vOz5x_BM/edit?usp=sharing"",""ภูเก็ต!S121"")+IMPORTRANGE(""https://docs.google.com/spreadsheets/d/1woKwKjgoL"&amp;"ssDvPcPeVyezB5izizAn4X1JDrys69n6xI/edit?usp=sharing"",""ยะลา!S121"")+IMPORTRANGE(""https://docs.google.com/spreadsheets/d/1qfrKjzMhm2HJfxQ-qVlJlJQ25Hne1d0khsySbZyGtPA/edit?usp=sharing"",""ระนอง!S121"")+IMPORTRANGE(""https://docs.google.com/spreadsheets/d/"&amp;"1IbSCnFOKpZsnFogBHJnL_isstZVaOMnFiIN0fGTPZZw/edit?usp=sharing"",""สงขลา!S121"")+IMPORTRANGE(""https://docs.google.com/spreadsheets/d/1q9nWasZJ-K8bFGvbE9n0qSRuKGA4Toe3Y89cKCiVtCU/edit?usp=sharing"",""สตูล!S121"")+IMPORTRANGE(""https://docs.google.com/sprea"&amp;"dsheets/d/18T20gbkS_WBjdscyTOV05cvq_JqvqQ17C81mpxf7Ncs/edit?usp=sharing"",""สุราษฎร์ธานี!S121"")"),0)</f>
        <v>0</v>
      </c>
      <c r="T121" s="49">
        <f t="shared" ca="1" si="94"/>
        <v>0</v>
      </c>
      <c r="U121" s="49">
        <f t="shared" ca="1" si="95"/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47">
        <f ca="1">IFERROR(__xludf.DUMMYFUNCTION("IMPORTRANGE(""https://docs.google.com/spreadsheets/d/1kKUcYdkIfrgTSj8iHHHB2MD2FAtwyyocFgqGQn6ADyI/edit?usp=sharing"",""กระบี่!L122"")+IMPORTRANGE(""https://docs.google.com/spreadsheets/d/1GwtLaSlNZkLk7iDqcyZz22giiy40b_usZZBXYciEN1U/edit?usp=sharing"",""ชุ"&amp;"มพร!L122"")+IMPORTRANGE(""https://docs.google.com/spreadsheets/d/16pAz3pOhQEZBhvFNMa5KGgZS6iKWpsKX0pg6tQmwFpo/edit?usp=sharing"",""ตรัง!L122"")+IMPORTRANGE(""https://docs.google.com/spreadsheets/d/1Dj4jcHCTV9JXKCaMoheSXS52JE63kDKyG7bPXnFogHk/edit?usp=shar"&amp;"ing"",""นครศรีธรรมราช!L122"")+IMPORTRANGE(""https://docs.google.com/spreadsheets/d/1iodCdmuK2GR3jzUwk8tpccY2JHQQA-87DLOtJP-ooyU/edit?usp=sharing"",""นราธิวาส!L122"")+IMPORTRANGE(""https://docs.google.com/spreadsheets/d/1SDNX3JhDdYRuIOsj0Wh2M-Qa_eaXl0NbWmh"&amp;"AOTbfQAs/edit?usp=sharing"",""ปัตตานี!L122"")+IMPORTRANGE(""https://docs.google.com/spreadsheets/d/16JDLGguT8s5DsGCND1KcwHP_AWR_zDMTqLHPLJUKhaU/edit?usp=sharing"",""พังงา!L122"")+IMPORTRANGE(""https://docs.google.com/spreadsheets/d/17ht0gPKzzT3PObBL1XJkeR"&amp;"mntBXI7wGjpLV7QorqlTk/edit?usp=sharing"",""พัทลุง!L122"")+IMPORTRANGE(""https://docs.google.com/spreadsheets/d/1rd4qoM1q_hsgaolqNGfrim9gbsoLxQsda4-vOz5x_BM/edit?usp=sharing"",""ภูเก็ต!L122"")+IMPORTRANGE(""https://docs.google.com/spreadsheets/d/1woKwKjgoL"&amp;"ssDvPcPeVyezB5izizAn4X1JDrys69n6xI/edit?usp=sharing"",""ยะลา!L122"")+IMPORTRANGE(""https://docs.google.com/spreadsheets/d/1qfrKjzMhm2HJfxQ-qVlJlJQ25Hne1d0khsySbZyGtPA/edit?usp=sharing"",""ระนอง!L122"")+IMPORTRANGE(""https://docs.google.com/spreadsheets/d/"&amp;"1IbSCnFOKpZsnFogBHJnL_isstZVaOMnFiIN0fGTPZZw/edit?usp=sharing"",""สงขลา!L122"")+IMPORTRANGE(""https://docs.google.com/spreadsheets/d/1q9nWasZJ-K8bFGvbE9n0qSRuKGA4Toe3Y89cKCiVtCU/edit?usp=sharing"",""สตูล!L122"")+IMPORTRANGE(""https://docs.google.com/sprea"&amp;"dsheets/d/18T20gbkS_WBjdscyTOV05cvq_JqvqQ17C81mpxf7Ncs/edit?usp=sharing"",""สุราษฎร์ธานี!L122"")"),0)</f>
        <v>0</v>
      </c>
      <c r="M122" s="47">
        <f ca="1">IFERROR(__xludf.DUMMYFUNCTION("IMPORTRANGE(""https://docs.google.com/spreadsheets/d/1kKUcYdkIfrgTSj8iHHHB2MD2FAtwyyocFgqGQn6ADyI/edit?usp=sharing"",""กระบี่!M122"")+IMPORTRANGE(""https://docs.google.com/spreadsheets/d/1GwtLaSlNZkLk7iDqcyZz22giiy40b_usZZBXYciEN1U/edit?usp=sharing"",""ชุ"&amp;"มพร!M122"")+IMPORTRANGE(""https://docs.google.com/spreadsheets/d/16pAz3pOhQEZBhvFNMa5KGgZS6iKWpsKX0pg6tQmwFpo/edit?usp=sharing"",""ตรัง!M122"")+IMPORTRANGE(""https://docs.google.com/spreadsheets/d/1Dj4jcHCTV9JXKCaMoheSXS52JE63kDKyG7bPXnFogHk/edit?usp=shar"&amp;"ing"",""นครศรีธรรมราช!M122"")+IMPORTRANGE(""https://docs.google.com/spreadsheets/d/1iodCdmuK2GR3jzUwk8tpccY2JHQQA-87DLOtJP-ooyU/edit?usp=sharing"",""นราธิวาส!M122"")+IMPORTRANGE(""https://docs.google.com/spreadsheets/d/1SDNX3JhDdYRuIOsj0Wh2M-Qa_eaXl0NbWmh"&amp;"AOTbfQAs/edit?usp=sharing"",""ปัตตานี!M122"")+IMPORTRANGE(""https://docs.google.com/spreadsheets/d/16JDLGguT8s5DsGCND1KcwHP_AWR_zDMTqLHPLJUKhaU/edit?usp=sharing"",""พังงา!M122"")+IMPORTRANGE(""https://docs.google.com/spreadsheets/d/17ht0gPKzzT3PObBL1XJkeR"&amp;"mntBXI7wGjpLV7QorqlTk/edit?usp=sharing"",""พัทลุง!M122"")+IMPORTRANGE(""https://docs.google.com/spreadsheets/d/1rd4qoM1q_hsgaolqNGfrim9gbsoLxQsda4-vOz5x_BM/edit?usp=sharing"",""ภูเก็ต!M122"")+IMPORTRANGE(""https://docs.google.com/spreadsheets/d/1woKwKjgoL"&amp;"ssDvPcPeVyezB5izizAn4X1JDrys69n6xI/edit?usp=sharing"",""ยะลา!M122"")+IMPORTRANGE(""https://docs.google.com/spreadsheets/d/1qfrKjzMhm2HJfxQ-qVlJlJQ25Hne1d0khsySbZyGtPA/edit?usp=sharing"",""ระนอง!M122"")+IMPORTRANGE(""https://docs.google.com/spreadsheets/d/"&amp;"1IbSCnFOKpZsnFogBHJnL_isstZVaOMnFiIN0fGTPZZw/edit?usp=sharing"",""สงขลา!M122"")+IMPORTRANGE(""https://docs.google.com/spreadsheets/d/1q9nWasZJ-K8bFGvbE9n0qSRuKGA4Toe3Y89cKCiVtCU/edit?usp=sharing"",""สตูล!M122"")+IMPORTRANGE(""https://docs.google.com/sprea"&amp;"dsheets/d/18T20gbkS_WBjdscyTOV05cvq_JqvqQ17C81mpxf7Ncs/edit?usp=sharing"",""สุราษฎร์ธานี!M122"")"),0)</f>
        <v>0</v>
      </c>
      <c r="N122" s="47">
        <f ca="1">IFERROR(__xludf.DUMMYFUNCTION("IMPORTRANGE(""https://docs.google.com/spreadsheets/d/1kKUcYdkIfrgTSj8iHHHB2MD2FAtwyyocFgqGQn6ADyI/edit?usp=sharing"",""กระบี่!N122"")+IMPORTRANGE(""https://docs.google.com/spreadsheets/d/1GwtLaSlNZkLk7iDqcyZz22giiy40b_usZZBXYciEN1U/edit?usp=sharing"",""ชุ"&amp;"มพร!N122"")+IMPORTRANGE(""https://docs.google.com/spreadsheets/d/16pAz3pOhQEZBhvFNMa5KGgZS6iKWpsKX0pg6tQmwFpo/edit?usp=sharing"",""ตรัง!N122"")+IMPORTRANGE(""https://docs.google.com/spreadsheets/d/1Dj4jcHCTV9JXKCaMoheSXS52JE63kDKyG7bPXnFogHk/edit?usp=shar"&amp;"ing"",""นครศรีธรรมราช!N122"")+IMPORTRANGE(""https://docs.google.com/spreadsheets/d/1iodCdmuK2GR3jzUwk8tpccY2JHQQA-87DLOtJP-ooyU/edit?usp=sharing"",""นราธิวาส!N122"")+IMPORTRANGE(""https://docs.google.com/spreadsheets/d/1SDNX3JhDdYRuIOsj0Wh2M-Qa_eaXl0NbWmh"&amp;"AOTbfQAs/edit?usp=sharing"",""ปัตตานี!N122"")+IMPORTRANGE(""https://docs.google.com/spreadsheets/d/16JDLGguT8s5DsGCND1KcwHP_AWR_zDMTqLHPLJUKhaU/edit?usp=sharing"",""พังงา!N122"")+IMPORTRANGE(""https://docs.google.com/spreadsheets/d/17ht0gPKzzT3PObBL1XJkeR"&amp;"mntBXI7wGjpLV7QorqlTk/edit?usp=sharing"",""พัทลุง!N122"")+IMPORTRANGE(""https://docs.google.com/spreadsheets/d/1rd4qoM1q_hsgaolqNGfrim9gbsoLxQsda4-vOz5x_BM/edit?usp=sharing"",""ภูเก็ต!N122"")+IMPORTRANGE(""https://docs.google.com/spreadsheets/d/1woKwKjgoL"&amp;"ssDvPcPeVyezB5izizAn4X1JDrys69n6xI/edit?usp=sharing"",""ยะลา!N122"")+IMPORTRANGE(""https://docs.google.com/spreadsheets/d/1qfrKjzMhm2HJfxQ-qVlJlJQ25Hne1d0khsySbZyGtPA/edit?usp=sharing"",""ระนอง!N122"")+IMPORTRANGE(""https://docs.google.com/spreadsheets/d/"&amp;"1IbSCnFOKpZsnFogBHJnL_isstZVaOMnFiIN0fGTPZZw/edit?usp=sharing"",""สงขลา!N122"")+IMPORTRANGE(""https://docs.google.com/spreadsheets/d/1q9nWasZJ-K8bFGvbE9n0qSRuKGA4Toe3Y89cKCiVtCU/edit?usp=sharing"",""สตูล!N122"")+IMPORTRANGE(""https://docs.google.com/sprea"&amp;"dsheets/d/18T20gbkS_WBjdscyTOV05cvq_JqvqQ17C81mpxf7Ncs/edit?usp=sharing"",""สุราษฎร์ธานี!N122"")"),0)</f>
        <v>0</v>
      </c>
      <c r="O122" s="47">
        <f t="shared" ca="1" si="91"/>
        <v>0</v>
      </c>
      <c r="P122" s="47">
        <f t="shared" ca="1" si="92"/>
        <v>0</v>
      </c>
      <c r="Q122" s="47">
        <f ca="1">IFERROR(__xludf.DUMMYFUNCTION("IMPORTRANGE(""https://docs.google.com/spreadsheets/d/1kKUcYdkIfrgTSj8iHHHB2MD2FAtwyyocFgqGQn6ADyI/edit?usp=sharing"",""กระบี่!Q122"")+IMPORTRANGE(""https://docs.google.com/spreadsheets/d/1GwtLaSlNZkLk7iDqcyZz22giiy40b_usZZBXYciEN1U/edit?usp=sharing"",""ชุ"&amp;"มพร!Q122"")+IMPORTRANGE(""https://docs.google.com/spreadsheets/d/16pAz3pOhQEZBhvFNMa5KGgZS6iKWpsKX0pg6tQmwFpo/edit?usp=sharing"",""ตรัง!Q122"")+IMPORTRANGE(""https://docs.google.com/spreadsheets/d/1Dj4jcHCTV9JXKCaMoheSXS52JE63kDKyG7bPXnFogHk/edit?usp=shar"&amp;"ing"",""นครศรีธรรมราช!Q122"")+IMPORTRANGE(""https://docs.google.com/spreadsheets/d/1iodCdmuK2GR3jzUwk8tpccY2JHQQA-87DLOtJP-ooyU/edit?usp=sharing"",""นราธิวาส!Q122"")+IMPORTRANGE(""https://docs.google.com/spreadsheets/d/1SDNX3JhDdYRuIOsj0Wh2M-Qa_eaXl0NbWmh"&amp;"AOTbfQAs/edit?usp=sharing"",""ปัตตานี!Q122"")+IMPORTRANGE(""https://docs.google.com/spreadsheets/d/16JDLGguT8s5DsGCND1KcwHP_AWR_zDMTqLHPLJUKhaU/edit?usp=sharing"",""พังงา!Q122"")+IMPORTRANGE(""https://docs.google.com/spreadsheets/d/17ht0gPKzzT3PObBL1XJkeR"&amp;"mntBXI7wGjpLV7QorqlTk/edit?usp=sharing"",""พัทลุง!Q122"")+IMPORTRANGE(""https://docs.google.com/spreadsheets/d/1rd4qoM1q_hsgaolqNGfrim9gbsoLxQsda4-vOz5x_BM/edit?usp=sharing"",""ภูเก็ต!Q122"")+IMPORTRANGE(""https://docs.google.com/spreadsheets/d/1woKwKjgoL"&amp;"ssDvPcPeVyezB5izizAn4X1JDrys69n6xI/edit?usp=sharing"",""ยะลา!Q122"")+IMPORTRANGE(""https://docs.google.com/spreadsheets/d/1qfrKjzMhm2HJfxQ-qVlJlJQ25Hne1d0khsySbZyGtPA/edit?usp=sharing"",""ระนอง!Q122"")+IMPORTRANGE(""https://docs.google.com/spreadsheets/d/"&amp;"1IbSCnFOKpZsnFogBHJnL_isstZVaOMnFiIN0fGTPZZw/edit?usp=sharing"",""สงขลา!Q122"")+IMPORTRANGE(""https://docs.google.com/spreadsheets/d/1q9nWasZJ-K8bFGvbE9n0qSRuKGA4Toe3Y89cKCiVtCU/edit?usp=sharing"",""สตูล!Q122"")+IMPORTRANGE(""https://docs.google.com/sprea"&amp;"dsheets/d/18T20gbkS_WBjdscyTOV05cvq_JqvqQ17C81mpxf7Ncs/edit?usp=sharing"",""สุราษฎร์ธานี!Q122"")"),2811560)</f>
        <v>2811560</v>
      </c>
      <c r="R122" s="47">
        <f ca="1">IFERROR(__xludf.DUMMYFUNCTION("IMPORTRANGE(""https://docs.google.com/spreadsheets/d/1kKUcYdkIfrgTSj8iHHHB2MD2FAtwyyocFgqGQn6ADyI/edit?usp=sharing"",""กระบี่!R122"")+IMPORTRANGE(""https://docs.google.com/spreadsheets/d/1GwtLaSlNZkLk7iDqcyZz22giiy40b_usZZBXYciEN1U/edit?usp=sharing"",""ชุ"&amp;"มพร!R122"")+IMPORTRANGE(""https://docs.google.com/spreadsheets/d/16pAz3pOhQEZBhvFNMa5KGgZS6iKWpsKX0pg6tQmwFpo/edit?usp=sharing"",""ตรัง!R122"")+IMPORTRANGE(""https://docs.google.com/spreadsheets/d/1Dj4jcHCTV9JXKCaMoheSXS52JE63kDKyG7bPXnFogHk/edit?usp=shar"&amp;"ing"",""นครศรีธรรมราช!R122"")+IMPORTRANGE(""https://docs.google.com/spreadsheets/d/1iodCdmuK2GR3jzUwk8tpccY2JHQQA-87DLOtJP-ooyU/edit?usp=sharing"",""นราธิวาส!R122"")+IMPORTRANGE(""https://docs.google.com/spreadsheets/d/1SDNX3JhDdYRuIOsj0Wh2M-Qa_eaXl0NbWmh"&amp;"AOTbfQAs/edit?usp=sharing"",""ปัตตานี!R122"")+IMPORTRANGE(""https://docs.google.com/spreadsheets/d/16JDLGguT8s5DsGCND1KcwHP_AWR_zDMTqLHPLJUKhaU/edit?usp=sharing"",""พังงา!R122"")+IMPORTRANGE(""https://docs.google.com/spreadsheets/d/17ht0gPKzzT3PObBL1XJkeR"&amp;"mntBXI7wGjpLV7QorqlTk/edit?usp=sharing"",""พัทลุง!R122"")+IMPORTRANGE(""https://docs.google.com/spreadsheets/d/1rd4qoM1q_hsgaolqNGfrim9gbsoLxQsda4-vOz5x_BM/edit?usp=sharing"",""ภูเก็ต!R122"")+IMPORTRANGE(""https://docs.google.com/spreadsheets/d/1woKwKjgoL"&amp;"ssDvPcPeVyezB5izizAn4X1JDrys69n6xI/edit?usp=sharing"",""ยะลา!R122"")+IMPORTRANGE(""https://docs.google.com/spreadsheets/d/1qfrKjzMhm2HJfxQ-qVlJlJQ25Hne1d0khsySbZyGtPA/edit?usp=sharing"",""ระนอง!R122"")+IMPORTRANGE(""https://docs.google.com/spreadsheets/d/"&amp;"1IbSCnFOKpZsnFogBHJnL_isstZVaOMnFiIN0fGTPZZw/edit?usp=sharing"",""สงขลา!R122"")+IMPORTRANGE(""https://docs.google.com/spreadsheets/d/1q9nWasZJ-K8bFGvbE9n0qSRuKGA4Toe3Y89cKCiVtCU/edit?usp=sharing"",""สตูล!R122"")+IMPORTRANGE(""https://docs.google.com/sprea"&amp;"dsheets/d/18T20gbkS_WBjdscyTOV05cvq_JqvqQ17C81mpxf7Ncs/edit?usp=sharing"",""สุราษฎร์ธานี!R122"")"),2889110)</f>
        <v>2889110</v>
      </c>
      <c r="S122" s="47">
        <f ca="1">IFERROR(__xludf.DUMMYFUNCTION("IMPORTRANGE(""https://docs.google.com/spreadsheets/d/1kKUcYdkIfrgTSj8iHHHB2MD2FAtwyyocFgqGQn6ADyI/edit?usp=sharing"",""กระบี่!S122"")+IMPORTRANGE(""https://docs.google.com/spreadsheets/d/1GwtLaSlNZkLk7iDqcyZz22giiy40b_usZZBXYciEN1U/edit?usp=sharing"",""ชุ"&amp;"มพร!S122"")+IMPORTRANGE(""https://docs.google.com/spreadsheets/d/16pAz3pOhQEZBhvFNMa5KGgZS6iKWpsKX0pg6tQmwFpo/edit?usp=sharing"",""ตรัง!S122"")+IMPORTRANGE(""https://docs.google.com/spreadsheets/d/1Dj4jcHCTV9JXKCaMoheSXS52JE63kDKyG7bPXnFogHk/edit?usp=shar"&amp;"ing"",""นครศรีธรรมราช!S122"")+IMPORTRANGE(""https://docs.google.com/spreadsheets/d/1iodCdmuK2GR3jzUwk8tpccY2JHQQA-87DLOtJP-ooyU/edit?usp=sharing"",""นราธิวาส!S122"")+IMPORTRANGE(""https://docs.google.com/spreadsheets/d/1SDNX3JhDdYRuIOsj0Wh2M-Qa_eaXl0NbWmh"&amp;"AOTbfQAs/edit?usp=sharing"",""ปัตตานี!S122"")+IMPORTRANGE(""https://docs.google.com/spreadsheets/d/16JDLGguT8s5DsGCND1KcwHP_AWR_zDMTqLHPLJUKhaU/edit?usp=sharing"",""พังงา!S122"")+IMPORTRANGE(""https://docs.google.com/spreadsheets/d/17ht0gPKzzT3PObBL1XJkeR"&amp;"mntBXI7wGjpLV7QorqlTk/edit?usp=sharing"",""พัทลุง!S122"")+IMPORTRANGE(""https://docs.google.com/spreadsheets/d/1rd4qoM1q_hsgaolqNGfrim9gbsoLxQsda4-vOz5x_BM/edit?usp=sharing"",""ภูเก็ต!S122"")+IMPORTRANGE(""https://docs.google.com/spreadsheets/d/1woKwKjgoL"&amp;"ssDvPcPeVyezB5izizAn4X1JDrys69n6xI/edit?usp=sharing"",""ยะลา!S122"")+IMPORTRANGE(""https://docs.google.com/spreadsheets/d/1qfrKjzMhm2HJfxQ-qVlJlJQ25Hne1d0khsySbZyGtPA/edit?usp=sharing"",""ระนอง!S122"")+IMPORTRANGE(""https://docs.google.com/spreadsheets/d/"&amp;"1IbSCnFOKpZsnFogBHJnL_isstZVaOMnFiIN0fGTPZZw/edit?usp=sharing"",""สงขลา!S122"")+IMPORTRANGE(""https://docs.google.com/spreadsheets/d/1q9nWasZJ-K8bFGvbE9n0qSRuKGA4Toe3Y89cKCiVtCU/edit?usp=sharing"",""สตูล!S122"")+IMPORTRANGE(""https://docs.google.com/sprea"&amp;"dsheets/d/18T20gbkS_WBjdscyTOV05cvq_JqvqQ17C81mpxf7Ncs/edit?usp=sharing"",""สุราษฎร์ธานี!S122"")"),1564380.85999999)</f>
        <v>1564380.8599999901</v>
      </c>
      <c r="T122" s="47">
        <f t="shared" ca="1" si="94"/>
        <v>55.641027045483298</v>
      </c>
      <c r="U122" s="47">
        <f t="shared" ca="1" si="95"/>
        <v>54.147500787439391</v>
      </c>
    </row>
    <row r="123" spans="1:21" ht="18.75" x14ac:dyDescent="0.25">
      <c r="A123" s="128"/>
      <c r="B123" s="41"/>
      <c r="C123" s="185"/>
      <c r="D123" s="161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47">
        <f t="shared" ref="L123:N123" ca="1" si="102">L124+L125</f>
        <v>351900</v>
      </c>
      <c r="M123" s="47">
        <f t="shared" ca="1" si="102"/>
        <v>351900</v>
      </c>
      <c r="N123" s="47">
        <f t="shared" ca="1" si="102"/>
        <v>0</v>
      </c>
      <c r="O123" s="47">
        <f t="shared" ca="1" si="91"/>
        <v>0</v>
      </c>
      <c r="P123" s="47">
        <f t="shared" ca="1" si="92"/>
        <v>0</v>
      </c>
      <c r="Q123" s="47">
        <f t="shared" ref="Q123:S123" ca="1" si="103">Q124+Q125</f>
        <v>3350000</v>
      </c>
      <c r="R123" s="47">
        <f t="shared" ca="1" si="103"/>
        <v>3350000</v>
      </c>
      <c r="S123" s="47">
        <f t="shared" ca="1" si="103"/>
        <v>0</v>
      </c>
      <c r="T123" s="47">
        <f t="shared" ca="1" si="94"/>
        <v>0</v>
      </c>
      <c r="U123" s="47">
        <f t="shared" ca="1" si="95"/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49">
        <f ca="1">IFERROR(__xludf.DUMMYFUNCTION("IMPORTRANGE(""https://docs.google.com/spreadsheets/d/1kKUcYdkIfrgTSj8iHHHB2MD2FAtwyyocFgqGQn6ADyI/edit?usp=sharing"",""กระบี่!L124"")+IMPORTRANGE(""https://docs.google.com/spreadsheets/d/1GwtLaSlNZkLk7iDqcyZz22giiy40b_usZZBXYciEN1U/edit?usp=sharing"",""ชุ"&amp;"มพร!L124"")+IMPORTRANGE(""https://docs.google.com/spreadsheets/d/16pAz3pOhQEZBhvFNMa5KGgZS6iKWpsKX0pg6tQmwFpo/edit?usp=sharing"",""ตรัง!L124"")+IMPORTRANGE(""https://docs.google.com/spreadsheets/d/1Dj4jcHCTV9JXKCaMoheSXS52JE63kDKyG7bPXnFogHk/edit?usp=shar"&amp;"ing"",""นครศรีธรรมราช!L124"")+IMPORTRANGE(""https://docs.google.com/spreadsheets/d/1iodCdmuK2GR3jzUwk8tpccY2JHQQA-87DLOtJP-ooyU/edit?usp=sharing"",""นราธิวาส!L124"")+IMPORTRANGE(""https://docs.google.com/spreadsheets/d/1SDNX3JhDdYRuIOsj0Wh2M-Qa_eaXl0NbWmh"&amp;"AOTbfQAs/edit?usp=sharing"",""ปัตตานี!L124"")+IMPORTRANGE(""https://docs.google.com/spreadsheets/d/16JDLGguT8s5DsGCND1KcwHP_AWR_zDMTqLHPLJUKhaU/edit?usp=sharing"",""พังงา!L124"")+IMPORTRANGE(""https://docs.google.com/spreadsheets/d/17ht0gPKzzT3PObBL1XJkeR"&amp;"mntBXI7wGjpLV7QorqlTk/edit?usp=sharing"",""พัทลุง!L124"")+IMPORTRANGE(""https://docs.google.com/spreadsheets/d/1rd4qoM1q_hsgaolqNGfrim9gbsoLxQsda4-vOz5x_BM/edit?usp=sharing"",""ภูเก็ต!L124"")+IMPORTRANGE(""https://docs.google.com/spreadsheets/d/1woKwKjgoL"&amp;"ssDvPcPeVyezB5izizAn4X1JDrys69n6xI/edit?usp=sharing"",""ยะลา!L124"")+IMPORTRANGE(""https://docs.google.com/spreadsheets/d/1qfrKjzMhm2HJfxQ-qVlJlJQ25Hne1d0khsySbZyGtPA/edit?usp=sharing"",""ระนอง!L124"")+IMPORTRANGE(""https://docs.google.com/spreadsheets/d/"&amp;"1IbSCnFOKpZsnFogBHJnL_isstZVaOMnFiIN0fGTPZZw/edit?usp=sharing"",""สงขลา!L124"")+IMPORTRANGE(""https://docs.google.com/spreadsheets/d/1q9nWasZJ-K8bFGvbE9n0qSRuKGA4Toe3Y89cKCiVtCU/edit?usp=sharing"",""สตูล!L124"")+IMPORTRANGE(""https://docs.google.com/sprea"&amp;"dsheets/d/18T20gbkS_WBjdscyTOV05cvq_JqvqQ17C81mpxf7Ncs/edit?usp=sharing"",""สุราษฎร์ธานี!L124"")"),0)</f>
        <v>0</v>
      </c>
      <c r="M124" s="49">
        <f ca="1">IFERROR(__xludf.DUMMYFUNCTION("IMPORTRANGE(""https://docs.google.com/spreadsheets/d/1kKUcYdkIfrgTSj8iHHHB2MD2FAtwyyocFgqGQn6ADyI/edit?usp=sharing"",""กระบี่!M124"")+IMPORTRANGE(""https://docs.google.com/spreadsheets/d/1GwtLaSlNZkLk7iDqcyZz22giiy40b_usZZBXYciEN1U/edit?usp=sharing"",""ชุ"&amp;"มพร!M124"")+IMPORTRANGE(""https://docs.google.com/spreadsheets/d/16pAz3pOhQEZBhvFNMa5KGgZS6iKWpsKX0pg6tQmwFpo/edit?usp=sharing"",""ตรัง!M124"")+IMPORTRANGE(""https://docs.google.com/spreadsheets/d/1Dj4jcHCTV9JXKCaMoheSXS52JE63kDKyG7bPXnFogHk/edit?usp=shar"&amp;"ing"",""นครศรีธรรมราช!M124"")+IMPORTRANGE(""https://docs.google.com/spreadsheets/d/1iodCdmuK2GR3jzUwk8tpccY2JHQQA-87DLOtJP-ooyU/edit?usp=sharing"",""นราธิวาส!M124"")+IMPORTRANGE(""https://docs.google.com/spreadsheets/d/1SDNX3JhDdYRuIOsj0Wh2M-Qa_eaXl0NbWmh"&amp;"AOTbfQAs/edit?usp=sharing"",""ปัตตานี!M124"")+IMPORTRANGE(""https://docs.google.com/spreadsheets/d/16JDLGguT8s5DsGCND1KcwHP_AWR_zDMTqLHPLJUKhaU/edit?usp=sharing"",""พังงา!M124"")+IMPORTRANGE(""https://docs.google.com/spreadsheets/d/17ht0gPKzzT3PObBL1XJkeR"&amp;"mntBXI7wGjpLV7QorqlTk/edit?usp=sharing"",""พัทลุง!M124"")+IMPORTRANGE(""https://docs.google.com/spreadsheets/d/1rd4qoM1q_hsgaolqNGfrim9gbsoLxQsda4-vOz5x_BM/edit?usp=sharing"",""ภูเก็ต!M124"")+IMPORTRANGE(""https://docs.google.com/spreadsheets/d/1woKwKjgoL"&amp;"ssDvPcPeVyezB5izizAn4X1JDrys69n6xI/edit?usp=sharing"",""ยะลา!M124"")+IMPORTRANGE(""https://docs.google.com/spreadsheets/d/1qfrKjzMhm2HJfxQ-qVlJlJQ25Hne1d0khsySbZyGtPA/edit?usp=sharing"",""ระนอง!M124"")+IMPORTRANGE(""https://docs.google.com/spreadsheets/d/"&amp;"1IbSCnFOKpZsnFogBHJnL_isstZVaOMnFiIN0fGTPZZw/edit?usp=sharing"",""สงขลา!M124"")+IMPORTRANGE(""https://docs.google.com/spreadsheets/d/1q9nWasZJ-K8bFGvbE9n0qSRuKGA4Toe3Y89cKCiVtCU/edit?usp=sharing"",""สตูล!M124"")+IMPORTRANGE(""https://docs.google.com/sprea"&amp;"dsheets/d/18T20gbkS_WBjdscyTOV05cvq_JqvqQ17C81mpxf7Ncs/edit?usp=sharing"",""สุราษฎร์ธานี!M124"")"),0)</f>
        <v>0</v>
      </c>
      <c r="N124" s="49">
        <f ca="1">IFERROR(__xludf.DUMMYFUNCTION("IMPORTRANGE(""https://docs.google.com/spreadsheets/d/1kKUcYdkIfrgTSj8iHHHB2MD2FAtwyyocFgqGQn6ADyI/edit?usp=sharing"",""กระบี่!N124"")+IMPORTRANGE(""https://docs.google.com/spreadsheets/d/1GwtLaSlNZkLk7iDqcyZz22giiy40b_usZZBXYciEN1U/edit?usp=sharing"",""ชุ"&amp;"มพร!N124"")+IMPORTRANGE(""https://docs.google.com/spreadsheets/d/16pAz3pOhQEZBhvFNMa5KGgZS6iKWpsKX0pg6tQmwFpo/edit?usp=sharing"",""ตรัง!N124"")+IMPORTRANGE(""https://docs.google.com/spreadsheets/d/1Dj4jcHCTV9JXKCaMoheSXS52JE63kDKyG7bPXnFogHk/edit?usp=shar"&amp;"ing"",""นครศรีธรรมราช!N124"")+IMPORTRANGE(""https://docs.google.com/spreadsheets/d/1iodCdmuK2GR3jzUwk8tpccY2JHQQA-87DLOtJP-ooyU/edit?usp=sharing"",""นราธิวาส!N124"")+IMPORTRANGE(""https://docs.google.com/spreadsheets/d/1SDNX3JhDdYRuIOsj0Wh2M-Qa_eaXl0NbWmh"&amp;"AOTbfQAs/edit?usp=sharing"",""ปัตตานี!N124"")+IMPORTRANGE(""https://docs.google.com/spreadsheets/d/16JDLGguT8s5DsGCND1KcwHP_AWR_zDMTqLHPLJUKhaU/edit?usp=sharing"",""พังงา!N124"")+IMPORTRANGE(""https://docs.google.com/spreadsheets/d/17ht0gPKzzT3PObBL1XJkeR"&amp;"mntBXI7wGjpLV7QorqlTk/edit?usp=sharing"",""พัทลุง!N124"")+IMPORTRANGE(""https://docs.google.com/spreadsheets/d/1rd4qoM1q_hsgaolqNGfrim9gbsoLxQsda4-vOz5x_BM/edit?usp=sharing"",""ภูเก็ต!N124"")+IMPORTRANGE(""https://docs.google.com/spreadsheets/d/1woKwKjgoL"&amp;"ssDvPcPeVyezB5izizAn4X1JDrys69n6xI/edit?usp=sharing"",""ยะลา!N124"")+IMPORTRANGE(""https://docs.google.com/spreadsheets/d/1qfrKjzMhm2HJfxQ-qVlJlJQ25Hne1d0khsySbZyGtPA/edit?usp=sharing"",""ระนอง!N124"")+IMPORTRANGE(""https://docs.google.com/spreadsheets/d/"&amp;"1IbSCnFOKpZsnFogBHJnL_isstZVaOMnFiIN0fGTPZZw/edit?usp=sharing"",""สงขลา!N124"")+IMPORTRANGE(""https://docs.google.com/spreadsheets/d/1q9nWasZJ-K8bFGvbE9n0qSRuKGA4Toe3Y89cKCiVtCU/edit?usp=sharing"",""สตูล!N124"")+IMPORTRANGE(""https://docs.google.com/sprea"&amp;"dsheets/d/18T20gbkS_WBjdscyTOV05cvq_JqvqQ17C81mpxf7Ncs/edit?usp=sharing"",""สุราษฎร์ธานี!N124"")"),0)</f>
        <v>0</v>
      </c>
      <c r="O124" s="49">
        <f t="shared" ca="1" si="91"/>
        <v>0</v>
      </c>
      <c r="P124" s="49">
        <f t="shared" ca="1" si="92"/>
        <v>0</v>
      </c>
      <c r="Q124" s="49">
        <f ca="1">IFERROR(__xludf.DUMMYFUNCTION("IMPORTRANGE(""https://docs.google.com/spreadsheets/d/1kKUcYdkIfrgTSj8iHHHB2MD2FAtwyyocFgqGQn6ADyI/edit?usp=sharing"",""กระบี่!Q124"")+IMPORTRANGE(""https://docs.google.com/spreadsheets/d/1GwtLaSlNZkLk7iDqcyZz22giiy40b_usZZBXYciEN1U/edit?usp=sharing"",""ชุ"&amp;"มพร!Q124"")+IMPORTRANGE(""https://docs.google.com/spreadsheets/d/16pAz3pOhQEZBhvFNMa5KGgZS6iKWpsKX0pg6tQmwFpo/edit?usp=sharing"",""ตรัง!Q124"")+IMPORTRANGE(""https://docs.google.com/spreadsheets/d/1Dj4jcHCTV9JXKCaMoheSXS52JE63kDKyG7bPXnFogHk/edit?usp=shar"&amp;"ing"",""นครศรีธรรมราช!Q124"")+IMPORTRANGE(""https://docs.google.com/spreadsheets/d/1iodCdmuK2GR3jzUwk8tpccY2JHQQA-87DLOtJP-ooyU/edit?usp=sharing"",""นราธิวาส!Q124"")+IMPORTRANGE(""https://docs.google.com/spreadsheets/d/1SDNX3JhDdYRuIOsj0Wh2M-Qa_eaXl0NbWmh"&amp;"AOTbfQAs/edit?usp=sharing"",""ปัตตานี!Q124"")+IMPORTRANGE(""https://docs.google.com/spreadsheets/d/16JDLGguT8s5DsGCND1KcwHP_AWR_zDMTqLHPLJUKhaU/edit?usp=sharing"",""พังงา!Q124"")+IMPORTRANGE(""https://docs.google.com/spreadsheets/d/17ht0gPKzzT3PObBL1XJkeR"&amp;"mntBXI7wGjpLV7QorqlTk/edit?usp=sharing"",""พัทลุง!Q124"")+IMPORTRANGE(""https://docs.google.com/spreadsheets/d/1rd4qoM1q_hsgaolqNGfrim9gbsoLxQsda4-vOz5x_BM/edit?usp=sharing"",""ภูเก็ต!Q124"")+IMPORTRANGE(""https://docs.google.com/spreadsheets/d/1woKwKjgoL"&amp;"ssDvPcPeVyezB5izizAn4X1JDrys69n6xI/edit?usp=sharing"",""ยะลา!Q124"")+IMPORTRANGE(""https://docs.google.com/spreadsheets/d/1qfrKjzMhm2HJfxQ-qVlJlJQ25Hne1d0khsySbZyGtPA/edit?usp=sharing"",""ระนอง!Q124"")+IMPORTRANGE(""https://docs.google.com/spreadsheets/d/"&amp;"1IbSCnFOKpZsnFogBHJnL_isstZVaOMnFiIN0fGTPZZw/edit?usp=sharing"",""สงขลา!Q124"")+IMPORTRANGE(""https://docs.google.com/spreadsheets/d/1q9nWasZJ-K8bFGvbE9n0qSRuKGA4Toe3Y89cKCiVtCU/edit?usp=sharing"",""สตูล!Q124"")+IMPORTRANGE(""https://docs.google.com/sprea"&amp;"dsheets/d/18T20gbkS_WBjdscyTOV05cvq_JqvqQ17C81mpxf7Ncs/edit?usp=sharing"",""สุราษฎร์ธานี!Q124"")"),0)</f>
        <v>0</v>
      </c>
      <c r="R124" s="49">
        <f ca="1">IFERROR(__xludf.DUMMYFUNCTION("IMPORTRANGE(""https://docs.google.com/spreadsheets/d/1kKUcYdkIfrgTSj8iHHHB2MD2FAtwyyocFgqGQn6ADyI/edit?usp=sharing"",""กระบี่!R124"")+IMPORTRANGE(""https://docs.google.com/spreadsheets/d/1GwtLaSlNZkLk7iDqcyZz22giiy40b_usZZBXYciEN1U/edit?usp=sharing"",""ชุ"&amp;"มพร!R124"")+IMPORTRANGE(""https://docs.google.com/spreadsheets/d/16pAz3pOhQEZBhvFNMa5KGgZS6iKWpsKX0pg6tQmwFpo/edit?usp=sharing"",""ตรัง!R124"")+IMPORTRANGE(""https://docs.google.com/spreadsheets/d/1Dj4jcHCTV9JXKCaMoheSXS52JE63kDKyG7bPXnFogHk/edit?usp=shar"&amp;"ing"",""นครศรีธรรมราช!R124"")+IMPORTRANGE(""https://docs.google.com/spreadsheets/d/1iodCdmuK2GR3jzUwk8tpccY2JHQQA-87DLOtJP-ooyU/edit?usp=sharing"",""นราธิวาส!R124"")+IMPORTRANGE(""https://docs.google.com/spreadsheets/d/1SDNX3JhDdYRuIOsj0Wh2M-Qa_eaXl0NbWmh"&amp;"AOTbfQAs/edit?usp=sharing"",""ปัตตานี!R124"")+IMPORTRANGE(""https://docs.google.com/spreadsheets/d/16JDLGguT8s5DsGCND1KcwHP_AWR_zDMTqLHPLJUKhaU/edit?usp=sharing"",""พังงา!R124"")+IMPORTRANGE(""https://docs.google.com/spreadsheets/d/17ht0gPKzzT3PObBL1XJkeR"&amp;"mntBXI7wGjpLV7QorqlTk/edit?usp=sharing"",""พัทลุง!R124"")+IMPORTRANGE(""https://docs.google.com/spreadsheets/d/1rd4qoM1q_hsgaolqNGfrim9gbsoLxQsda4-vOz5x_BM/edit?usp=sharing"",""ภูเก็ต!R124"")+IMPORTRANGE(""https://docs.google.com/spreadsheets/d/1woKwKjgoL"&amp;"ssDvPcPeVyezB5izizAn4X1JDrys69n6xI/edit?usp=sharing"",""ยะลา!R124"")+IMPORTRANGE(""https://docs.google.com/spreadsheets/d/1qfrKjzMhm2HJfxQ-qVlJlJQ25Hne1d0khsySbZyGtPA/edit?usp=sharing"",""ระนอง!R124"")+IMPORTRANGE(""https://docs.google.com/spreadsheets/d/"&amp;"1IbSCnFOKpZsnFogBHJnL_isstZVaOMnFiIN0fGTPZZw/edit?usp=sharing"",""สงขลา!R124"")+IMPORTRANGE(""https://docs.google.com/spreadsheets/d/1q9nWasZJ-K8bFGvbE9n0qSRuKGA4Toe3Y89cKCiVtCU/edit?usp=sharing"",""สตูล!R124"")+IMPORTRANGE(""https://docs.google.com/sprea"&amp;"dsheets/d/18T20gbkS_WBjdscyTOV05cvq_JqvqQ17C81mpxf7Ncs/edit?usp=sharing"",""สุราษฎร์ธานี!R124"")"),0)</f>
        <v>0</v>
      </c>
      <c r="S124" s="49">
        <f ca="1">IFERROR(__xludf.DUMMYFUNCTION("IMPORTRANGE(""https://docs.google.com/spreadsheets/d/1kKUcYdkIfrgTSj8iHHHB2MD2FAtwyyocFgqGQn6ADyI/edit?usp=sharing"",""กระบี่!S124"")+IMPORTRANGE(""https://docs.google.com/spreadsheets/d/1GwtLaSlNZkLk7iDqcyZz22giiy40b_usZZBXYciEN1U/edit?usp=sharing"",""ชุ"&amp;"มพร!S124"")+IMPORTRANGE(""https://docs.google.com/spreadsheets/d/16pAz3pOhQEZBhvFNMa5KGgZS6iKWpsKX0pg6tQmwFpo/edit?usp=sharing"",""ตรัง!S124"")+IMPORTRANGE(""https://docs.google.com/spreadsheets/d/1Dj4jcHCTV9JXKCaMoheSXS52JE63kDKyG7bPXnFogHk/edit?usp=shar"&amp;"ing"",""นครศรีธรรมราช!S124"")+IMPORTRANGE(""https://docs.google.com/spreadsheets/d/1iodCdmuK2GR3jzUwk8tpccY2JHQQA-87DLOtJP-ooyU/edit?usp=sharing"",""นราธิวาส!S124"")+IMPORTRANGE(""https://docs.google.com/spreadsheets/d/1SDNX3JhDdYRuIOsj0Wh2M-Qa_eaXl0NbWmh"&amp;"AOTbfQAs/edit?usp=sharing"",""ปัตตานี!S124"")+IMPORTRANGE(""https://docs.google.com/spreadsheets/d/16JDLGguT8s5DsGCND1KcwHP_AWR_zDMTqLHPLJUKhaU/edit?usp=sharing"",""พังงา!S124"")+IMPORTRANGE(""https://docs.google.com/spreadsheets/d/17ht0gPKzzT3PObBL1XJkeR"&amp;"mntBXI7wGjpLV7QorqlTk/edit?usp=sharing"",""พัทลุง!S124"")+IMPORTRANGE(""https://docs.google.com/spreadsheets/d/1rd4qoM1q_hsgaolqNGfrim9gbsoLxQsda4-vOz5x_BM/edit?usp=sharing"",""ภูเก็ต!S124"")+IMPORTRANGE(""https://docs.google.com/spreadsheets/d/1woKwKjgoL"&amp;"ssDvPcPeVyezB5izizAn4X1JDrys69n6xI/edit?usp=sharing"",""ยะลา!S124"")+IMPORTRANGE(""https://docs.google.com/spreadsheets/d/1qfrKjzMhm2HJfxQ-qVlJlJQ25Hne1d0khsySbZyGtPA/edit?usp=sharing"",""ระนอง!S124"")+IMPORTRANGE(""https://docs.google.com/spreadsheets/d/"&amp;"1IbSCnFOKpZsnFogBHJnL_isstZVaOMnFiIN0fGTPZZw/edit?usp=sharing"",""สงขลา!S124"")+IMPORTRANGE(""https://docs.google.com/spreadsheets/d/1q9nWasZJ-K8bFGvbE9n0qSRuKGA4Toe3Y89cKCiVtCU/edit?usp=sharing"",""สตูล!S124"")+IMPORTRANGE(""https://docs.google.com/sprea"&amp;"dsheets/d/18T20gbkS_WBjdscyTOV05cvq_JqvqQ17C81mpxf7Ncs/edit?usp=sharing"",""สุราษฎร์ธานี!S124"")"),0)</f>
        <v>0</v>
      </c>
      <c r="T124" s="49">
        <f t="shared" ca="1" si="94"/>
        <v>0</v>
      </c>
      <c r="U124" s="49">
        <f t="shared" ca="1" si="95"/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47">
        <f ca="1">IFERROR(__xludf.DUMMYFUNCTION("IMPORTRANGE(""https://docs.google.com/spreadsheets/d/1kKUcYdkIfrgTSj8iHHHB2MD2FAtwyyocFgqGQn6ADyI/edit?usp=sharing"",""กระบี่!L125"")+IMPORTRANGE(""https://docs.google.com/spreadsheets/d/1GwtLaSlNZkLk7iDqcyZz22giiy40b_usZZBXYciEN1U/edit?usp=sharing"",""ชุ"&amp;"มพร!L125"")+IMPORTRANGE(""https://docs.google.com/spreadsheets/d/16pAz3pOhQEZBhvFNMa5KGgZS6iKWpsKX0pg6tQmwFpo/edit?usp=sharing"",""ตรัง!L125"")+IMPORTRANGE(""https://docs.google.com/spreadsheets/d/1Dj4jcHCTV9JXKCaMoheSXS52JE63kDKyG7bPXnFogHk/edit?usp=shar"&amp;"ing"",""นครศรีธรรมราช!L125"")+IMPORTRANGE(""https://docs.google.com/spreadsheets/d/1iodCdmuK2GR3jzUwk8tpccY2JHQQA-87DLOtJP-ooyU/edit?usp=sharing"",""นราธิวาส!L125"")+IMPORTRANGE(""https://docs.google.com/spreadsheets/d/1SDNX3JhDdYRuIOsj0Wh2M-Qa_eaXl0NbWmh"&amp;"AOTbfQAs/edit?usp=sharing"",""ปัตตานี!L125"")+IMPORTRANGE(""https://docs.google.com/spreadsheets/d/16JDLGguT8s5DsGCND1KcwHP_AWR_zDMTqLHPLJUKhaU/edit?usp=sharing"",""พังงา!L125"")+IMPORTRANGE(""https://docs.google.com/spreadsheets/d/17ht0gPKzzT3PObBL1XJkeR"&amp;"mntBXI7wGjpLV7QorqlTk/edit?usp=sharing"",""พัทลุง!L125"")+IMPORTRANGE(""https://docs.google.com/spreadsheets/d/1rd4qoM1q_hsgaolqNGfrim9gbsoLxQsda4-vOz5x_BM/edit?usp=sharing"",""ภูเก็ต!L125"")+IMPORTRANGE(""https://docs.google.com/spreadsheets/d/1woKwKjgoL"&amp;"ssDvPcPeVyezB5izizAn4X1JDrys69n6xI/edit?usp=sharing"",""ยะลา!L125"")+IMPORTRANGE(""https://docs.google.com/spreadsheets/d/1qfrKjzMhm2HJfxQ-qVlJlJQ25Hne1d0khsySbZyGtPA/edit?usp=sharing"",""ระนอง!L125"")+IMPORTRANGE(""https://docs.google.com/spreadsheets/d/"&amp;"1IbSCnFOKpZsnFogBHJnL_isstZVaOMnFiIN0fGTPZZw/edit?usp=sharing"",""สงขลา!L125"")+IMPORTRANGE(""https://docs.google.com/spreadsheets/d/1q9nWasZJ-K8bFGvbE9n0qSRuKGA4Toe3Y89cKCiVtCU/edit?usp=sharing"",""สตูล!L125"")+IMPORTRANGE(""https://docs.google.com/sprea"&amp;"dsheets/d/18T20gbkS_WBjdscyTOV05cvq_JqvqQ17C81mpxf7Ncs/edit?usp=sharing"",""สุราษฎร์ธานี!L125"")"),351900)</f>
        <v>351900</v>
      </c>
      <c r="M125" s="47">
        <f ca="1">IFERROR(__xludf.DUMMYFUNCTION("IMPORTRANGE(""https://docs.google.com/spreadsheets/d/1kKUcYdkIfrgTSj8iHHHB2MD2FAtwyyocFgqGQn6ADyI/edit?usp=sharing"",""กระบี่!M125"")+IMPORTRANGE(""https://docs.google.com/spreadsheets/d/1GwtLaSlNZkLk7iDqcyZz22giiy40b_usZZBXYciEN1U/edit?usp=sharing"",""ชุ"&amp;"มพร!M125"")+IMPORTRANGE(""https://docs.google.com/spreadsheets/d/16pAz3pOhQEZBhvFNMa5KGgZS6iKWpsKX0pg6tQmwFpo/edit?usp=sharing"",""ตรัง!M125"")+IMPORTRANGE(""https://docs.google.com/spreadsheets/d/1Dj4jcHCTV9JXKCaMoheSXS52JE63kDKyG7bPXnFogHk/edit?usp=shar"&amp;"ing"",""นครศรีธรรมราช!M125"")+IMPORTRANGE(""https://docs.google.com/spreadsheets/d/1iodCdmuK2GR3jzUwk8tpccY2JHQQA-87DLOtJP-ooyU/edit?usp=sharing"",""นราธิวาส!M125"")+IMPORTRANGE(""https://docs.google.com/spreadsheets/d/1SDNX3JhDdYRuIOsj0Wh2M-Qa_eaXl0NbWmh"&amp;"AOTbfQAs/edit?usp=sharing"",""ปัตตานี!M125"")+IMPORTRANGE(""https://docs.google.com/spreadsheets/d/16JDLGguT8s5DsGCND1KcwHP_AWR_zDMTqLHPLJUKhaU/edit?usp=sharing"",""พังงา!M125"")+IMPORTRANGE(""https://docs.google.com/spreadsheets/d/17ht0gPKzzT3PObBL1XJkeR"&amp;"mntBXI7wGjpLV7QorqlTk/edit?usp=sharing"",""พัทลุง!M125"")+IMPORTRANGE(""https://docs.google.com/spreadsheets/d/1rd4qoM1q_hsgaolqNGfrim9gbsoLxQsda4-vOz5x_BM/edit?usp=sharing"",""ภูเก็ต!M125"")+IMPORTRANGE(""https://docs.google.com/spreadsheets/d/1woKwKjgoL"&amp;"ssDvPcPeVyezB5izizAn4X1JDrys69n6xI/edit?usp=sharing"",""ยะลา!M125"")+IMPORTRANGE(""https://docs.google.com/spreadsheets/d/1qfrKjzMhm2HJfxQ-qVlJlJQ25Hne1d0khsySbZyGtPA/edit?usp=sharing"",""ระนอง!M125"")+IMPORTRANGE(""https://docs.google.com/spreadsheets/d/"&amp;"1IbSCnFOKpZsnFogBHJnL_isstZVaOMnFiIN0fGTPZZw/edit?usp=sharing"",""สงขลา!M125"")+IMPORTRANGE(""https://docs.google.com/spreadsheets/d/1q9nWasZJ-K8bFGvbE9n0qSRuKGA4Toe3Y89cKCiVtCU/edit?usp=sharing"",""สตูล!M125"")+IMPORTRANGE(""https://docs.google.com/sprea"&amp;"dsheets/d/18T20gbkS_WBjdscyTOV05cvq_JqvqQ17C81mpxf7Ncs/edit?usp=sharing"",""สุราษฎร์ธานี!M125"")"),351900)</f>
        <v>351900</v>
      </c>
      <c r="N125" s="47">
        <f ca="1">IFERROR(__xludf.DUMMYFUNCTION("IMPORTRANGE(""https://docs.google.com/spreadsheets/d/1kKUcYdkIfrgTSj8iHHHB2MD2FAtwyyocFgqGQn6ADyI/edit?usp=sharing"",""กระบี่!N125"")+IMPORTRANGE(""https://docs.google.com/spreadsheets/d/1GwtLaSlNZkLk7iDqcyZz22giiy40b_usZZBXYciEN1U/edit?usp=sharing"",""ชุ"&amp;"มพร!N125"")+IMPORTRANGE(""https://docs.google.com/spreadsheets/d/16pAz3pOhQEZBhvFNMa5KGgZS6iKWpsKX0pg6tQmwFpo/edit?usp=sharing"",""ตรัง!N125"")+IMPORTRANGE(""https://docs.google.com/spreadsheets/d/1Dj4jcHCTV9JXKCaMoheSXS52JE63kDKyG7bPXnFogHk/edit?usp=shar"&amp;"ing"",""นครศรีธรรมราช!N125"")+IMPORTRANGE(""https://docs.google.com/spreadsheets/d/1iodCdmuK2GR3jzUwk8tpccY2JHQQA-87DLOtJP-ooyU/edit?usp=sharing"",""นราธิวาส!N125"")+IMPORTRANGE(""https://docs.google.com/spreadsheets/d/1SDNX3JhDdYRuIOsj0Wh2M-Qa_eaXl0NbWmh"&amp;"AOTbfQAs/edit?usp=sharing"",""ปัตตานี!N125"")+IMPORTRANGE(""https://docs.google.com/spreadsheets/d/16JDLGguT8s5DsGCND1KcwHP_AWR_zDMTqLHPLJUKhaU/edit?usp=sharing"",""พังงา!N125"")+IMPORTRANGE(""https://docs.google.com/spreadsheets/d/17ht0gPKzzT3PObBL1XJkeR"&amp;"mntBXI7wGjpLV7QorqlTk/edit?usp=sharing"",""พัทลุง!N125"")+IMPORTRANGE(""https://docs.google.com/spreadsheets/d/1rd4qoM1q_hsgaolqNGfrim9gbsoLxQsda4-vOz5x_BM/edit?usp=sharing"",""ภูเก็ต!N125"")+IMPORTRANGE(""https://docs.google.com/spreadsheets/d/1woKwKjgoL"&amp;"ssDvPcPeVyezB5izizAn4X1JDrys69n6xI/edit?usp=sharing"",""ยะลา!N125"")+IMPORTRANGE(""https://docs.google.com/spreadsheets/d/1qfrKjzMhm2HJfxQ-qVlJlJQ25Hne1d0khsySbZyGtPA/edit?usp=sharing"",""ระนอง!N125"")+IMPORTRANGE(""https://docs.google.com/spreadsheets/d/"&amp;"1IbSCnFOKpZsnFogBHJnL_isstZVaOMnFiIN0fGTPZZw/edit?usp=sharing"",""สงขลา!N125"")+IMPORTRANGE(""https://docs.google.com/spreadsheets/d/1q9nWasZJ-K8bFGvbE9n0qSRuKGA4Toe3Y89cKCiVtCU/edit?usp=sharing"",""สตูล!N125"")+IMPORTRANGE(""https://docs.google.com/sprea"&amp;"dsheets/d/18T20gbkS_WBjdscyTOV05cvq_JqvqQ17C81mpxf7Ncs/edit?usp=sharing"",""สุราษฎร์ธานี!N125"")"),0)</f>
        <v>0</v>
      </c>
      <c r="O125" s="47">
        <f t="shared" ca="1" si="91"/>
        <v>0</v>
      </c>
      <c r="P125" s="47">
        <f t="shared" ca="1" si="92"/>
        <v>0</v>
      </c>
      <c r="Q125" s="47">
        <f ca="1">IFERROR(__xludf.DUMMYFUNCTION("IMPORTRANGE(""https://docs.google.com/spreadsheets/d/1kKUcYdkIfrgTSj8iHHHB2MD2FAtwyyocFgqGQn6ADyI/edit?usp=sharing"",""กระบี่!Q125"")+IMPORTRANGE(""https://docs.google.com/spreadsheets/d/1GwtLaSlNZkLk7iDqcyZz22giiy40b_usZZBXYciEN1U/edit?usp=sharing"",""ชุ"&amp;"มพร!Q125"")+IMPORTRANGE(""https://docs.google.com/spreadsheets/d/16pAz3pOhQEZBhvFNMa5KGgZS6iKWpsKX0pg6tQmwFpo/edit?usp=sharing"",""ตรัง!Q125"")+IMPORTRANGE(""https://docs.google.com/spreadsheets/d/1Dj4jcHCTV9JXKCaMoheSXS52JE63kDKyG7bPXnFogHk/edit?usp=shar"&amp;"ing"",""นครศรีธรรมราช!Q125"")+IMPORTRANGE(""https://docs.google.com/spreadsheets/d/1iodCdmuK2GR3jzUwk8tpccY2JHQQA-87DLOtJP-ooyU/edit?usp=sharing"",""นราธิวาส!Q125"")+IMPORTRANGE(""https://docs.google.com/spreadsheets/d/1SDNX3JhDdYRuIOsj0Wh2M-Qa_eaXl0NbWmh"&amp;"AOTbfQAs/edit?usp=sharing"",""ปัตตานี!Q125"")+IMPORTRANGE(""https://docs.google.com/spreadsheets/d/16JDLGguT8s5DsGCND1KcwHP_AWR_zDMTqLHPLJUKhaU/edit?usp=sharing"",""พังงา!Q125"")+IMPORTRANGE(""https://docs.google.com/spreadsheets/d/17ht0gPKzzT3PObBL1XJkeR"&amp;"mntBXI7wGjpLV7QorqlTk/edit?usp=sharing"",""พัทลุง!Q125"")+IMPORTRANGE(""https://docs.google.com/spreadsheets/d/1rd4qoM1q_hsgaolqNGfrim9gbsoLxQsda4-vOz5x_BM/edit?usp=sharing"",""ภูเก็ต!Q125"")+IMPORTRANGE(""https://docs.google.com/spreadsheets/d/1woKwKjgoL"&amp;"ssDvPcPeVyezB5izizAn4X1JDrys69n6xI/edit?usp=sharing"",""ยะลา!Q125"")+IMPORTRANGE(""https://docs.google.com/spreadsheets/d/1qfrKjzMhm2HJfxQ-qVlJlJQ25Hne1d0khsySbZyGtPA/edit?usp=sharing"",""ระนอง!Q125"")+IMPORTRANGE(""https://docs.google.com/spreadsheets/d/"&amp;"1IbSCnFOKpZsnFogBHJnL_isstZVaOMnFiIN0fGTPZZw/edit?usp=sharing"",""สงขลา!Q125"")+IMPORTRANGE(""https://docs.google.com/spreadsheets/d/1q9nWasZJ-K8bFGvbE9n0qSRuKGA4Toe3Y89cKCiVtCU/edit?usp=sharing"",""สตูล!Q125"")+IMPORTRANGE(""https://docs.google.com/sprea"&amp;"dsheets/d/18T20gbkS_WBjdscyTOV05cvq_JqvqQ17C81mpxf7Ncs/edit?usp=sharing"",""สุราษฎร์ธานี!Q125"")"),3350000)</f>
        <v>3350000</v>
      </c>
      <c r="R125" s="47">
        <f ca="1">IFERROR(__xludf.DUMMYFUNCTION("IMPORTRANGE(""https://docs.google.com/spreadsheets/d/1kKUcYdkIfrgTSj8iHHHB2MD2FAtwyyocFgqGQn6ADyI/edit?usp=sharing"",""กระบี่!R125"")+IMPORTRANGE(""https://docs.google.com/spreadsheets/d/1GwtLaSlNZkLk7iDqcyZz22giiy40b_usZZBXYciEN1U/edit?usp=sharing"",""ชุ"&amp;"มพร!R125"")+IMPORTRANGE(""https://docs.google.com/spreadsheets/d/16pAz3pOhQEZBhvFNMa5KGgZS6iKWpsKX0pg6tQmwFpo/edit?usp=sharing"",""ตรัง!R125"")+IMPORTRANGE(""https://docs.google.com/spreadsheets/d/1Dj4jcHCTV9JXKCaMoheSXS52JE63kDKyG7bPXnFogHk/edit?usp=shar"&amp;"ing"",""นครศรีธรรมราช!R125"")+IMPORTRANGE(""https://docs.google.com/spreadsheets/d/1iodCdmuK2GR3jzUwk8tpccY2JHQQA-87DLOtJP-ooyU/edit?usp=sharing"",""นราธิวาส!R125"")+IMPORTRANGE(""https://docs.google.com/spreadsheets/d/1SDNX3JhDdYRuIOsj0Wh2M-Qa_eaXl0NbWmh"&amp;"AOTbfQAs/edit?usp=sharing"",""ปัตตานี!R125"")+IMPORTRANGE(""https://docs.google.com/spreadsheets/d/16JDLGguT8s5DsGCND1KcwHP_AWR_zDMTqLHPLJUKhaU/edit?usp=sharing"",""พังงา!R125"")+IMPORTRANGE(""https://docs.google.com/spreadsheets/d/17ht0gPKzzT3PObBL1XJkeR"&amp;"mntBXI7wGjpLV7QorqlTk/edit?usp=sharing"",""พัทลุง!R125"")+IMPORTRANGE(""https://docs.google.com/spreadsheets/d/1rd4qoM1q_hsgaolqNGfrim9gbsoLxQsda4-vOz5x_BM/edit?usp=sharing"",""ภูเก็ต!R125"")+IMPORTRANGE(""https://docs.google.com/spreadsheets/d/1woKwKjgoL"&amp;"ssDvPcPeVyezB5izizAn4X1JDrys69n6xI/edit?usp=sharing"",""ยะลา!R125"")+IMPORTRANGE(""https://docs.google.com/spreadsheets/d/1qfrKjzMhm2HJfxQ-qVlJlJQ25Hne1d0khsySbZyGtPA/edit?usp=sharing"",""ระนอง!R125"")+IMPORTRANGE(""https://docs.google.com/spreadsheets/d/"&amp;"1IbSCnFOKpZsnFogBHJnL_isstZVaOMnFiIN0fGTPZZw/edit?usp=sharing"",""สงขลา!R125"")+IMPORTRANGE(""https://docs.google.com/spreadsheets/d/1q9nWasZJ-K8bFGvbE9n0qSRuKGA4Toe3Y89cKCiVtCU/edit?usp=sharing"",""สตูล!R125"")+IMPORTRANGE(""https://docs.google.com/sprea"&amp;"dsheets/d/18T20gbkS_WBjdscyTOV05cvq_JqvqQ17C81mpxf7Ncs/edit?usp=sharing"",""สุราษฎร์ธานี!R125"")"),3350000)</f>
        <v>3350000</v>
      </c>
      <c r="S125" s="47">
        <f ca="1">IFERROR(__xludf.DUMMYFUNCTION("IMPORTRANGE(""https://docs.google.com/spreadsheets/d/1kKUcYdkIfrgTSj8iHHHB2MD2FAtwyyocFgqGQn6ADyI/edit?usp=sharing"",""กระบี่!S125"")+IMPORTRANGE(""https://docs.google.com/spreadsheets/d/1GwtLaSlNZkLk7iDqcyZz22giiy40b_usZZBXYciEN1U/edit?usp=sharing"",""ชุ"&amp;"มพร!S125"")+IMPORTRANGE(""https://docs.google.com/spreadsheets/d/16pAz3pOhQEZBhvFNMa5KGgZS6iKWpsKX0pg6tQmwFpo/edit?usp=sharing"",""ตรัง!S125"")+IMPORTRANGE(""https://docs.google.com/spreadsheets/d/1Dj4jcHCTV9JXKCaMoheSXS52JE63kDKyG7bPXnFogHk/edit?usp=shar"&amp;"ing"",""นครศรีธรรมราช!S125"")+IMPORTRANGE(""https://docs.google.com/spreadsheets/d/1iodCdmuK2GR3jzUwk8tpccY2JHQQA-87DLOtJP-ooyU/edit?usp=sharing"",""นราธิวาส!S125"")+IMPORTRANGE(""https://docs.google.com/spreadsheets/d/1SDNX3JhDdYRuIOsj0Wh2M-Qa_eaXl0NbWmh"&amp;"AOTbfQAs/edit?usp=sharing"",""ปัตตานี!S125"")+IMPORTRANGE(""https://docs.google.com/spreadsheets/d/16JDLGguT8s5DsGCND1KcwHP_AWR_zDMTqLHPLJUKhaU/edit?usp=sharing"",""พังงา!S125"")+IMPORTRANGE(""https://docs.google.com/spreadsheets/d/17ht0gPKzzT3PObBL1XJkeR"&amp;"mntBXI7wGjpLV7QorqlTk/edit?usp=sharing"",""พัทลุง!S125"")+IMPORTRANGE(""https://docs.google.com/spreadsheets/d/1rd4qoM1q_hsgaolqNGfrim9gbsoLxQsda4-vOz5x_BM/edit?usp=sharing"",""ภูเก็ต!S125"")+IMPORTRANGE(""https://docs.google.com/spreadsheets/d/1woKwKjgoL"&amp;"ssDvPcPeVyezB5izizAn4X1JDrys69n6xI/edit?usp=sharing"",""ยะลา!S125"")+IMPORTRANGE(""https://docs.google.com/spreadsheets/d/1qfrKjzMhm2HJfxQ-qVlJlJQ25Hne1d0khsySbZyGtPA/edit?usp=sharing"",""ระนอง!S125"")+IMPORTRANGE(""https://docs.google.com/spreadsheets/d/"&amp;"1IbSCnFOKpZsnFogBHJnL_isstZVaOMnFiIN0fGTPZZw/edit?usp=sharing"",""สงขลา!S125"")+IMPORTRANGE(""https://docs.google.com/spreadsheets/d/1q9nWasZJ-K8bFGvbE9n0qSRuKGA4Toe3Y89cKCiVtCU/edit?usp=sharing"",""สตูล!S125"")+IMPORTRANGE(""https://docs.google.com/sprea"&amp;"dsheets/d/18T20gbkS_WBjdscyTOV05cvq_JqvqQ17C81mpxf7Ncs/edit?usp=sharing"",""สุราษฎร์ธานี!S125"")"),0)</f>
        <v>0</v>
      </c>
      <c r="T125" s="47">
        <f t="shared" ca="1" si="94"/>
        <v>0</v>
      </c>
      <c r="U125" s="47">
        <f t="shared" ca="1" si="95"/>
        <v>0</v>
      </c>
    </row>
    <row r="126" spans="1:21" ht="19.5" x14ac:dyDescent="0.3">
      <c r="A126" s="138"/>
      <c r="B126" s="139"/>
      <c r="C126" s="188" t="s">
        <v>18</v>
      </c>
      <c r="D126" s="140" t="s">
        <v>38</v>
      </c>
      <c r="E126" s="141"/>
      <c r="F126" s="141"/>
      <c r="G126" s="142"/>
      <c r="H126" s="189"/>
      <c r="I126" s="45"/>
      <c r="J126" s="45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kKUcYdkIfrgTSj8iHHHB2MD2FAtwyyocFgqGQn6ADyI/edit?usp=sharing"",""กระบี่!I127"")+IMPORTRANGE(""https://docs.google.com/spreadsheets/d/1GwtLaSlNZkLk7iDqcyZz22giiy40b_usZZBXYciEN1U/edit?usp=sharing"",""ชุ"&amp;"มพร!I127"")+IMPORTRANGE(""https://docs.google.com/spreadsheets/d/16pAz3pOhQEZBhvFNMa5KGgZS6iKWpsKX0pg6tQmwFpo/edit?usp=sharing"",""ตรัง!I127"")+IMPORTRANGE(""https://docs.google.com/spreadsheets/d/1Dj4jcHCTV9JXKCaMoheSXS52JE63kDKyG7bPXnFogHk/edit?usp=shar"&amp;"ing"",""นครศรีธรรมราช!I127"")+IMPORTRANGE(""https://docs.google.com/spreadsheets/d/1iodCdmuK2GR3jzUwk8tpccY2JHQQA-87DLOtJP-ooyU/edit?usp=sharing"",""นราธิวาส!I127"")+IMPORTRANGE(""https://docs.google.com/spreadsheets/d/1SDNX3JhDdYRuIOsj0Wh2M-Qa_eaXl0NbWmh"&amp;"AOTbfQAs/edit?usp=sharing"",""ปัตตานี!I127"")+IMPORTRANGE(""https://docs.google.com/spreadsheets/d/16JDLGguT8s5DsGCND1KcwHP_AWR_zDMTqLHPLJUKhaU/edit?usp=sharing"",""พังงา!I127"")+IMPORTRANGE(""https://docs.google.com/spreadsheets/d/17ht0gPKzzT3PObBL1XJkeR"&amp;"mntBXI7wGjpLV7QorqlTk/edit?usp=sharing"",""พัทลุง!I127"")+IMPORTRANGE(""https://docs.google.com/spreadsheets/d/1rd4qoM1q_hsgaolqNGfrim9gbsoLxQsda4-vOz5x_BM/edit?usp=sharing"",""ภูเก็ต!I127"")+IMPORTRANGE(""https://docs.google.com/spreadsheets/d/1woKwKjgoL"&amp;"ssDvPcPeVyezB5izizAn4X1JDrys69n6xI/edit?usp=sharing"",""ยะลา!I127"")+IMPORTRANGE(""https://docs.google.com/spreadsheets/d/1qfrKjzMhm2HJfxQ-qVlJlJQ25Hne1d0khsySbZyGtPA/edit?usp=sharing"",""ระนอง!I127"")+IMPORTRANGE(""https://docs.google.com/spreadsheets/d/"&amp;"1IbSCnFOKpZsnFogBHJnL_isstZVaOMnFiIN0fGTPZZw/edit?usp=sharing"",""สงขลา!I127"")+IMPORTRANGE(""https://docs.google.com/spreadsheets/d/1q9nWasZJ-K8bFGvbE9n0qSRuKGA4Toe3Y89cKCiVtCU/edit?usp=sharing"",""สตูล!I127"")+IMPORTRANGE(""https://docs.google.com/sprea"&amp;"dsheets/d/18T20gbkS_WBjdscyTOV05cvq_JqvqQ17C81mpxf7Ncs/edit?usp=sharing"",""สุราษฎร์ธานี!I127"")"),255)</f>
        <v>255</v>
      </c>
      <c r="J127" s="167">
        <f ca="1">IFERROR(__xludf.DUMMYFUNCTION("IMPORTRANGE(""https://docs.google.com/spreadsheets/d/1kKUcYdkIfrgTSj8iHHHB2MD2FAtwyyocFgqGQn6ADyI/edit?usp=sharing"",""กระบี่!J127"")+IMPORTRANGE(""https://docs.google.com/spreadsheets/d/1GwtLaSlNZkLk7iDqcyZz22giiy40b_usZZBXYciEN1U/edit?usp=sharing"",""ชุ"&amp;"มพร!J127"")+IMPORTRANGE(""https://docs.google.com/spreadsheets/d/16pAz3pOhQEZBhvFNMa5KGgZS6iKWpsKX0pg6tQmwFpo/edit?usp=sharing"",""ตรัง!J127"")+IMPORTRANGE(""https://docs.google.com/spreadsheets/d/1Dj4jcHCTV9JXKCaMoheSXS52JE63kDKyG7bPXnFogHk/edit?usp=shar"&amp;"ing"",""นครศรีธรรมราช!J127"")+IMPORTRANGE(""https://docs.google.com/spreadsheets/d/1iodCdmuK2GR3jzUwk8tpccY2JHQQA-87DLOtJP-ooyU/edit?usp=sharing"",""นราธิวาส!J127"")+IMPORTRANGE(""https://docs.google.com/spreadsheets/d/1SDNX3JhDdYRuIOsj0Wh2M-Qa_eaXl0NbWmh"&amp;"AOTbfQAs/edit?usp=sharing"",""ปัตตานี!J127"")+IMPORTRANGE(""https://docs.google.com/spreadsheets/d/16JDLGguT8s5DsGCND1KcwHP_AWR_zDMTqLHPLJUKhaU/edit?usp=sharing"",""พังงา!J127"")+IMPORTRANGE(""https://docs.google.com/spreadsheets/d/17ht0gPKzzT3PObBL1XJkeR"&amp;"mntBXI7wGjpLV7QorqlTk/edit?usp=sharing"",""พัทลุง!J127"")+IMPORTRANGE(""https://docs.google.com/spreadsheets/d/1rd4qoM1q_hsgaolqNGfrim9gbsoLxQsda4-vOz5x_BM/edit?usp=sharing"",""ภูเก็ต!J127"")+IMPORTRANGE(""https://docs.google.com/spreadsheets/d/1woKwKjgoL"&amp;"ssDvPcPeVyezB5izizAn4X1JDrys69n6xI/edit?usp=sharing"",""ยะลา!J127"")+IMPORTRANGE(""https://docs.google.com/spreadsheets/d/1qfrKjzMhm2HJfxQ-qVlJlJQ25Hne1d0khsySbZyGtPA/edit?usp=sharing"",""ระนอง!J127"")+IMPORTRANGE(""https://docs.google.com/spreadsheets/d/"&amp;"1IbSCnFOKpZsnFogBHJnL_isstZVaOMnFiIN0fGTPZZw/edit?usp=sharing"",""สงขลา!J127"")+IMPORTRANGE(""https://docs.google.com/spreadsheets/d/1q9nWasZJ-K8bFGvbE9n0qSRuKGA4Toe3Y89cKCiVtCU/edit?usp=sharing"",""สตูล!J127"")+IMPORTRANGE(""https://docs.google.com/sprea"&amp;"dsheets/d/18T20gbkS_WBjdscyTOV05cvq_JqvqQ17C81mpxf7Ncs/edit?usp=sharing"",""สุราษฎร์ธานี!J127"")"),210)</f>
        <v>210</v>
      </c>
      <c r="K127" s="47">
        <f t="shared" ref="K127:K130" ca="1" si="104">IF(I127&gt;0,J127*100/I127,0)</f>
        <v>82.352941176470594</v>
      </c>
      <c r="L127" s="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kKUcYdkIfrgTSj8iHHHB2MD2FAtwyyocFgqGQn6ADyI/edit?usp=sharing"",""กระบี่!I128"")+IMPORTRANGE(""https://docs.google.com/spreadsheets/d/1GwtLaSlNZkLk7iDqcyZz22giiy40b_usZZBXYciEN1U/edit?usp=sharing"",""ชุ"&amp;"มพร!I128"")+IMPORTRANGE(""https://docs.google.com/spreadsheets/d/16pAz3pOhQEZBhvFNMa5KGgZS6iKWpsKX0pg6tQmwFpo/edit?usp=sharing"",""ตรัง!I128"")+IMPORTRANGE(""https://docs.google.com/spreadsheets/d/1Dj4jcHCTV9JXKCaMoheSXS52JE63kDKyG7bPXnFogHk/edit?usp=shar"&amp;"ing"",""นครศรีธรรมราช!I128"")+IMPORTRANGE(""https://docs.google.com/spreadsheets/d/1iodCdmuK2GR3jzUwk8tpccY2JHQQA-87DLOtJP-ooyU/edit?usp=sharing"",""นราธิวาส!I128"")+IMPORTRANGE(""https://docs.google.com/spreadsheets/d/1SDNX3JhDdYRuIOsj0Wh2M-Qa_eaXl0NbWmh"&amp;"AOTbfQAs/edit?usp=sharing"",""ปัตตานี!I128"")+IMPORTRANGE(""https://docs.google.com/spreadsheets/d/16JDLGguT8s5DsGCND1KcwHP_AWR_zDMTqLHPLJUKhaU/edit?usp=sharing"",""พังงา!I128"")+IMPORTRANGE(""https://docs.google.com/spreadsheets/d/17ht0gPKzzT3PObBL1XJkeR"&amp;"mntBXI7wGjpLV7QorqlTk/edit?usp=sharing"",""พัทลุง!I128"")+IMPORTRANGE(""https://docs.google.com/spreadsheets/d/1rd4qoM1q_hsgaolqNGfrim9gbsoLxQsda4-vOz5x_BM/edit?usp=sharing"",""ภูเก็ต!I128"")+IMPORTRANGE(""https://docs.google.com/spreadsheets/d/1woKwKjgoL"&amp;"ssDvPcPeVyezB5izizAn4X1JDrys69n6xI/edit?usp=sharing"",""ยะลา!I128"")+IMPORTRANGE(""https://docs.google.com/spreadsheets/d/1qfrKjzMhm2HJfxQ-qVlJlJQ25Hne1d0khsySbZyGtPA/edit?usp=sharing"",""ระนอง!I128"")+IMPORTRANGE(""https://docs.google.com/spreadsheets/d/"&amp;"1IbSCnFOKpZsnFogBHJnL_isstZVaOMnFiIN0fGTPZZw/edit?usp=sharing"",""สงขลา!I128"")+IMPORTRANGE(""https://docs.google.com/spreadsheets/d/1q9nWasZJ-K8bFGvbE9n0qSRuKGA4Toe3Y89cKCiVtCU/edit?usp=sharing"",""สตูล!I128"")+IMPORTRANGE(""https://docs.google.com/sprea"&amp;"dsheets/d/18T20gbkS_WBjdscyTOV05cvq_JqvqQ17C81mpxf7Ncs/edit?usp=sharing"",""สุราษฎร์ธานี!I128"")"),0)</f>
        <v>0</v>
      </c>
      <c r="J128" s="167">
        <f ca="1">IFERROR(__xludf.DUMMYFUNCTION("IMPORTRANGE(""https://docs.google.com/spreadsheets/d/1kKUcYdkIfrgTSj8iHHHB2MD2FAtwyyocFgqGQn6ADyI/edit?usp=sharing"",""กระบี่!J128"")+IMPORTRANGE(""https://docs.google.com/spreadsheets/d/1GwtLaSlNZkLk7iDqcyZz22giiy40b_usZZBXYciEN1U/edit?usp=sharing"",""ชุ"&amp;"มพร!J128"")+IMPORTRANGE(""https://docs.google.com/spreadsheets/d/16pAz3pOhQEZBhvFNMa5KGgZS6iKWpsKX0pg6tQmwFpo/edit?usp=sharing"",""ตรัง!J128"")+IMPORTRANGE(""https://docs.google.com/spreadsheets/d/1Dj4jcHCTV9JXKCaMoheSXS52JE63kDKyG7bPXnFogHk/edit?usp=shar"&amp;"ing"",""นครศรีธรรมราช!J128"")+IMPORTRANGE(""https://docs.google.com/spreadsheets/d/1iodCdmuK2GR3jzUwk8tpccY2JHQQA-87DLOtJP-ooyU/edit?usp=sharing"",""นราธิวาส!J128"")+IMPORTRANGE(""https://docs.google.com/spreadsheets/d/1SDNX3JhDdYRuIOsj0Wh2M-Qa_eaXl0NbWmh"&amp;"AOTbfQAs/edit?usp=sharing"",""ปัตตานี!J128"")+IMPORTRANGE(""https://docs.google.com/spreadsheets/d/16JDLGguT8s5DsGCND1KcwHP_AWR_zDMTqLHPLJUKhaU/edit?usp=sharing"",""พังงา!J128"")+IMPORTRANGE(""https://docs.google.com/spreadsheets/d/17ht0gPKzzT3PObBL1XJkeR"&amp;"mntBXI7wGjpLV7QorqlTk/edit?usp=sharing"",""พัทลุง!J128"")+IMPORTRANGE(""https://docs.google.com/spreadsheets/d/1rd4qoM1q_hsgaolqNGfrim9gbsoLxQsda4-vOz5x_BM/edit?usp=sharing"",""ภูเก็ต!J128"")+IMPORTRANGE(""https://docs.google.com/spreadsheets/d/1woKwKjgoL"&amp;"ssDvPcPeVyezB5izizAn4X1JDrys69n6xI/edit?usp=sharing"",""ยะลา!J128"")+IMPORTRANGE(""https://docs.google.com/spreadsheets/d/1qfrKjzMhm2HJfxQ-qVlJlJQ25Hne1d0khsySbZyGtPA/edit?usp=sharing"",""ระนอง!J128"")+IMPORTRANGE(""https://docs.google.com/spreadsheets/d/"&amp;"1IbSCnFOKpZsnFogBHJnL_isstZVaOMnFiIN0fGTPZZw/edit?usp=sharing"",""สงขลา!J128"")+IMPORTRANGE(""https://docs.google.com/spreadsheets/d/1q9nWasZJ-K8bFGvbE9n0qSRuKGA4Toe3Y89cKCiVtCU/edit?usp=sharing"",""สตูล!J128"")+IMPORTRANGE(""https://docs.google.com/sprea"&amp;"dsheets/d/18T20gbkS_WBjdscyTOV05cvq_JqvqQ17C81mpxf7Ncs/edit?usp=sharing"",""สุราษฎร์ธานี!J128"")"),4)</f>
        <v>4</v>
      </c>
      <c r="K128" s="47">
        <f t="shared" ca="1" si="104"/>
        <v>0</v>
      </c>
      <c r="L128" s="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kKUcYdkIfrgTSj8iHHHB2MD2FAtwyyocFgqGQn6ADyI/edit?usp=sharing"",""กระบี่!I129"")+IMPORTRANGE(""https://docs.google.com/spreadsheets/d/1GwtLaSlNZkLk7iDqcyZz22giiy40b_usZZBXYciEN1U/edit?usp=sharing"",""ชุ"&amp;"มพร!I129"")+IMPORTRANGE(""https://docs.google.com/spreadsheets/d/16pAz3pOhQEZBhvFNMa5KGgZS6iKWpsKX0pg6tQmwFpo/edit?usp=sharing"",""ตรัง!I129"")+IMPORTRANGE(""https://docs.google.com/spreadsheets/d/1Dj4jcHCTV9JXKCaMoheSXS52JE63kDKyG7bPXnFogHk/edit?usp=shar"&amp;"ing"",""นครศรีธรรมราช!I129"")+IMPORTRANGE(""https://docs.google.com/spreadsheets/d/1iodCdmuK2GR3jzUwk8tpccY2JHQQA-87DLOtJP-ooyU/edit?usp=sharing"",""นราธิวาส!I129"")+IMPORTRANGE(""https://docs.google.com/spreadsheets/d/1SDNX3JhDdYRuIOsj0Wh2M-Qa_eaXl0NbWmh"&amp;"AOTbfQAs/edit?usp=sharing"",""ปัตตานี!I129"")+IMPORTRANGE(""https://docs.google.com/spreadsheets/d/16JDLGguT8s5DsGCND1KcwHP_AWR_zDMTqLHPLJUKhaU/edit?usp=sharing"",""พังงา!I129"")+IMPORTRANGE(""https://docs.google.com/spreadsheets/d/17ht0gPKzzT3PObBL1XJkeR"&amp;"mntBXI7wGjpLV7QorqlTk/edit?usp=sharing"",""พัทลุง!I129"")+IMPORTRANGE(""https://docs.google.com/spreadsheets/d/1rd4qoM1q_hsgaolqNGfrim9gbsoLxQsda4-vOz5x_BM/edit?usp=sharing"",""ภูเก็ต!I129"")+IMPORTRANGE(""https://docs.google.com/spreadsheets/d/1woKwKjgoL"&amp;"ssDvPcPeVyezB5izizAn4X1JDrys69n6xI/edit?usp=sharing"",""ยะลา!I129"")+IMPORTRANGE(""https://docs.google.com/spreadsheets/d/1qfrKjzMhm2HJfxQ-qVlJlJQ25Hne1d0khsySbZyGtPA/edit?usp=sharing"",""ระนอง!I129"")+IMPORTRANGE(""https://docs.google.com/spreadsheets/d/"&amp;"1IbSCnFOKpZsnFogBHJnL_isstZVaOMnFiIN0fGTPZZw/edit?usp=sharing"",""สงขลา!I129"")+IMPORTRANGE(""https://docs.google.com/spreadsheets/d/1q9nWasZJ-K8bFGvbE9n0qSRuKGA4Toe3Y89cKCiVtCU/edit?usp=sharing"",""สตูล!I129"")+IMPORTRANGE(""https://docs.google.com/sprea"&amp;"dsheets/d/18T20gbkS_WBjdscyTOV05cvq_JqvqQ17C81mpxf7Ncs/edit?usp=sharing"",""สุราษฎร์ธานี!I129"")"),225)</f>
        <v>225</v>
      </c>
      <c r="J129" s="167">
        <f ca="1">IFERROR(__xludf.DUMMYFUNCTION("IMPORTRANGE(""https://docs.google.com/spreadsheets/d/1kKUcYdkIfrgTSj8iHHHB2MD2FAtwyyocFgqGQn6ADyI/edit?usp=sharing"",""กระบี่!J129"")+IMPORTRANGE(""https://docs.google.com/spreadsheets/d/1GwtLaSlNZkLk7iDqcyZz22giiy40b_usZZBXYciEN1U/edit?usp=sharing"",""ชุ"&amp;"มพร!J129"")+IMPORTRANGE(""https://docs.google.com/spreadsheets/d/16pAz3pOhQEZBhvFNMa5KGgZS6iKWpsKX0pg6tQmwFpo/edit?usp=sharing"",""ตรัง!J129"")+IMPORTRANGE(""https://docs.google.com/spreadsheets/d/1Dj4jcHCTV9JXKCaMoheSXS52JE63kDKyG7bPXnFogHk/edit?usp=shar"&amp;"ing"",""นครศรีธรรมราช!J129"")+IMPORTRANGE(""https://docs.google.com/spreadsheets/d/1iodCdmuK2GR3jzUwk8tpccY2JHQQA-87DLOtJP-ooyU/edit?usp=sharing"",""นราธิวาส!J129"")+IMPORTRANGE(""https://docs.google.com/spreadsheets/d/1SDNX3JhDdYRuIOsj0Wh2M-Qa_eaXl0NbWmh"&amp;"AOTbfQAs/edit?usp=sharing"",""ปัตตานี!J129"")+IMPORTRANGE(""https://docs.google.com/spreadsheets/d/16JDLGguT8s5DsGCND1KcwHP_AWR_zDMTqLHPLJUKhaU/edit?usp=sharing"",""พังงา!J129"")+IMPORTRANGE(""https://docs.google.com/spreadsheets/d/17ht0gPKzzT3PObBL1XJkeR"&amp;"mntBXI7wGjpLV7QorqlTk/edit?usp=sharing"",""พัทลุง!J129"")+IMPORTRANGE(""https://docs.google.com/spreadsheets/d/1rd4qoM1q_hsgaolqNGfrim9gbsoLxQsda4-vOz5x_BM/edit?usp=sharing"",""ภูเก็ต!J129"")+IMPORTRANGE(""https://docs.google.com/spreadsheets/d/1woKwKjgoL"&amp;"ssDvPcPeVyezB5izizAn4X1JDrys69n6xI/edit?usp=sharing"",""ยะลา!J129"")+IMPORTRANGE(""https://docs.google.com/spreadsheets/d/1qfrKjzMhm2HJfxQ-qVlJlJQ25Hne1d0khsySbZyGtPA/edit?usp=sharing"",""ระนอง!J129"")+IMPORTRANGE(""https://docs.google.com/spreadsheets/d/"&amp;"1IbSCnFOKpZsnFogBHJnL_isstZVaOMnFiIN0fGTPZZw/edit?usp=sharing"",""สงขลา!J129"")+IMPORTRANGE(""https://docs.google.com/spreadsheets/d/1q9nWasZJ-K8bFGvbE9n0qSRuKGA4Toe3Y89cKCiVtCU/edit?usp=sharing"",""สตูล!J129"")+IMPORTRANGE(""https://docs.google.com/sprea"&amp;"dsheets/d/18T20gbkS_WBjdscyTOV05cvq_JqvqQ17C81mpxf7Ncs/edit?usp=sharing"",""สุราษฎร์ธานี!J129"")"),180)</f>
        <v>180</v>
      </c>
      <c r="K129" s="47">
        <f t="shared" ca="1" si="104"/>
        <v>80</v>
      </c>
      <c r="L129" s="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kKUcYdkIfrgTSj8iHHHB2MD2FAtwyyocFgqGQn6ADyI/edit?usp=sharing"",""กระบี่!I130"")+IMPORTRANGE(""https://docs.google.com/spreadsheets/d/1GwtLaSlNZkLk7iDqcyZz22giiy40b_usZZBXYciEN1U/edit?usp=sharing"",""ชุ"&amp;"มพร!I130"")+IMPORTRANGE(""https://docs.google.com/spreadsheets/d/16pAz3pOhQEZBhvFNMa5KGgZS6iKWpsKX0pg6tQmwFpo/edit?usp=sharing"",""ตรัง!I130"")+IMPORTRANGE(""https://docs.google.com/spreadsheets/d/1Dj4jcHCTV9JXKCaMoheSXS52JE63kDKyG7bPXnFogHk/edit?usp=shar"&amp;"ing"",""นครศรีธรรมราช!I130"")+IMPORTRANGE(""https://docs.google.com/spreadsheets/d/1iodCdmuK2GR3jzUwk8tpccY2JHQQA-87DLOtJP-ooyU/edit?usp=sharing"",""นราธิวาส!I130"")+IMPORTRANGE(""https://docs.google.com/spreadsheets/d/1SDNX3JhDdYRuIOsj0Wh2M-Qa_eaXl0NbWmh"&amp;"AOTbfQAs/edit?usp=sharing"",""ปัตตานี!I130"")+IMPORTRANGE(""https://docs.google.com/spreadsheets/d/16JDLGguT8s5DsGCND1KcwHP_AWR_zDMTqLHPLJUKhaU/edit?usp=sharing"",""พังงา!I130"")+IMPORTRANGE(""https://docs.google.com/spreadsheets/d/17ht0gPKzzT3PObBL1XJkeR"&amp;"mntBXI7wGjpLV7QorqlTk/edit?usp=sharing"",""พัทลุง!I130"")+IMPORTRANGE(""https://docs.google.com/spreadsheets/d/1rd4qoM1q_hsgaolqNGfrim9gbsoLxQsda4-vOz5x_BM/edit?usp=sharing"",""ภูเก็ต!I130"")+IMPORTRANGE(""https://docs.google.com/spreadsheets/d/1woKwKjgoL"&amp;"ssDvPcPeVyezB5izizAn4X1JDrys69n6xI/edit?usp=sharing"",""ยะลา!I130"")+IMPORTRANGE(""https://docs.google.com/spreadsheets/d/1qfrKjzMhm2HJfxQ-qVlJlJQ25Hne1d0khsySbZyGtPA/edit?usp=sharing"",""ระนอง!I130"")+IMPORTRANGE(""https://docs.google.com/spreadsheets/d/"&amp;"1IbSCnFOKpZsnFogBHJnL_isstZVaOMnFiIN0fGTPZZw/edit?usp=sharing"",""สงขลา!I130"")+IMPORTRANGE(""https://docs.google.com/spreadsheets/d/1q9nWasZJ-K8bFGvbE9n0qSRuKGA4Toe3Y89cKCiVtCU/edit?usp=sharing"",""สตูล!I130"")+IMPORTRANGE(""https://docs.google.com/sprea"&amp;"dsheets/d/18T20gbkS_WBjdscyTOV05cvq_JqvqQ17C81mpxf7Ncs/edit?usp=sharing"",""สุราษฎร์ธานี!I130"")"),0)</f>
        <v>0</v>
      </c>
      <c r="J130" s="167">
        <f ca="1">IFERROR(__xludf.DUMMYFUNCTION("IMPORTRANGE(""https://docs.google.com/spreadsheets/d/1kKUcYdkIfrgTSj8iHHHB2MD2FAtwyyocFgqGQn6ADyI/edit?usp=sharing"",""กระบี่!J130"")+IMPORTRANGE(""https://docs.google.com/spreadsheets/d/1GwtLaSlNZkLk7iDqcyZz22giiy40b_usZZBXYciEN1U/edit?usp=sharing"",""ชุ"&amp;"มพร!J130"")+IMPORTRANGE(""https://docs.google.com/spreadsheets/d/16pAz3pOhQEZBhvFNMa5KGgZS6iKWpsKX0pg6tQmwFpo/edit?usp=sharing"",""ตรัง!J130"")+IMPORTRANGE(""https://docs.google.com/spreadsheets/d/1Dj4jcHCTV9JXKCaMoheSXS52JE63kDKyG7bPXnFogHk/edit?usp=shar"&amp;"ing"",""นครศรีธรรมราช!J130"")+IMPORTRANGE(""https://docs.google.com/spreadsheets/d/1iodCdmuK2GR3jzUwk8tpccY2JHQQA-87DLOtJP-ooyU/edit?usp=sharing"",""นราธิวาส!J130"")+IMPORTRANGE(""https://docs.google.com/spreadsheets/d/1SDNX3JhDdYRuIOsj0Wh2M-Qa_eaXl0NbWmh"&amp;"AOTbfQAs/edit?usp=sharing"",""ปัตตานี!J130"")+IMPORTRANGE(""https://docs.google.com/spreadsheets/d/16JDLGguT8s5DsGCND1KcwHP_AWR_zDMTqLHPLJUKhaU/edit?usp=sharing"",""พังงา!J130"")+IMPORTRANGE(""https://docs.google.com/spreadsheets/d/17ht0gPKzzT3PObBL1XJkeR"&amp;"mntBXI7wGjpLV7QorqlTk/edit?usp=sharing"",""พัทลุง!J130"")+IMPORTRANGE(""https://docs.google.com/spreadsheets/d/1rd4qoM1q_hsgaolqNGfrim9gbsoLxQsda4-vOz5x_BM/edit?usp=sharing"",""ภูเก็ต!J130"")+IMPORTRANGE(""https://docs.google.com/spreadsheets/d/1woKwKjgoL"&amp;"ssDvPcPeVyezB5izizAn4X1JDrys69n6xI/edit?usp=sharing"",""ยะลา!J130"")+IMPORTRANGE(""https://docs.google.com/spreadsheets/d/1qfrKjzMhm2HJfxQ-qVlJlJQ25Hne1d0khsySbZyGtPA/edit?usp=sharing"",""ระนอง!J130"")+IMPORTRANGE(""https://docs.google.com/spreadsheets/d/"&amp;"1IbSCnFOKpZsnFogBHJnL_isstZVaOMnFiIN0fGTPZZw/edit?usp=sharing"",""สงขลา!J130"")+IMPORTRANGE(""https://docs.google.com/spreadsheets/d/1q9nWasZJ-K8bFGvbE9n0qSRuKGA4Toe3Y89cKCiVtCU/edit?usp=sharing"",""สตูล!J130"")+IMPORTRANGE(""https://docs.google.com/sprea"&amp;"dsheets/d/18T20gbkS_WBjdscyTOV05cvq_JqvqQ17C81mpxf7Ncs/edit?usp=sharing"",""สุราษฎร์ธานี!J130"")"),4)</f>
        <v>4</v>
      </c>
      <c r="K130" s="47">
        <f t="shared" ca="1" si="104"/>
        <v>0</v>
      </c>
      <c r="L130" s="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22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t="shared" ref="I136:J136" ca="1" si="105">I154</f>
        <v>5</v>
      </c>
      <c r="J136" s="127">
        <f t="shared" ca="1" si="105"/>
        <v>0</v>
      </c>
      <c r="K136" s="35">
        <f t="shared" ref="K136:K138" ca="1" si="106">IF(I136&gt;0,J136*100/I136,0)</f>
        <v>0</v>
      </c>
      <c r="L136" s="34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t="shared" ref="I137:J137" ca="1" si="107">I152</f>
        <v>200</v>
      </c>
      <c r="J137" s="127">
        <f t="shared" ca="1" si="107"/>
        <v>90</v>
      </c>
      <c r="K137" s="35">
        <f t="shared" ca="1" si="106"/>
        <v>45</v>
      </c>
      <c r="L137" s="34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t="shared" ref="I138:J138" ca="1" si="108">I153</f>
        <v>20</v>
      </c>
      <c r="J138" s="127">
        <f t="shared" ca="1" si="108"/>
        <v>9</v>
      </c>
      <c r="K138" s="35">
        <f t="shared" ca="1" si="106"/>
        <v>45</v>
      </c>
      <c r="L138" s="34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129" t="s">
        <v>18</v>
      </c>
      <c r="D139" s="130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132">
        <f t="shared" ref="L139:N139" ca="1" si="109">L140+L141</f>
        <v>597100</v>
      </c>
      <c r="M139" s="132">
        <f t="shared" ca="1" si="109"/>
        <v>562100</v>
      </c>
      <c r="N139" s="132">
        <f t="shared" ca="1" si="109"/>
        <v>418826.49</v>
      </c>
      <c r="O139" s="132">
        <f t="shared" ref="O139:O147" ca="1" si="110">IF(L139&gt;0,N139*100/L139,0)</f>
        <v>70.143441634567068</v>
      </c>
      <c r="P139" s="132">
        <f t="shared" ref="P139:P147" ca="1" si="111">IF(M139&gt;0,N139*100/M139,0)</f>
        <v>74.511028286781709</v>
      </c>
      <c r="Q139" s="132">
        <f t="shared" ref="Q139:S139" ca="1" si="112">Q140+Q141</f>
        <v>959020</v>
      </c>
      <c r="R139" s="132">
        <f t="shared" ca="1" si="112"/>
        <v>959020</v>
      </c>
      <c r="S139" s="132">
        <f t="shared" ca="1" si="112"/>
        <v>0</v>
      </c>
      <c r="T139" s="132">
        <f t="shared" ref="T139:T147" ca="1" si="113">IF(Q139&gt;0,S139*100/Q139,0)</f>
        <v>0</v>
      </c>
      <c r="U139" s="132">
        <f t="shared" ref="U139:U147" ca="1" si="114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48" t="s">
        <v>20</v>
      </c>
      <c r="F140" s="41"/>
      <c r="G140" s="43"/>
      <c r="H140" s="133" t="s">
        <v>14</v>
      </c>
      <c r="I140" s="45"/>
      <c r="J140" s="45"/>
      <c r="K140" s="46"/>
      <c r="L140" s="47">
        <f t="shared" ref="L140:N140" ca="1" si="115">L143+L146</f>
        <v>0</v>
      </c>
      <c r="M140" s="47">
        <f t="shared" ca="1" si="115"/>
        <v>0</v>
      </c>
      <c r="N140" s="47">
        <f t="shared" ca="1" si="115"/>
        <v>0</v>
      </c>
      <c r="O140" s="47">
        <f t="shared" ca="1" si="110"/>
        <v>0</v>
      </c>
      <c r="P140" s="47">
        <f t="shared" ca="1" si="111"/>
        <v>0</v>
      </c>
      <c r="Q140" s="47">
        <f t="shared" ref="Q140:S140" ca="1" si="116">Q143+Q146</f>
        <v>0</v>
      </c>
      <c r="R140" s="47">
        <f t="shared" ca="1" si="116"/>
        <v>0</v>
      </c>
      <c r="S140" s="47">
        <f t="shared" ca="1" si="116"/>
        <v>0</v>
      </c>
      <c r="T140" s="49">
        <f t="shared" ca="1" si="113"/>
        <v>0</v>
      </c>
      <c r="U140" s="49">
        <f t="shared" ca="1" si="114"/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47">
        <f t="shared" ref="L141:N141" ca="1" si="117">L144+L147</f>
        <v>597100</v>
      </c>
      <c r="M141" s="47">
        <f t="shared" ca="1" si="117"/>
        <v>562100</v>
      </c>
      <c r="N141" s="47">
        <f t="shared" ca="1" si="117"/>
        <v>418826.49</v>
      </c>
      <c r="O141" s="47">
        <f t="shared" ca="1" si="110"/>
        <v>70.143441634567068</v>
      </c>
      <c r="P141" s="47">
        <f t="shared" ca="1" si="111"/>
        <v>74.511028286781709</v>
      </c>
      <c r="Q141" s="47">
        <f t="shared" ref="Q141:S141" ca="1" si="118">Q144+Q147</f>
        <v>959020</v>
      </c>
      <c r="R141" s="47">
        <f t="shared" ca="1" si="118"/>
        <v>959020</v>
      </c>
      <c r="S141" s="47">
        <f t="shared" ca="1" si="118"/>
        <v>0</v>
      </c>
      <c r="T141" s="47">
        <f t="shared" ca="1" si="113"/>
        <v>0</v>
      </c>
      <c r="U141" s="47">
        <f t="shared" ca="1" si="114"/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47">
        <f t="shared" ref="L142:N142" ca="1" si="119">L143+L144</f>
        <v>597100</v>
      </c>
      <c r="M142" s="47">
        <f t="shared" ca="1" si="119"/>
        <v>562100</v>
      </c>
      <c r="N142" s="47">
        <f t="shared" ca="1" si="119"/>
        <v>418826.49</v>
      </c>
      <c r="O142" s="47">
        <f t="shared" ca="1" si="110"/>
        <v>70.143441634567068</v>
      </c>
      <c r="P142" s="47">
        <f t="shared" ca="1" si="111"/>
        <v>74.511028286781709</v>
      </c>
      <c r="Q142" s="47">
        <f t="shared" ref="Q142:S142" ca="1" si="120">Q143+Q144</f>
        <v>959020</v>
      </c>
      <c r="R142" s="47">
        <f t="shared" ca="1" si="120"/>
        <v>959020</v>
      </c>
      <c r="S142" s="47">
        <f t="shared" ca="1" si="120"/>
        <v>0</v>
      </c>
      <c r="T142" s="47">
        <f t="shared" ca="1" si="113"/>
        <v>0</v>
      </c>
      <c r="U142" s="47">
        <f t="shared" ca="1" si="114"/>
        <v>0</v>
      </c>
    </row>
    <row r="143" spans="1:21" ht="18.75" hidden="1" x14ac:dyDescent="0.25">
      <c r="A143" s="128"/>
      <c r="B143" s="41"/>
      <c r="C143" s="41"/>
      <c r="D143" s="41"/>
      <c r="E143" s="48" t="s">
        <v>36</v>
      </c>
      <c r="F143" s="41"/>
      <c r="G143" s="43"/>
      <c r="H143" s="134" t="s">
        <v>14</v>
      </c>
      <c r="I143" s="135"/>
      <c r="J143" s="135"/>
      <c r="K143" s="136"/>
      <c r="L143" s="47">
        <f ca="1">IFERROR(__xludf.DUMMYFUNCTION("IMPORTRANGE(""https://docs.google.com/spreadsheets/d/1kKUcYdkIfrgTSj8iHHHB2MD2FAtwyyocFgqGQn6ADyI/edit?usp=sharing"",""กระบี่!L143"")+IMPORTRANGE(""https://docs.google.com/spreadsheets/d/1GwtLaSlNZkLk7iDqcyZz22giiy40b_usZZBXYciEN1U/edit?usp=sharing"",""ชุ"&amp;"มพร!L143"")+IMPORTRANGE(""https://docs.google.com/spreadsheets/d/16pAz3pOhQEZBhvFNMa5KGgZS6iKWpsKX0pg6tQmwFpo/edit?usp=sharing"",""ตรัง!L143"")+IMPORTRANGE(""https://docs.google.com/spreadsheets/d/1Dj4jcHCTV9JXKCaMoheSXS52JE63kDKyG7bPXnFogHk/edit?usp=shar"&amp;"ing"",""นครศรีธรรมราช!L143"")+IMPORTRANGE(""https://docs.google.com/spreadsheets/d/1iodCdmuK2GR3jzUwk8tpccY2JHQQA-87DLOtJP-ooyU/edit?usp=sharing"",""นราธิวาส!L143"")+IMPORTRANGE(""https://docs.google.com/spreadsheets/d/1SDNX3JhDdYRuIOsj0Wh2M-Qa_eaXl0NbWmh"&amp;"AOTbfQAs/edit?usp=sharing"",""ปัตตานี!L143"")+IMPORTRANGE(""https://docs.google.com/spreadsheets/d/16JDLGguT8s5DsGCND1KcwHP_AWR_zDMTqLHPLJUKhaU/edit?usp=sharing"",""พังงา!L143"")+IMPORTRANGE(""https://docs.google.com/spreadsheets/d/17ht0gPKzzT3PObBL1XJkeR"&amp;"mntBXI7wGjpLV7QorqlTk/edit?usp=sharing"",""พัทลุง!L143"")+IMPORTRANGE(""https://docs.google.com/spreadsheets/d/1rd4qoM1q_hsgaolqNGfrim9gbsoLxQsda4-vOz5x_BM/edit?usp=sharing"",""ภูเก็ต!L143"")+IMPORTRANGE(""https://docs.google.com/spreadsheets/d/1woKwKjgoL"&amp;"ssDvPcPeVyezB5izizAn4X1JDrys69n6xI/edit?usp=sharing"",""ยะลา!L143"")+IMPORTRANGE(""https://docs.google.com/spreadsheets/d/1qfrKjzMhm2HJfxQ-qVlJlJQ25Hne1d0khsySbZyGtPA/edit?usp=sharing"",""ระนอง!L143"")+IMPORTRANGE(""https://docs.google.com/spreadsheets/d/"&amp;"1IbSCnFOKpZsnFogBHJnL_isstZVaOMnFiIN0fGTPZZw/edit?usp=sharing"",""สงขลา!L143"")+IMPORTRANGE(""https://docs.google.com/spreadsheets/d/1q9nWasZJ-K8bFGvbE9n0qSRuKGA4Toe3Y89cKCiVtCU/edit?usp=sharing"",""สตูล!L143"")+IMPORTRANGE(""https://docs.google.com/sprea"&amp;"dsheets/d/18T20gbkS_WBjdscyTOV05cvq_JqvqQ17C81mpxf7Ncs/edit?usp=sharing"",""สุราษฎร์ธานี!L143"")"),0)</f>
        <v>0</v>
      </c>
      <c r="M143" s="47">
        <f ca="1">IFERROR(__xludf.DUMMYFUNCTION("IMPORTRANGE(""https://docs.google.com/spreadsheets/d/1kKUcYdkIfrgTSj8iHHHB2MD2FAtwyyocFgqGQn6ADyI/edit?usp=sharing"",""กระบี่!M143"")+IMPORTRANGE(""https://docs.google.com/spreadsheets/d/1GwtLaSlNZkLk7iDqcyZz22giiy40b_usZZBXYciEN1U/edit?usp=sharing"",""ชุ"&amp;"มพร!M143"")+IMPORTRANGE(""https://docs.google.com/spreadsheets/d/16pAz3pOhQEZBhvFNMa5KGgZS6iKWpsKX0pg6tQmwFpo/edit?usp=sharing"",""ตรัง!M143"")+IMPORTRANGE(""https://docs.google.com/spreadsheets/d/1Dj4jcHCTV9JXKCaMoheSXS52JE63kDKyG7bPXnFogHk/edit?usp=shar"&amp;"ing"",""นครศรีธรรมราช!M143"")+IMPORTRANGE(""https://docs.google.com/spreadsheets/d/1iodCdmuK2GR3jzUwk8tpccY2JHQQA-87DLOtJP-ooyU/edit?usp=sharing"",""นราธิวาส!M143"")+IMPORTRANGE(""https://docs.google.com/spreadsheets/d/1SDNX3JhDdYRuIOsj0Wh2M-Qa_eaXl0NbWmh"&amp;"AOTbfQAs/edit?usp=sharing"",""ปัตตานี!M143"")+IMPORTRANGE(""https://docs.google.com/spreadsheets/d/16JDLGguT8s5DsGCND1KcwHP_AWR_zDMTqLHPLJUKhaU/edit?usp=sharing"",""พังงา!M143"")+IMPORTRANGE(""https://docs.google.com/spreadsheets/d/17ht0gPKzzT3PObBL1XJkeR"&amp;"mntBXI7wGjpLV7QorqlTk/edit?usp=sharing"",""พัทลุง!M143"")+IMPORTRANGE(""https://docs.google.com/spreadsheets/d/1rd4qoM1q_hsgaolqNGfrim9gbsoLxQsda4-vOz5x_BM/edit?usp=sharing"",""ภูเก็ต!M143"")+IMPORTRANGE(""https://docs.google.com/spreadsheets/d/1woKwKjgoL"&amp;"ssDvPcPeVyezB5izizAn4X1JDrys69n6xI/edit?usp=sharing"",""ยะลา!M143"")+IMPORTRANGE(""https://docs.google.com/spreadsheets/d/1qfrKjzMhm2HJfxQ-qVlJlJQ25Hne1d0khsySbZyGtPA/edit?usp=sharing"",""ระนอง!M143"")+IMPORTRANGE(""https://docs.google.com/spreadsheets/d/"&amp;"1IbSCnFOKpZsnFogBHJnL_isstZVaOMnFiIN0fGTPZZw/edit?usp=sharing"",""สงขลา!M143"")+IMPORTRANGE(""https://docs.google.com/spreadsheets/d/1q9nWasZJ-K8bFGvbE9n0qSRuKGA4Toe3Y89cKCiVtCU/edit?usp=sharing"",""สตูล!M143"")+IMPORTRANGE(""https://docs.google.com/sprea"&amp;"dsheets/d/18T20gbkS_WBjdscyTOV05cvq_JqvqQ17C81mpxf7Ncs/edit?usp=sharing"",""สุราษฎร์ธานี!M143"")"),0)</f>
        <v>0</v>
      </c>
      <c r="N143" s="47">
        <f ca="1">IFERROR(__xludf.DUMMYFUNCTION("IMPORTRANGE(""https://docs.google.com/spreadsheets/d/1kKUcYdkIfrgTSj8iHHHB2MD2FAtwyyocFgqGQn6ADyI/edit?usp=sharing"",""กระบี่!N143"")+IMPORTRANGE(""https://docs.google.com/spreadsheets/d/1GwtLaSlNZkLk7iDqcyZz22giiy40b_usZZBXYciEN1U/edit?usp=sharing"",""ชุ"&amp;"มพร!N143"")+IMPORTRANGE(""https://docs.google.com/spreadsheets/d/16pAz3pOhQEZBhvFNMa5KGgZS6iKWpsKX0pg6tQmwFpo/edit?usp=sharing"",""ตรัง!N143"")+IMPORTRANGE(""https://docs.google.com/spreadsheets/d/1Dj4jcHCTV9JXKCaMoheSXS52JE63kDKyG7bPXnFogHk/edit?usp=shar"&amp;"ing"",""นครศรีธรรมราช!N143"")+IMPORTRANGE(""https://docs.google.com/spreadsheets/d/1iodCdmuK2GR3jzUwk8tpccY2JHQQA-87DLOtJP-ooyU/edit?usp=sharing"",""นราธิวาส!N143"")+IMPORTRANGE(""https://docs.google.com/spreadsheets/d/1SDNX3JhDdYRuIOsj0Wh2M-Qa_eaXl0NbWmh"&amp;"AOTbfQAs/edit?usp=sharing"",""ปัตตานี!N143"")+IMPORTRANGE(""https://docs.google.com/spreadsheets/d/16JDLGguT8s5DsGCND1KcwHP_AWR_zDMTqLHPLJUKhaU/edit?usp=sharing"",""พังงา!N143"")+IMPORTRANGE(""https://docs.google.com/spreadsheets/d/17ht0gPKzzT3PObBL1XJkeR"&amp;"mntBXI7wGjpLV7QorqlTk/edit?usp=sharing"",""พัทลุง!N143"")+IMPORTRANGE(""https://docs.google.com/spreadsheets/d/1rd4qoM1q_hsgaolqNGfrim9gbsoLxQsda4-vOz5x_BM/edit?usp=sharing"",""ภูเก็ต!N143"")+IMPORTRANGE(""https://docs.google.com/spreadsheets/d/1woKwKjgoL"&amp;"ssDvPcPeVyezB5izizAn4X1JDrys69n6xI/edit?usp=sharing"",""ยะลา!N143"")+IMPORTRANGE(""https://docs.google.com/spreadsheets/d/1qfrKjzMhm2HJfxQ-qVlJlJQ25Hne1d0khsySbZyGtPA/edit?usp=sharing"",""ระนอง!N143"")+IMPORTRANGE(""https://docs.google.com/spreadsheets/d/"&amp;"1IbSCnFOKpZsnFogBHJnL_isstZVaOMnFiIN0fGTPZZw/edit?usp=sharing"",""สงขลา!N143"")+IMPORTRANGE(""https://docs.google.com/spreadsheets/d/1q9nWasZJ-K8bFGvbE9n0qSRuKGA4Toe3Y89cKCiVtCU/edit?usp=sharing"",""สตูล!N143"")+IMPORTRANGE(""https://docs.google.com/sprea"&amp;"dsheets/d/18T20gbkS_WBjdscyTOV05cvq_JqvqQ17C81mpxf7Ncs/edit?usp=sharing"",""สุราษฎร์ธานี!N143"")"),0)</f>
        <v>0</v>
      </c>
      <c r="O143" s="47">
        <f t="shared" ca="1" si="110"/>
        <v>0</v>
      </c>
      <c r="P143" s="47">
        <f t="shared" ca="1" si="111"/>
        <v>0</v>
      </c>
      <c r="Q143" s="47">
        <f ca="1">IFERROR(__xludf.DUMMYFUNCTION("IMPORTRANGE(""https://docs.google.com/spreadsheets/d/1kKUcYdkIfrgTSj8iHHHB2MD2FAtwyyocFgqGQn6ADyI/edit?usp=sharing"",""กระบี่!Q143"")+IMPORTRANGE(""https://docs.google.com/spreadsheets/d/1GwtLaSlNZkLk7iDqcyZz22giiy40b_usZZBXYciEN1U/edit?usp=sharing"",""ชุ"&amp;"มพร!Q143"")+IMPORTRANGE(""https://docs.google.com/spreadsheets/d/16pAz3pOhQEZBhvFNMa5KGgZS6iKWpsKX0pg6tQmwFpo/edit?usp=sharing"",""ตรัง!Q143"")+IMPORTRANGE(""https://docs.google.com/spreadsheets/d/1Dj4jcHCTV9JXKCaMoheSXS52JE63kDKyG7bPXnFogHk/edit?usp=shar"&amp;"ing"",""นครศรีธรรมราช!Q143"")+IMPORTRANGE(""https://docs.google.com/spreadsheets/d/1iodCdmuK2GR3jzUwk8tpccY2JHQQA-87DLOtJP-ooyU/edit?usp=sharing"",""นราธิวาส!Q143"")+IMPORTRANGE(""https://docs.google.com/spreadsheets/d/1SDNX3JhDdYRuIOsj0Wh2M-Qa_eaXl0NbWmh"&amp;"AOTbfQAs/edit?usp=sharing"",""ปัตตานี!Q143"")+IMPORTRANGE(""https://docs.google.com/spreadsheets/d/16JDLGguT8s5DsGCND1KcwHP_AWR_zDMTqLHPLJUKhaU/edit?usp=sharing"",""พังงา!Q143"")+IMPORTRANGE(""https://docs.google.com/spreadsheets/d/17ht0gPKzzT3PObBL1XJkeR"&amp;"mntBXI7wGjpLV7QorqlTk/edit?usp=sharing"",""พัทลุง!Q143"")+IMPORTRANGE(""https://docs.google.com/spreadsheets/d/1rd4qoM1q_hsgaolqNGfrim9gbsoLxQsda4-vOz5x_BM/edit?usp=sharing"",""ภูเก็ต!Q143"")+IMPORTRANGE(""https://docs.google.com/spreadsheets/d/1woKwKjgoL"&amp;"ssDvPcPeVyezB5izizAn4X1JDrys69n6xI/edit?usp=sharing"",""ยะลา!Q143"")+IMPORTRANGE(""https://docs.google.com/spreadsheets/d/1qfrKjzMhm2HJfxQ-qVlJlJQ25Hne1d0khsySbZyGtPA/edit?usp=sharing"",""ระนอง!Q143"")+IMPORTRANGE(""https://docs.google.com/spreadsheets/d/"&amp;"1IbSCnFOKpZsnFogBHJnL_isstZVaOMnFiIN0fGTPZZw/edit?usp=sharing"",""สงขลา!Q143"")+IMPORTRANGE(""https://docs.google.com/spreadsheets/d/1q9nWasZJ-K8bFGvbE9n0qSRuKGA4Toe3Y89cKCiVtCU/edit?usp=sharing"",""สตูล!Q143"")+IMPORTRANGE(""https://docs.google.com/sprea"&amp;"dsheets/d/18T20gbkS_WBjdscyTOV05cvq_JqvqQ17C81mpxf7Ncs/edit?usp=sharing"",""สุราษฎร์ธานี!Q143"")"),0)</f>
        <v>0</v>
      </c>
      <c r="R143" s="47">
        <f ca="1">IFERROR(__xludf.DUMMYFUNCTION("IMPORTRANGE(""https://docs.google.com/spreadsheets/d/1kKUcYdkIfrgTSj8iHHHB2MD2FAtwyyocFgqGQn6ADyI/edit?usp=sharing"",""กระบี่!R143"")+IMPORTRANGE(""https://docs.google.com/spreadsheets/d/1GwtLaSlNZkLk7iDqcyZz22giiy40b_usZZBXYciEN1U/edit?usp=sharing"",""ชุ"&amp;"มพร!R143"")+IMPORTRANGE(""https://docs.google.com/spreadsheets/d/16pAz3pOhQEZBhvFNMa5KGgZS6iKWpsKX0pg6tQmwFpo/edit?usp=sharing"",""ตรัง!R143"")+IMPORTRANGE(""https://docs.google.com/spreadsheets/d/1Dj4jcHCTV9JXKCaMoheSXS52JE63kDKyG7bPXnFogHk/edit?usp=shar"&amp;"ing"",""นครศรีธรรมราช!R143"")+IMPORTRANGE(""https://docs.google.com/spreadsheets/d/1iodCdmuK2GR3jzUwk8tpccY2JHQQA-87DLOtJP-ooyU/edit?usp=sharing"",""นราธิวาส!R143"")+IMPORTRANGE(""https://docs.google.com/spreadsheets/d/1SDNX3JhDdYRuIOsj0Wh2M-Qa_eaXl0NbWmh"&amp;"AOTbfQAs/edit?usp=sharing"",""ปัตตานี!R143"")+IMPORTRANGE(""https://docs.google.com/spreadsheets/d/16JDLGguT8s5DsGCND1KcwHP_AWR_zDMTqLHPLJUKhaU/edit?usp=sharing"",""พังงา!R143"")+IMPORTRANGE(""https://docs.google.com/spreadsheets/d/17ht0gPKzzT3PObBL1XJkeR"&amp;"mntBXI7wGjpLV7QorqlTk/edit?usp=sharing"",""พัทลุง!R143"")+IMPORTRANGE(""https://docs.google.com/spreadsheets/d/1rd4qoM1q_hsgaolqNGfrim9gbsoLxQsda4-vOz5x_BM/edit?usp=sharing"",""ภูเก็ต!R143"")+IMPORTRANGE(""https://docs.google.com/spreadsheets/d/1woKwKjgoL"&amp;"ssDvPcPeVyezB5izizAn4X1JDrys69n6xI/edit?usp=sharing"",""ยะลา!R143"")+IMPORTRANGE(""https://docs.google.com/spreadsheets/d/1qfrKjzMhm2HJfxQ-qVlJlJQ25Hne1d0khsySbZyGtPA/edit?usp=sharing"",""ระนอง!R143"")+IMPORTRANGE(""https://docs.google.com/spreadsheets/d/"&amp;"1IbSCnFOKpZsnFogBHJnL_isstZVaOMnFiIN0fGTPZZw/edit?usp=sharing"",""สงขลา!R143"")+IMPORTRANGE(""https://docs.google.com/spreadsheets/d/1q9nWasZJ-K8bFGvbE9n0qSRuKGA4Toe3Y89cKCiVtCU/edit?usp=sharing"",""สตูล!R143"")+IMPORTRANGE(""https://docs.google.com/sprea"&amp;"dsheets/d/18T20gbkS_WBjdscyTOV05cvq_JqvqQ17C81mpxf7Ncs/edit?usp=sharing"",""สุราษฎร์ธานี!R143"")"),0)</f>
        <v>0</v>
      </c>
      <c r="S143" s="47">
        <f ca="1">IFERROR(__xludf.DUMMYFUNCTION("IMPORTRANGE(""https://docs.google.com/spreadsheets/d/1kKUcYdkIfrgTSj8iHHHB2MD2FAtwyyocFgqGQn6ADyI/edit?usp=sharing"",""กระบี่!S143"")+IMPORTRANGE(""https://docs.google.com/spreadsheets/d/1GwtLaSlNZkLk7iDqcyZz22giiy40b_usZZBXYciEN1U/edit?usp=sharing"",""ชุ"&amp;"มพร!S143"")+IMPORTRANGE(""https://docs.google.com/spreadsheets/d/16pAz3pOhQEZBhvFNMa5KGgZS6iKWpsKX0pg6tQmwFpo/edit?usp=sharing"",""ตรัง!S143"")+IMPORTRANGE(""https://docs.google.com/spreadsheets/d/1Dj4jcHCTV9JXKCaMoheSXS52JE63kDKyG7bPXnFogHk/edit?usp=shar"&amp;"ing"",""นครศรีธรรมราช!S143"")+IMPORTRANGE(""https://docs.google.com/spreadsheets/d/1iodCdmuK2GR3jzUwk8tpccY2JHQQA-87DLOtJP-ooyU/edit?usp=sharing"",""นราธิวาส!S143"")+IMPORTRANGE(""https://docs.google.com/spreadsheets/d/1SDNX3JhDdYRuIOsj0Wh2M-Qa_eaXl0NbWmh"&amp;"AOTbfQAs/edit?usp=sharing"",""ปัตตานี!S143"")+IMPORTRANGE(""https://docs.google.com/spreadsheets/d/16JDLGguT8s5DsGCND1KcwHP_AWR_zDMTqLHPLJUKhaU/edit?usp=sharing"",""พังงา!S143"")+IMPORTRANGE(""https://docs.google.com/spreadsheets/d/17ht0gPKzzT3PObBL1XJkeR"&amp;"mntBXI7wGjpLV7QorqlTk/edit?usp=sharing"",""พัทลุง!S143"")+IMPORTRANGE(""https://docs.google.com/spreadsheets/d/1rd4qoM1q_hsgaolqNGfrim9gbsoLxQsda4-vOz5x_BM/edit?usp=sharing"",""ภูเก็ต!S143"")+IMPORTRANGE(""https://docs.google.com/spreadsheets/d/1woKwKjgoL"&amp;"ssDvPcPeVyezB5izizAn4X1JDrys69n6xI/edit?usp=sharing"",""ยะลา!S143"")+IMPORTRANGE(""https://docs.google.com/spreadsheets/d/1qfrKjzMhm2HJfxQ-qVlJlJQ25Hne1d0khsySbZyGtPA/edit?usp=sharing"",""ระนอง!S143"")+IMPORTRANGE(""https://docs.google.com/spreadsheets/d/"&amp;"1IbSCnFOKpZsnFogBHJnL_isstZVaOMnFiIN0fGTPZZw/edit?usp=sharing"",""สงขลา!S143"")+IMPORTRANGE(""https://docs.google.com/spreadsheets/d/1q9nWasZJ-K8bFGvbE9n0qSRuKGA4Toe3Y89cKCiVtCU/edit?usp=sharing"",""สตูล!S143"")+IMPORTRANGE(""https://docs.google.com/sprea"&amp;"dsheets/d/18T20gbkS_WBjdscyTOV05cvq_JqvqQ17C81mpxf7Ncs/edit?usp=sharing"",""สุราษฎร์ธานี!S143"")"),0)</f>
        <v>0</v>
      </c>
      <c r="T143" s="49">
        <f t="shared" ca="1" si="113"/>
        <v>0</v>
      </c>
      <c r="U143" s="49">
        <f t="shared" ca="1" si="114"/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47">
        <f ca="1">IFERROR(__xludf.DUMMYFUNCTION("IMPORTRANGE(""https://docs.google.com/spreadsheets/d/1kKUcYdkIfrgTSj8iHHHB2MD2FAtwyyocFgqGQn6ADyI/edit?usp=sharing"",""กระบี่!L144"")+IMPORTRANGE(""https://docs.google.com/spreadsheets/d/1GwtLaSlNZkLk7iDqcyZz22giiy40b_usZZBXYciEN1U/edit?usp=sharing"",""ชุ"&amp;"มพร!L144"")+IMPORTRANGE(""https://docs.google.com/spreadsheets/d/16pAz3pOhQEZBhvFNMa5KGgZS6iKWpsKX0pg6tQmwFpo/edit?usp=sharing"",""ตรัง!L144"")+IMPORTRANGE(""https://docs.google.com/spreadsheets/d/1Dj4jcHCTV9JXKCaMoheSXS52JE63kDKyG7bPXnFogHk/edit?usp=shar"&amp;"ing"",""นครศรีธรรมราช!L144"")+IMPORTRANGE(""https://docs.google.com/spreadsheets/d/1iodCdmuK2GR3jzUwk8tpccY2JHQQA-87DLOtJP-ooyU/edit?usp=sharing"",""นราธิวาส!L144"")+IMPORTRANGE(""https://docs.google.com/spreadsheets/d/1SDNX3JhDdYRuIOsj0Wh2M-Qa_eaXl0NbWmh"&amp;"AOTbfQAs/edit?usp=sharing"",""ปัตตานี!L144"")+IMPORTRANGE(""https://docs.google.com/spreadsheets/d/16JDLGguT8s5DsGCND1KcwHP_AWR_zDMTqLHPLJUKhaU/edit?usp=sharing"",""พังงา!L144"")+IMPORTRANGE(""https://docs.google.com/spreadsheets/d/17ht0gPKzzT3PObBL1XJkeR"&amp;"mntBXI7wGjpLV7QorqlTk/edit?usp=sharing"",""พัทลุง!L144"")+IMPORTRANGE(""https://docs.google.com/spreadsheets/d/1rd4qoM1q_hsgaolqNGfrim9gbsoLxQsda4-vOz5x_BM/edit?usp=sharing"",""ภูเก็ต!L144"")+IMPORTRANGE(""https://docs.google.com/spreadsheets/d/1woKwKjgoL"&amp;"ssDvPcPeVyezB5izizAn4X1JDrys69n6xI/edit?usp=sharing"",""ยะลา!L144"")+IMPORTRANGE(""https://docs.google.com/spreadsheets/d/1qfrKjzMhm2HJfxQ-qVlJlJQ25Hne1d0khsySbZyGtPA/edit?usp=sharing"",""ระนอง!L144"")+IMPORTRANGE(""https://docs.google.com/spreadsheets/d/"&amp;"1IbSCnFOKpZsnFogBHJnL_isstZVaOMnFiIN0fGTPZZw/edit?usp=sharing"",""สงขลา!L144"")+IMPORTRANGE(""https://docs.google.com/spreadsheets/d/1q9nWasZJ-K8bFGvbE9n0qSRuKGA4Toe3Y89cKCiVtCU/edit?usp=sharing"",""สตูล!L144"")+IMPORTRANGE(""https://docs.google.com/sprea"&amp;"dsheets/d/18T20gbkS_WBjdscyTOV05cvq_JqvqQ17C81mpxf7Ncs/edit?usp=sharing"",""สุราษฎร์ธานี!L144"")"),597100)</f>
        <v>597100</v>
      </c>
      <c r="M144" s="47">
        <f ca="1">IFERROR(__xludf.DUMMYFUNCTION("IMPORTRANGE(""https://docs.google.com/spreadsheets/d/1kKUcYdkIfrgTSj8iHHHB2MD2FAtwyyocFgqGQn6ADyI/edit?usp=sharing"",""กระบี่!M144"")+IMPORTRANGE(""https://docs.google.com/spreadsheets/d/1GwtLaSlNZkLk7iDqcyZz22giiy40b_usZZBXYciEN1U/edit?usp=sharing"",""ชุ"&amp;"มพร!M144"")+IMPORTRANGE(""https://docs.google.com/spreadsheets/d/16pAz3pOhQEZBhvFNMa5KGgZS6iKWpsKX0pg6tQmwFpo/edit?usp=sharing"",""ตรัง!M144"")+IMPORTRANGE(""https://docs.google.com/spreadsheets/d/1Dj4jcHCTV9JXKCaMoheSXS52JE63kDKyG7bPXnFogHk/edit?usp=shar"&amp;"ing"",""นครศรีธรรมราช!M144"")+IMPORTRANGE(""https://docs.google.com/spreadsheets/d/1iodCdmuK2GR3jzUwk8tpccY2JHQQA-87DLOtJP-ooyU/edit?usp=sharing"",""นราธิวาส!M144"")+IMPORTRANGE(""https://docs.google.com/spreadsheets/d/1SDNX3JhDdYRuIOsj0Wh2M-Qa_eaXl0NbWmh"&amp;"AOTbfQAs/edit?usp=sharing"",""ปัตตานี!M144"")+IMPORTRANGE(""https://docs.google.com/spreadsheets/d/16JDLGguT8s5DsGCND1KcwHP_AWR_zDMTqLHPLJUKhaU/edit?usp=sharing"",""พังงา!M144"")+IMPORTRANGE(""https://docs.google.com/spreadsheets/d/17ht0gPKzzT3PObBL1XJkeR"&amp;"mntBXI7wGjpLV7QorqlTk/edit?usp=sharing"",""พัทลุง!M144"")+IMPORTRANGE(""https://docs.google.com/spreadsheets/d/1rd4qoM1q_hsgaolqNGfrim9gbsoLxQsda4-vOz5x_BM/edit?usp=sharing"",""ภูเก็ต!M144"")+IMPORTRANGE(""https://docs.google.com/spreadsheets/d/1woKwKjgoL"&amp;"ssDvPcPeVyezB5izizAn4X1JDrys69n6xI/edit?usp=sharing"",""ยะลา!M144"")+IMPORTRANGE(""https://docs.google.com/spreadsheets/d/1qfrKjzMhm2HJfxQ-qVlJlJQ25Hne1d0khsySbZyGtPA/edit?usp=sharing"",""ระนอง!M144"")+IMPORTRANGE(""https://docs.google.com/spreadsheets/d/"&amp;"1IbSCnFOKpZsnFogBHJnL_isstZVaOMnFiIN0fGTPZZw/edit?usp=sharing"",""สงขลา!M144"")+IMPORTRANGE(""https://docs.google.com/spreadsheets/d/1q9nWasZJ-K8bFGvbE9n0qSRuKGA4Toe3Y89cKCiVtCU/edit?usp=sharing"",""สตูล!M144"")+IMPORTRANGE(""https://docs.google.com/sprea"&amp;"dsheets/d/18T20gbkS_WBjdscyTOV05cvq_JqvqQ17C81mpxf7Ncs/edit?usp=sharing"",""สุราษฎร์ธานี!M144"")"),562100)</f>
        <v>562100</v>
      </c>
      <c r="N144" s="47">
        <f ca="1">IFERROR(__xludf.DUMMYFUNCTION("IMPORTRANGE(""https://docs.google.com/spreadsheets/d/1kKUcYdkIfrgTSj8iHHHB2MD2FAtwyyocFgqGQn6ADyI/edit?usp=sharing"",""กระบี่!N144"")+IMPORTRANGE(""https://docs.google.com/spreadsheets/d/1GwtLaSlNZkLk7iDqcyZz22giiy40b_usZZBXYciEN1U/edit?usp=sharing"",""ชุ"&amp;"มพร!N144"")+IMPORTRANGE(""https://docs.google.com/spreadsheets/d/16pAz3pOhQEZBhvFNMa5KGgZS6iKWpsKX0pg6tQmwFpo/edit?usp=sharing"",""ตรัง!N144"")+IMPORTRANGE(""https://docs.google.com/spreadsheets/d/1Dj4jcHCTV9JXKCaMoheSXS52JE63kDKyG7bPXnFogHk/edit?usp=shar"&amp;"ing"",""นครศรีธรรมราช!N144"")+IMPORTRANGE(""https://docs.google.com/spreadsheets/d/1iodCdmuK2GR3jzUwk8tpccY2JHQQA-87DLOtJP-ooyU/edit?usp=sharing"",""นราธิวาส!N144"")+IMPORTRANGE(""https://docs.google.com/spreadsheets/d/1SDNX3JhDdYRuIOsj0Wh2M-Qa_eaXl0NbWmh"&amp;"AOTbfQAs/edit?usp=sharing"",""ปัตตานี!N144"")+IMPORTRANGE(""https://docs.google.com/spreadsheets/d/16JDLGguT8s5DsGCND1KcwHP_AWR_zDMTqLHPLJUKhaU/edit?usp=sharing"",""พังงา!N144"")+IMPORTRANGE(""https://docs.google.com/spreadsheets/d/17ht0gPKzzT3PObBL1XJkeR"&amp;"mntBXI7wGjpLV7QorqlTk/edit?usp=sharing"",""พัทลุง!N144"")+IMPORTRANGE(""https://docs.google.com/spreadsheets/d/1rd4qoM1q_hsgaolqNGfrim9gbsoLxQsda4-vOz5x_BM/edit?usp=sharing"",""ภูเก็ต!N144"")+IMPORTRANGE(""https://docs.google.com/spreadsheets/d/1woKwKjgoL"&amp;"ssDvPcPeVyezB5izizAn4X1JDrys69n6xI/edit?usp=sharing"",""ยะลา!N144"")+IMPORTRANGE(""https://docs.google.com/spreadsheets/d/1qfrKjzMhm2HJfxQ-qVlJlJQ25Hne1d0khsySbZyGtPA/edit?usp=sharing"",""ระนอง!N144"")+IMPORTRANGE(""https://docs.google.com/spreadsheets/d/"&amp;"1IbSCnFOKpZsnFogBHJnL_isstZVaOMnFiIN0fGTPZZw/edit?usp=sharing"",""สงขลา!N144"")+IMPORTRANGE(""https://docs.google.com/spreadsheets/d/1q9nWasZJ-K8bFGvbE9n0qSRuKGA4Toe3Y89cKCiVtCU/edit?usp=sharing"",""สตูล!N144"")+IMPORTRANGE(""https://docs.google.com/sprea"&amp;"dsheets/d/18T20gbkS_WBjdscyTOV05cvq_JqvqQ17C81mpxf7Ncs/edit?usp=sharing"",""สุราษฎร์ธานี!N144"")"),418826.49)</f>
        <v>418826.49</v>
      </c>
      <c r="O144" s="47">
        <f t="shared" ca="1" si="110"/>
        <v>70.143441634567068</v>
      </c>
      <c r="P144" s="47">
        <f t="shared" ca="1" si="111"/>
        <v>74.511028286781709</v>
      </c>
      <c r="Q144" s="47">
        <f ca="1">IFERROR(__xludf.DUMMYFUNCTION("IMPORTRANGE(""https://docs.google.com/spreadsheets/d/1kKUcYdkIfrgTSj8iHHHB2MD2FAtwyyocFgqGQn6ADyI/edit?usp=sharing"",""กระบี่!Q144"")+IMPORTRANGE(""https://docs.google.com/spreadsheets/d/1GwtLaSlNZkLk7iDqcyZz22giiy40b_usZZBXYciEN1U/edit?usp=sharing"",""ชุ"&amp;"มพร!Q144"")+IMPORTRANGE(""https://docs.google.com/spreadsheets/d/16pAz3pOhQEZBhvFNMa5KGgZS6iKWpsKX0pg6tQmwFpo/edit?usp=sharing"",""ตรัง!Q144"")+IMPORTRANGE(""https://docs.google.com/spreadsheets/d/1Dj4jcHCTV9JXKCaMoheSXS52JE63kDKyG7bPXnFogHk/edit?usp=shar"&amp;"ing"",""นครศรีธรรมราช!Q144"")+IMPORTRANGE(""https://docs.google.com/spreadsheets/d/1iodCdmuK2GR3jzUwk8tpccY2JHQQA-87DLOtJP-ooyU/edit?usp=sharing"",""นราธิวาส!Q144"")+IMPORTRANGE(""https://docs.google.com/spreadsheets/d/1SDNX3JhDdYRuIOsj0Wh2M-Qa_eaXl0NbWmh"&amp;"AOTbfQAs/edit?usp=sharing"",""ปัตตานี!Q144"")+IMPORTRANGE(""https://docs.google.com/spreadsheets/d/16JDLGguT8s5DsGCND1KcwHP_AWR_zDMTqLHPLJUKhaU/edit?usp=sharing"",""พังงา!Q144"")+IMPORTRANGE(""https://docs.google.com/spreadsheets/d/17ht0gPKzzT3PObBL1XJkeR"&amp;"mntBXI7wGjpLV7QorqlTk/edit?usp=sharing"",""พัทลุง!Q144"")+IMPORTRANGE(""https://docs.google.com/spreadsheets/d/1rd4qoM1q_hsgaolqNGfrim9gbsoLxQsda4-vOz5x_BM/edit?usp=sharing"",""ภูเก็ต!Q144"")+IMPORTRANGE(""https://docs.google.com/spreadsheets/d/1woKwKjgoL"&amp;"ssDvPcPeVyezB5izizAn4X1JDrys69n6xI/edit?usp=sharing"",""ยะลา!Q144"")+IMPORTRANGE(""https://docs.google.com/spreadsheets/d/1qfrKjzMhm2HJfxQ-qVlJlJQ25Hne1d0khsySbZyGtPA/edit?usp=sharing"",""ระนอง!Q144"")+IMPORTRANGE(""https://docs.google.com/spreadsheets/d/"&amp;"1IbSCnFOKpZsnFogBHJnL_isstZVaOMnFiIN0fGTPZZw/edit?usp=sharing"",""สงขลา!Q144"")+IMPORTRANGE(""https://docs.google.com/spreadsheets/d/1q9nWasZJ-K8bFGvbE9n0qSRuKGA4Toe3Y89cKCiVtCU/edit?usp=sharing"",""สตูล!Q144"")+IMPORTRANGE(""https://docs.google.com/sprea"&amp;"dsheets/d/18T20gbkS_WBjdscyTOV05cvq_JqvqQ17C81mpxf7Ncs/edit?usp=sharing"",""สุราษฎร์ธานี!Q144"")"),959020)</f>
        <v>959020</v>
      </c>
      <c r="R144" s="47">
        <f ca="1">IFERROR(__xludf.DUMMYFUNCTION("IMPORTRANGE(""https://docs.google.com/spreadsheets/d/1kKUcYdkIfrgTSj8iHHHB2MD2FAtwyyocFgqGQn6ADyI/edit?usp=sharing"",""กระบี่!R144"")+IMPORTRANGE(""https://docs.google.com/spreadsheets/d/1GwtLaSlNZkLk7iDqcyZz22giiy40b_usZZBXYciEN1U/edit?usp=sharing"",""ชุ"&amp;"มพร!R144"")+IMPORTRANGE(""https://docs.google.com/spreadsheets/d/16pAz3pOhQEZBhvFNMa5KGgZS6iKWpsKX0pg6tQmwFpo/edit?usp=sharing"",""ตรัง!R144"")+IMPORTRANGE(""https://docs.google.com/spreadsheets/d/1Dj4jcHCTV9JXKCaMoheSXS52JE63kDKyG7bPXnFogHk/edit?usp=shar"&amp;"ing"",""นครศรีธรรมราช!R144"")+IMPORTRANGE(""https://docs.google.com/spreadsheets/d/1iodCdmuK2GR3jzUwk8tpccY2JHQQA-87DLOtJP-ooyU/edit?usp=sharing"",""นราธิวาส!R144"")+IMPORTRANGE(""https://docs.google.com/spreadsheets/d/1SDNX3JhDdYRuIOsj0Wh2M-Qa_eaXl0NbWmh"&amp;"AOTbfQAs/edit?usp=sharing"",""ปัตตานี!R144"")+IMPORTRANGE(""https://docs.google.com/spreadsheets/d/16JDLGguT8s5DsGCND1KcwHP_AWR_zDMTqLHPLJUKhaU/edit?usp=sharing"",""พังงา!R144"")+IMPORTRANGE(""https://docs.google.com/spreadsheets/d/17ht0gPKzzT3PObBL1XJkeR"&amp;"mntBXI7wGjpLV7QorqlTk/edit?usp=sharing"",""พัทลุง!R144"")+IMPORTRANGE(""https://docs.google.com/spreadsheets/d/1rd4qoM1q_hsgaolqNGfrim9gbsoLxQsda4-vOz5x_BM/edit?usp=sharing"",""ภูเก็ต!R144"")+IMPORTRANGE(""https://docs.google.com/spreadsheets/d/1woKwKjgoL"&amp;"ssDvPcPeVyezB5izizAn4X1JDrys69n6xI/edit?usp=sharing"",""ยะลา!R144"")+IMPORTRANGE(""https://docs.google.com/spreadsheets/d/1qfrKjzMhm2HJfxQ-qVlJlJQ25Hne1d0khsySbZyGtPA/edit?usp=sharing"",""ระนอง!R144"")+IMPORTRANGE(""https://docs.google.com/spreadsheets/d/"&amp;"1IbSCnFOKpZsnFogBHJnL_isstZVaOMnFiIN0fGTPZZw/edit?usp=sharing"",""สงขลา!R144"")+IMPORTRANGE(""https://docs.google.com/spreadsheets/d/1q9nWasZJ-K8bFGvbE9n0qSRuKGA4Toe3Y89cKCiVtCU/edit?usp=sharing"",""สตูล!R144"")+IMPORTRANGE(""https://docs.google.com/sprea"&amp;"dsheets/d/18T20gbkS_WBjdscyTOV05cvq_JqvqQ17C81mpxf7Ncs/edit?usp=sharing"",""สุราษฎร์ธานี!R144"")"),959020)</f>
        <v>959020</v>
      </c>
      <c r="S144" s="47">
        <f ca="1">IFERROR(__xludf.DUMMYFUNCTION("IMPORTRANGE(""https://docs.google.com/spreadsheets/d/1kKUcYdkIfrgTSj8iHHHB2MD2FAtwyyocFgqGQn6ADyI/edit?usp=sharing"",""กระบี่!S144"")+IMPORTRANGE(""https://docs.google.com/spreadsheets/d/1GwtLaSlNZkLk7iDqcyZz22giiy40b_usZZBXYciEN1U/edit?usp=sharing"",""ชุ"&amp;"มพร!S144"")+IMPORTRANGE(""https://docs.google.com/spreadsheets/d/16pAz3pOhQEZBhvFNMa5KGgZS6iKWpsKX0pg6tQmwFpo/edit?usp=sharing"",""ตรัง!S144"")+IMPORTRANGE(""https://docs.google.com/spreadsheets/d/1Dj4jcHCTV9JXKCaMoheSXS52JE63kDKyG7bPXnFogHk/edit?usp=shar"&amp;"ing"",""นครศรีธรรมราช!S144"")+IMPORTRANGE(""https://docs.google.com/spreadsheets/d/1iodCdmuK2GR3jzUwk8tpccY2JHQQA-87DLOtJP-ooyU/edit?usp=sharing"",""นราธิวาส!S144"")+IMPORTRANGE(""https://docs.google.com/spreadsheets/d/1SDNX3JhDdYRuIOsj0Wh2M-Qa_eaXl0NbWmh"&amp;"AOTbfQAs/edit?usp=sharing"",""ปัตตานี!S144"")+IMPORTRANGE(""https://docs.google.com/spreadsheets/d/16JDLGguT8s5DsGCND1KcwHP_AWR_zDMTqLHPLJUKhaU/edit?usp=sharing"",""พังงา!S144"")+IMPORTRANGE(""https://docs.google.com/spreadsheets/d/17ht0gPKzzT3PObBL1XJkeR"&amp;"mntBXI7wGjpLV7QorqlTk/edit?usp=sharing"",""พัทลุง!S144"")+IMPORTRANGE(""https://docs.google.com/spreadsheets/d/1rd4qoM1q_hsgaolqNGfrim9gbsoLxQsda4-vOz5x_BM/edit?usp=sharing"",""ภูเก็ต!S144"")+IMPORTRANGE(""https://docs.google.com/spreadsheets/d/1woKwKjgoL"&amp;"ssDvPcPeVyezB5izizAn4X1JDrys69n6xI/edit?usp=sharing"",""ยะลา!S144"")+IMPORTRANGE(""https://docs.google.com/spreadsheets/d/1qfrKjzMhm2HJfxQ-qVlJlJQ25Hne1d0khsySbZyGtPA/edit?usp=sharing"",""ระนอง!S144"")+IMPORTRANGE(""https://docs.google.com/spreadsheets/d/"&amp;"1IbSCnFOKpZsnFogBHJnL_isstZVaOMnFiIN0fGTPZZw/edit?usp=sharing"",""สงขลา!S144"")+IMPORTRANGE(""https://docs.google.com/spreadsheets/d/1q9nWasZJ-K8bFGvbE9n0qSRuKGA4Toe3Y89cKCiVtCU/edit?usp=sharing"",""สตูล!S144"")+IMPORTRANGE(""https://docs.google.com/sprea"&amp;"dsheets/d/18T20gbkS_WBjdscyTOV05cvq_JqvqQ17C81mpxf7Ncs/edit?usp=sharing"",""สุราษฎร์ธานี!S144"")"),0)</f>
        <v>0</v>
      </c>
      <c r="T144" s="47">
        <f t="shared" ca="1" si="113"/>
        <v>0</v>
      </c>
      <c r="U144" s="47">
        <f t="shared" ca="1" si="114"/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47">
        <f t="shared" ref="L145:N145" ca="1" si="121">L146+L147</f>
        <v>0</v>
      </c>
      <c r="M145" s="47">
        <f t="shared" ca="1" si="121"/>
        <v>0</v>
      </c>
      <c r="N145" s="47">
        <f t="shared" ca="1" si="121"/>
        <v>0</v>
      </c>
      <c r="O145" s="47">
        <f t="shared" ca="1" si="110"/>
        <v>0</v>
      </c>
      <c r="P145" s="47">
        <f t="shared" ca="1" si="111"/>
        <v>0</v>
      </c>
      <c r="Q145" s="47">
        <f t="shared" ref="Q145:S145" ca="1" si="122">Q146+Q147</f>
        <v>0</v>
      </c>
      <c r="R145" s="47">
        <f t="shared" ca="1" si="122"/>
        <v>0</v>
      </c>
      <c r="S145" s="47">
        <f t="shared" ca="1" si="122"/>
        <v>0</v>
      </c>
      <c r="T145" s="47">
        <f t="shared" ca="1" si="113"/>
        <v>0</v>
      </c>
      <c r="U145" s="47">
        <f t="shared" ca="1" si="114"/>
        <v>0</v>
      </c>
    </row>
    <row r="146" spans="1:21" ht="18.75" hidden="1" x14ac:dyDescent="0.25">
      <c r="A146" s="128"/>
      <c r="B146" s="41"/>
      <c r="C146" s="41"/>
      <c r="D146" s="41"/>
      <c r="E146" s="48" t="s">
        <v>20</v>
      </c>
      <c r="F146" s="41"/>
      <c r="G146" s="43"/>
      <c r="H146" s="134" t="s">
        <v>14</v>
      </c>
      <c r="I146" s="135"/>
      <c r="J146" s="135"/>
      <c r="K146" s="136"/>
      <c r="L146" s="47">
        <f ca="1">IFERROR(__xludf.DUMMYFUNCTION("IMPORTRANGE(""https://docs.google.com/spreadsheets/d/1kKUcYdkIfrgTSj8iHHHB2MD2FAtwyyocFgqGQn6ADyI/edit?usp=sharing"",""กระบี่!L146"")+IMPORTRANGE(""https://docs.google.com/spreadsheets/d/1GwtLaSlNZkLk7iDqcyZz22giiy40b_usZZBXYciEN1U/edit?usp=sharing"",""ชุ"&amp;"มพร!L146"")+IMPORTRANGE(""https://docs.google.com/spreadsheets/d/16pAz3pOhQEZBhvFNMa5KGgZS6iKWpsKX0pg6tQmwFpo/edit?usp=sharing"",""ตรัง!L146"")+IMPORTRANGE(""https://docs.google.com/spreadsheets/d/1Dj4jcHCTV9JXKCaMoheSXS52JE63kDKyG7bPXnFogHk/edit?usp=shar"&amp;"ing"",""นครศรีธรรมราช!L146"")+IMPORTRANGE(""https://docs.google.com/spreadsheets/d/1iodCdmuK2GR3jzUwk8tpccY2JHQQA-87DLOtJP-ooyU/edit?usp=sharing"",""นราธิวาส!L146"")+IMPORTRANGE(""https://docs.google.com/spreadsheets/d/1SDNX3JhDdYRuIOsj0Wh2M-Qa_eaXl0NbWmh"&amp;"AOTbfQAs/edit?usp=sharing"",""ปัตตานี!L146"")+IMPORTRANGE(""https://docs.google.com/spreadsheets/d/16JDLGguT8s5DsGCND1KcwHP_AWR_zDMTqLHPLJUKhaU/edit?usp=sharing"",""พังงา!L146"")+IMPORTRANGE(""https://docs.google.com/spreadsheets/d/17ht0gPKzzT3PObBL1XJkeR"&amp;"mntBXI7wGjpLV7QorqlTk/edit?usp=sharing"",""พัทลุง!L146"")+IMPORTRANGE(""https://docs.google.com/spreadsheets/d/1rd4qoM1q_hsgaolqNGfrim9gbsoLxQsda4-vOz5x_BM/edit?usp=sharing"",""ภูเก็ต!L146"")+IMPORTRANGE(""https://docs.google.com/spreadsheets/d/1woKwKjgoL"&amp;"ssDvPcPeVyezB5izizAn4X1JDrys69n6xI/edit?usp=sharing"",""ยะลา!L146"")+IMPORTRANGE(""https://docs.google.com/spreadsheets/d/1qfrKjzMhm2HJfxQ-qVlJlJQ25Hne1d0khsySbZyGtPA/edit?usp=sharing"",""ระนอง!L146"")+IMPORTRANGE(""https://docs.google.com/spreadsheets/d/"&amp;"1IbSCnFOKpZsnFogBHJnL_isstZVaOMnFiIN0fGTPZZw/edit?usp=sharing"",""สงขลา!L146"")+IMPORTRANGE(""https://docs.google.com/spreadsheets/d/1q9nWasZJ-K8bFGvbE9n0qSRuKGA4Toe3Y89cKCiVtCU/edit?usp=sharing"",""สตูล!L146"")+IMPORTRANGE(""https://docs.google.com/sprea"&amp;"dsheets/d/18T20gbkS_WBjdscyTOV05cvq_JqvqQ17C81mpxf7Ncs/edit?usp=sharing"",""สุราษฎร์ธานี!L146"")"),0)</f>
        <v>0</v>
      </c>
      <c r="M146" s="47">
        <f ca="1">IFERROR(__xludf.DUMMYFUNCTION("IMPORTRANGE(""https://docs.google.com/spreadsheets/d/1kKUcYdkIfrgTSj8iHHHB2MD2FAtwyyocFgqGQn6ADyI/edit?usp=sharing"",""กระบี่!M146"")+IMPORTRANGE(""https://docs.google.com/spreadsheets/d/1GwtLaSlNZkLk7iDqcyZz22giiy40b_usZZBXYciEN1U/edit?usp=sharing"",""ชุ"&amp;"มพร!M146"")+IMPORTRANGE(""https://docs.google.com/spreadsheets/d/16pAz3pOhQEZBhvFNMa5KGgZS6iKWpsKX0pg6tQmwFpo/edit?usp=sharing"",""ตรัง!M146"")+IMPORTRANGE(""https://docs.google.com/spreadsheets/d/1Dj4jcHCTV9JXKCaMoheSXS52JE63kDKyG7bPXnFogHk/edit?usp=shar"&amp;"ing"",""นครศรีธรรมราช!M146"")+IMPORTRANGE(""https://docs.google.com/spreadsheets/d/1iodCdmuK2GR3jzUwk8tpccY2JHQQA-87DLOtJP-ooyU/edit?usp=sharing"",""นราธิวาส!M146"")+IMPORTRANGE(""https://docs.google.com/spreadsheets/d/1SDNX3JhDdYRuIOsj0Wh2M-Qa_eaXl0NbWmh"&amp;"AOTbfQAs/edit?usp=sharing"",""ปัตตานี!M146"")+IMPORTRANGE(""https://docs.google.com/spreadsheets/d/16JDLGguT8s5DsGCND1KcwHP_AWR_zDMTqLHPLJUKhaU/edit?usp=sharing"",""พังงา!M146"")+IMPORTRANGE(""https://docs.google.com/spreadsheets/d/17ht0gPKzzT3PObBL1XJkeR"&amp;"mntBXI7wGjpLV7QorqlTk/edit?usp=sharing"",""พัทลุง!M146"")+IMPORTRANGE(""https://docs.google.com/spreadsheets/d/1rd4qoM1q_hsgaolqNGfrim9gbsoLxQsda4-vOz5x_BM/edit?usp=sharing"",""ภูเก็ต!M146"")+IMPORTRANGE(""https://docs.google.com/spreadsheets/d/1woKwKjgoL"&amp;"ssDvPcPeVyezB5izizAn4X1JDrys69n6xI/edit?usp=sharing"",""ยะลา!M146"")+IMPORTRANGE(""https://docs.google.com/spreadsheets/d/1qfrKjzMhm2HJfxQ-qVlJlJQ25Hne1d0khsySbZyGtPA/edit?usp=sharing"",""ระนอง!M146"")+IMPORTRANGE(""https://docs.google.com/spreadsheets/d/"&amp;"1IbSCnFOKpZsnFogBHJnL_isstZVaOMnFiIN0fGTPZZw/edit?usp=sharing"",""สงขลา!M146"")+IMPORTRANGE(""https://docs.google.com/spreadsheets/d/1q9nWasZJ-K8bFGvbE9n0qSRuKGA4Toe3Y89cKCiVtCU/edit?usp=sharing"",""สตูล!M146"")+IMPORTRANGE(""https://docs.google.com/sprea"&amp;"dsheets/d/18T20gbkS_WBjdscyTOV05cvq_JqvqQ17C81mpxf7Ncs/edit?usp=sharing"",""สุราษฎร์ธานี!M146"")"),0)</f>
        <v>0</v>
      </c>
      <c r="N146" s="47">
        <f ca="1">IFERROR(__xludf.DUMMYFUNCTION("IMPORTRANGE(""https://docs.google.com/spreadsheets/d/1kKUcYdkIfrgTSj8iHHHB2MD2FAtwyyocFgqGQn6ADyI/edit?usp=sharing"",""กระบี่!N146"")+IMPORTRANGE(""https://docs.google.com/spreadsheets/d/1GwtLaSlNZkLk7iDqcyZz22giiy40b_usZZBXYciEN1U/edit?usp=sharing"",""ชุ"&amp;"มพร!N146"")+IMPORTRANGE(""https://docs.google.com/spreadsheets/d/16pAz3pOhQEZBhvFNMa5KGgZS6iKWpsKX0pg6tQmwFpo/edit?usp=sharing"",""ตรัง!N146"")+IMPORTRANGE(""https://docs.google.com/spreadsheets/d/1Dj4jcHCTV9JXKCaMoheSXS52JE63kDKyG7bPXnFogHk/edit?usp=shar"&amp;"ing"",""นครศรีธรรมราช!N146"")+IMPORTRANGE(""https://docs.google.com/spreadsheets/d/1iodCdmuK2GR3jzUwk8tpccY2JHQQA-87DLOtJP-ooyU/edit?usp=sharing"",""นราธิวาส!N146"")+IMPORTRANGE(""https://docs.google.com/spreadsheets/d/1SDNX3JhDdYRuIOsj0Wh2M-Qa_eaXl0NbWmh"&amp;"AOTbfQAs/edit?usp=sharing"",""ปัตตานี!N146"")+IMPORTRANGE(""https://docs.google.com/spreadsheets/d/16JDLGguT8s5DsGCND1KcwHP_AWR_zDMTqLHPLJUKhaU/edit?usp=sharing"",""พังงา!N146"")+IMPORTRANGE(""https://docs.google.com/spreadsheets/d/17ht0gPKzzT3PObBL1XJkeR"&amp;"mntBXI7wGjpLV7QorqlTk/edit?usp=sharing"",""พัทลุง!N146"")+IMPORTRANGE(""https://docs.google.com/spreadsheets/d/1rd4qoM1q_hsgaolqNGfrim9gbsoLxQsda4-vOz5x_BM/edit?usp=sharing"",""ภูเก็ต!N146"")+IMPORTRANGE(""https://docs.google.com/spreadsheets/d/1woKwKjgoL"&amp;"ssDvPcPeVyezB5izizAn4X1JDrys69n6xI/edit?usp=sharing"",""ยะลา!N146"")+IMPORTRANGE(""https://docs.google.com/spreadsheets/d/1qfrKjzMhm2HJfxQ-qVlJlJQ25Hne1d0khsySbZyGtPA/edit?usp=sharing"",""ระนอง!N146"")+IMPORTRANGE(""https://docs.google.com/spreadsheets/d/"&amp;"1IbSCnFOKpZsnFogBHJnL_isstZVaOMnFiIN0fGTPZZw/edit?usp=sharing"",""สงขลา!N146"")+IMPORTRANGE(""https://docs.google.com/spreadsheets/d/1q9nWasZJ-K8bFGvbE9n0qSRuKGA4Toe3Y89cKCiVtCU/edit?usp=sharing"",""สตูล!N146"")+IMPORTRANGE(""https://docs.google.com/sprea"&amp;"dsheets/d/18T20gbkS_WBjdscyTOV05cvq_JqvqQ17C81mpxf7Ncs/edit?usp=sharing"",""สุราษฎร์ธานี!N146"")"),0)</f>
        <v>0</v>
      </c>
      <c r="O146" s="47">
        <f t="shared" ca="1" si="110"/>
        <v>0</v>
      </c>
      <c r="P146" s="47">
        <f t="shared" ca="1" si="111"/>
        <v>0</v>
      </c>
      <c r="Q146" s="47">
        <f ca="1">IFERROR(__xludf.DUMMYFUNCTION("IMPORTRANGE(""https://docs.google.com/spreadsheets/d/1kKUcYdkIfrgTSj8iHHHB2MD2FAtwyyocFgqGQn6ADyI/edit?usp=sharing"",""กระบี่!Q146"")+IMPORTRANGE(""https://docs.google.com/spreadsheets/d/1GwtLaSlNZkLk7iDqcyZz22giiy40b_usZZBXYciEN1U/edit?usp=sharing"",""ชุ"&amp;"มพร!Q146"")+IMPORTRANGE(""https://docs.google.com/spreadsheets/d/16pAz3pOhQEZBhvFNMa5KGgZS6iKWpsKX0pg6tQmwFpo/edit?usp=sharing"",""ตรัง!Q146"")+IMPORTRANGE(""https://docs.google.com/spreadsheets/d/1Dj4jcHCTV9JXKCaMoheSXS52JE63kDKyG7bPXnFogHk/edit?usp=shar"&amp;"ing"",""นครศรีธรรมราช!Q146"")+IMPORTRANGE(""https://docs.google.com/spreadsheets/d/1iodCdmuK2GR3jzUwk8tpccY2JHQQA-87DLOtJP-ooyU/edit?usp=sharing"",""นราธิวาส!Q146"")+IMPORTRANGE(""https://docs.google.com/spreadsheets/d/1SDNX3JhDdYRuIOsj0Wh2M-Qa_eaXl0NbWmh"&amp;"AOTbfQAs/edit?usp=sharing"",""ปัตตานี!Q146"")+IMPORTRANGE(""https://docs.google.com/spreadsheets/d/16JDLGguT8s5DsGCND1KcwHP_AWR_zDMTqLHPLJUKhaU/edit?usp=sharing"",""พังงา!Q146"")+IMPORTRANGE(""https://docs.google.com/spreadsheets/d/17ht0gPKzzT3PObBL1XJkeR"&amp;"mntBXI7wGjpLV7QorqlTk/edit?usp=sharing"",""พัทลุง!Q146"")+IMPORTRANGE(""https://docs.google.com/spreadsheets/d/1rd4qoM1q_hsgaolqNGfrim9gbsoLxQsda4-vOz5x_BM/edit?usp=sharing"",""ภูเก็ต!Q146"")+IMPORTRANGE(""https://docs.google.com/spreadsheets/d/1woKwKjgoL"&amp;"ssDvPcPeVyezB5izizAn4X1JDrys69n6xI/edit?usp=sharing"",""ยะลา!Q146"")+IMPORTRANGE(""https://docs.google.com/spreadsheets/d/1qfrKjzMhm2HJfxQ-qVlJlJQ25Hne1d0khsySbZyGtPA/edit?usp=sharing"",""ระนอง!Q146"")+IMPORTRANGE(""https://docs.google.com/spreadsheets/d/"&amp;"1IbSCnFOKpZsnFogBHJnL_isstZVaOMnFiIN0fGTPZZw/edit?usp=sharing"",""สงขลา!Q146"")+IMPORTRANGE(""https://docs.google.com/spreadsheets/d/1q9nWasZJ-K8bFGvbE9n0qSRuKGA4Toe3Y89cKCiVtCU/edit?usp=sharing"",""สตูล!Q146"")+IMPORTRANGE(""https://docs.google.com/sprea"&amp;"dsheets/d/18T20gbkS_WBjdscyTOV05cvq_JqvqQ17C81mpxf7Ncs/edit?usp=sharing"",""สุราษฎร์ธานี!Q146"")"),0)</f>
        <v>0</v>
      </c>
      <c r="R146" s="47">
        <f ca="1">IFERROR(__xludf.DUMMYFUNCTION("IMPORTRANGE(""https://docs.google.com/spreadsheets/d/1kKUcYdkIfrgTSj8iHHHB2MD2FAtwyyocFgqGQn6ADyI/edit?usp=sharing"",""กระบี่!R146"")+IMPORTRANGE(""https://docs.google.com/spreadsheets/d/1GwtLaSlNZkLk7iDqcyZz22giiy40b_usZZBXYciEN1U/edit?usp=sharing"",""ชุ"&amp;"มพร!R146"")+IMPORTRANGE(""https://docs.google.com/spreadsheets/d/16pAz3pOhQEZBhvFNMa5KGgZS6iKWpsKX0pg6tQmwFpo/edit?usp=sharing"",""ตรัง!R146"")+IMPORTRANGE(""https://docs.google.com/spreadsheets/d/1Dj4jcHCTV9JXKCaMoheSXS52JE63kDKyG7bPXnFogHk/edit?usp=shar"&amp;"ing"",""นครศรีธรรมราช!R146"")+IMPORTRANGE(""https://docs.google.com/spreadsheets/d/1iodCdmuK2GR3jzUwk8tpccY2JHQQA-87DLOtJP-ooyU/edit?usp=sharing"",""นราธิวาส!R146"")+IMPORTRANGE(""https://docs.google.com/spreadsheets/d/1SDNX3JhDdYRuIOsj0Wh2M-Qa_eaXl0NbWmh"&amp;"AOTbfQAs/edit?usp=sharing"",""ปัตตานี!R146"")+IMPORTRANGE(""https://docs.google.com/spreadsheets/d/16JDLGguT8s5DsGCND1KcwHP_AWR_zDMTqLHPLJUKhaU/edit?usp=sharing"",""พังงา!R146"")+IMPORTRANGE(""https://docs.google.com/spreadsheets/d/17ht0gPKzzT3PObBL1XJkeR"&amp;"mntBXI7wGjpLV7QorqlTk/edit?usp=sharing"",""พัทลุง!R146"")+IMPORTRANGE(""https://docs.google.com/spreadsheets/d/1rd4qoM1q_hsgaolqNGfrim9gbsoLxQsda4-vOz5x_BM/edit?usp=sharing"",""ภูเก็ต!R146"")+IMPORTRANGE(""https://docs.google.com/spreadsheets/d/1woKwKjgoL"&amp;"ssDvPcPeVyezB5izizAn4X1JDrys69n6xI/edit?usp=sharing"",""ยะลา!R146"")+IMPORTRANGE(""https://docs.google.com/spreadsheets/d/1qfrKjzMhm2HJfxQ-qVlJlJQ25Hne1d0khsySbZyGtPA/edit?usp=sharing"",""ระนอง!R146"")+IMPORTRANGE(""https://docs.google.com/spreadsheets/d/"&amp;"1IbSCnFOKpZsnFogBHJnL_isstZVaOMnFiIN0fGTPZZw/edit?usp=sharing"",""สงขลา!R146"")+IMPORTRANGE(""https://docs.google.com/spreadsheets/d/1q9nWasZJ-K8bFGvbE9n0qSRuKGA4Toe3Y89cKCiVtCU/edit?usp=sharing"",""สตูล!R146"")+IMPORTRANGE(""https://docs.google.com/sprea"&amp;"dsheets/d/18T20gbkS_WBjdscyTOV05cvq_JqvqQ17C81mpxf7Ncs/edit?usp=sharing"",""สุราษฎร์ธานี!R146"")"),0)</f>
        <v>0</v>
      </c>
      <c r="S146" s="47">
        <f ca="1">IFERROR(__xludf.DUMMYFUNCTION("IMPORTRANGE(""https://docs.google.com/spreadsheets/d/1kKUcYdkIfrgTSj8iHHHB2MD2FAtwyyocFgqGQn6ADyI/edit?usp=sharing"",""กระบี่!S146"")+IMPORTRANGE(""https://docs.google.com/spreadsheets/d/1GwtLaSlNZkLk7iDqcyZz22giiy40b_usZZBXYciEN1U/edit?usp=sharing"",""ชุ"&amp;"มพร!S146"")+IMPORTRANGE(""https://docs.google.com/spreadsheets/d/16pAz3pOhQEZBhvFNMa5KGgZS6iKWpsKX0pg6tQmwFpo/edit?usp=sharing"",""ตรัง!S146"")+IMPORTRANGE(""https://docs.google.com/spreadsheets/d/1Dj4jcHCTV9JXKCaMoheSXS52JE63kDKyG7bPXnFogHk/edit?usp=shar"&amp;"ing"",""นครศรีธรรมราช!S146"")+IMPORTRANGE(""https://docs.google.com/spreadsheets/d/1iodCdmuK2GR3jzUwk8tpccY2JHQQA-87DLOtJP-ooyU/edit?usp=sharing"",""นราธิวาส!S146"")+IMPORTRANGE(""https://docs.google.com/spreadsheets/d/1SDNX3JhDdYRuIOsj0Wh2M-Qa_eaXl0NbWmh"&amp;"AOTbfQAs/edit?usp=sharing"",""ปัตตานี!S146"")+IMPORTRANGE(""https://docs.google.com/spreadsheets/d/16JDLGguT8s5DsGCND1KcwHP_AWR_zDMTqLHPLJUKhaU/edit?usp=sharing"",""พังงา!S146"")+IMPORTRANGE(""https://docs.google.com/spreadsheets/d/17ht0gPKzzT3PObBL1XJkeR"&amp;"mntBXI7wGjpLV7QorqlTk/edit?usp=sharing"",""พัทลุง!S146"")+IMPORTRANGE(""https://docs.google.com/spreadsheets/d/1rd4qoM1q_hsgaolqNGfrim9gbsoLxQsda4-vOz5x_BM/edit?usp=sharing"",""ภูเก็ต!S146"")+IMPORTRANGE(""https://docs.google.com/spreadsheets/d/1woKwKjgoL"&amp;"ssDvPcPeVyezB5izizAn4X1JDrys69n6xI/edit?usp=sharing"",""ยะลา!S146"")+IMPORTRANGE(""https://docs.google.com/spreadsheets/d/1qfrKjzMhm2HJfxQ-qVlJlJQ25Hne1d0khsySbZyGtPA/edit?usp=sharing"",""ระนอง!S146"")+IMPORTRANGE(""https://docs.google.com/spreadsheets/d/"&amp;"1IbSCnFOKpZsnFogBHJnL_isstZVaOMnFiIN0fGTPZZw/edit?usp=sharing"",""สงขลา!S146"")+IMPORTRANGE(""https://docs.google.com/spreadsheets/d/1q9nWasZJ-K8bFGvbE9n0qSRuKGA4Toe3Y89cKCiVtCU/edit?usp=sharing"",""สตูล!S146"")+IMPORTRANGE(""https://docs.google.com/sprea"&amp;"dsheets/d/18T20gbkS_WBjdscyTOV05cvq_JqvqQ17C81mpxf7Ncs/edit?usp=sharing"",""สุราษฎร์ธานี!S146"")"),0)</f>
        <v>0</v>
      </c>
      <c r="T146" s="49">
        <f t="shared" ca="1" si="113"/>
        <v>0</v>
      </c>
      <c r="U146" s="49">
        <f t="shared" ca="1" si="114"/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47">
        <f ca="1">IFERROR(__xludf.DUMMYFUNCTION("IMPORTRANGE(""https://docs.google.com/spreadsheets/d/1kKUcYdkIfrgTSj8iHHHB2MD2FAtwyyocFgqGQn6ADyI/edit?usp=sharing"",""กระบี่!L147"")+IMPORTRANGE(""https://docs.google.com/spreadsheets/d/1GwtLaSlNZkLk7iDqcyZz22giiy40b_usZZBXYciEN1U/edit?usp=sharing"",""ชุ"&amp;"มพร!L147"")+IMPORTRANGE(""https://docs.google.com/spreadsheets/d/16pAz3pOhQEZBhvFNMa5KGgZS6iKWpsKX0pg6tQmwFpo/edit?usp=sharing"",""ตรัง!L147"")+IMPORTRANGE(""https://docs.google.com/spreadsheets/d/1Dj4jcHCTV9JXKCaMoheSXS52JE63kDKyG7bPXnFogHk/edit?usp=shar"&amp;"ing"",""นครศรีธรรมราช!L147"")+IMPORTRANGE(""https://docs.google.com/spreadsheets/d/1iodCdmuK2GR3jzUwk8tpccY2JHQQA-87DLOtJP-ooyU/edit?usp=sharing"",""นราธิวาส!L147"")+IMPORTRANGE(""https://docs.google.com/spreadsheets/d/1SDNX3JhDdYRuIOsj0Wh2M-Qa_eaXl0NbWmh"&amp;"AOTbfQAs/edit?usp=sharing"",""ปัตตานี!L147"")+IMPORTRANGE(""https://docs.google.com/spreadsheets/d/16JDLGguT8s5DsGCND1KcwHP_AWR_zDMTqLHPLJUKhaU/edit?usp=sharing"",""พังงา!L147"")+IMPORTRANGE(""https://docs.google.com/spreadsheets/d/17ht0gPKzzT3PObBL1XJkeR"&amp;"mntBXI7wGjpLV7QorqlTk/edit?usp=sharing"",""พัทลุง!L147"")+IMPORTRANGE(""https://docs.google.com/spreadsheets/d/1rd4qoM1q_hsgaolqNGfrim9gbsoLxQsda4-vOz5x_BM/edit?usp=sharing"",""ภูเก็ต!L147"")+IMPORTRANGE(""https://docs.google.com/spreadsheets/d/1woKwKjgoL"&amp;"ssDvPcPeVyezB5izizAn4X1JDrys69n6xI/edit?usp=sharing"",""ยะลา!L147"")+IMPORTRANGE(""https://docs.google.com/spreadsheets/d/1qfrKjzMhm2HJfxQ-qVlJlJQ25Hne1d0khsySbZyGtPA/edit?usp=sharing"",""ระนอง!L147"")+IMPORTRANGE(""https://docs.google.com/spreadsheets/d/"&amp;"1IbSCnFOKpZsnFogBHJnL_isstZVaOMnFiIN0fGTPZZw/edit?usp=sharing"",""สงขลา!L147"")+IMPORTRANGE(""https://docs.google.com/spreadsheets/d/1q9nWasZJ-K8bFGvbE9n0qSRuKGA4Toe3Y89cKCiVtCU/edit?usp=sharing"",""สตูล!L147"")+IMPORTRANGE(""https://docs.google.com/sprea"&amp;"dsheets/d/18T20gbkS_WBjdscyTOV05cvq_JqvqQ17C81mpxf7Ncs/edit?usp=sharing"",""สุราษฎร์ธานี!L147"")"),0)</f>
        <v>0</v>
      </c>
      <c r="M147" s="47">
        <f ca="1">IFERROR(__xludf.DUMMYFUNCTION("IMPORTRANGE(""https://docs.google.com/spreadsheets/d/1kKUcYdkIfrgTSj8iHHHB2MD2FAtwyyocFgqGQn6ADyI/edit?usp=sharing"",""กระบี่!M147"")+IMPORTRANGE(""https://docs.google.com/spreadsheets/d/1GwtLaSlNZkLk7iDqcyZz22giiy40b_usZZBXYciEN1U/edit?usp=sharing"",""ชุ"&amp;"มพร!M147"")+IMPORTRANGE(""https://docs.google.com/spreadsheets/d/16pAz3pOhQEZBhvFNMa5KGgZS6iKWpsKX0pg6tQmwFpo/edit?usp=sharing"",""ตรัง!M147"")+IMPORTRANGE(""https://docs.google.com/spreadsheets/d/1Dj4jcHCTV9JXKCaMoheSXS52JE63kDKyG7bPXnFogHk/edit?usp=shar"&amp;"ing"",""นครศรีธรรมราช!M147"")+IMPORTRANGE(""https://docs.google.com/spreadsheets/d/1iodCdmuK2GR3jzUwk8tpccY2JHQQA-87DLOtJP-ooyU/edit?usp=sharing"",""นราธิวาส!M147"")+IMPORTRANGE(""https://docs.google.com/spreadsheets/d/1SDNX3JhDdYRuIOsj0Wh2M-Qa_eaXl0NbWmh"&amp;"AOTbfQAs/edit?usp=sharing"",""ปัตตานี!M147"")+IMPORTRANGE(""https://docs.google.com/spreadsheets/d/16JDLGguT8s5DsGCND1KcwHP_AWR_zDMTqLHPLJUKhaU/edit?usp=sharing"",""พังงา!M147"")+IMPORTRANGE(""https://docs.google.com/spreadsheets/d/17ht0gPKzzT3PObBL1XJkeR"&amp;"mntBXI7wGjpLV7QorqlTk/edit?usp=sharing"",""พัทลุง!M147"")+IMPORTRANGE(""https://docs.google.com/spreadsheets/d/1rd4qoM1q_hsgaolqNGfrim9gbsoLxQsda4-vOz5x_BM/edit?usp=sharing"",""ภูเก็ต!M147"")+IMPORTRANGE(""https://docs.google.com/spreadsheets/d/1woKwKjgoL"&amp;"ssDvPcPeVyezB5izizAn4X1JDrys69n6xI/edit?usp=sharing"",""ยะลา!M147"")+IMPORTRANGE(""https://docs.google.com/spreadsheets/d/1qfrKjzMhm2HJfxQ-qVlJlJQ25Hne1d0khsySbZyGtPA/edit?usp=sharing"",""ระนอง!M147"")+IMPORTRANGE(""https://docs.google.com/spreadsheets/d/"&amp;"1IbSCnFOKpZsnFogBHJnL_isstZVaOMnFiIN0fGTPZZw/edit?usp=sharing"",""สงขลา!M147"")+IMPORTRANGE(""https://docs.google.com/spreadsheets/d/1q9nWasZJ-K8bFGvbE9n0qSRuKGA4Toe3Y89cKCiVtCU/edit?usp=sharing"",""สตูล!M147"")+IMPORTRANGE(""https://docs.google.com/sprea"&amp;"dsheets/d/18T20gbkS_WBjdscyTOV05cvq_JqvqQ17C81mpxf7Ncs/edit?usp=sharing"",""สุราษฎร์ธานี!M147"")"),0)</f>
        <v>0</v>
      </c>
      <c r="N147" s="47">
        <f ca="1">IFERROR(__xludf.DUMMYFUNCTION("IMPORTRANGE(""https://docs.google.com/spreadsheets/d/1kKUcYdkIfrgTSj8iHHHB2MD2FAtwyyocFgqGQn6ADyI/edit?usp=sharing"",""กระบี่!N147"")+IMPORTRANGE(""https://docs.google.com/spreadsheets/d/1GwtLaSlNZkLk7iDqcyZz22giiy40b_usZZBXYciEN1U/edit?usp=sharing"",""ชุ"&amp;"มพร!N147"")+IMPORTRANGE(""https://docs.google.com/spreadsheets/d/16pAz3pOhQEZBhvFNMa5KGgZS6iKWpsKX0pg6tQmwFpo/edit?usp=sharing"",""ตรัง!N147"")+IMPORTRANGE(""https://docs.google.com/spreadsheets/d/1Dj4jcHCTV9JXKCaMoheSXS52JE63kDKyG7bPXnFogHk/edit?usp=shar"&amp;"ing"",""นครศรีธรรมราช!N147"")+IMPORTRANGE(""https://docs.google.com/spreadsheets/d/1iodCdmuK2GR3jzUwk8tpccY2JHQQA-87DLOtJP-ooyU/edit?usp=sharing"",""นราธิวาส!N147"")+IMPORTRANGE(""https://docs.google.com/spreadsheets/d/1SDNX3JhDdYRuIOsj0Wh2M-Qa_eaXl0NbWmh"&amp;"AOTbfQAs/edit?usp=sharing"",""ปัตตานี!N147"")+IMPORTRANGE(""https://docs.google.com/spreadsheets/d/16JDLGguT8s5DsGCND1KcwHP_AWR_zDMTqLHPLJUKhaU/edit?usp=sharing"",""พังงา!N147"")+IMPORTRANGE(""https://docs.google.com/spreadsheets/d/17ht0gPKzzT3PObBL1XJkeR"&amp;"mntBXI7wGjpLV7QorqlTk/edit?usp=sharing"",""พัทลุง!N147"")+IMPORTRANGE(""https://docs.google.com/spreadsheets/d/1rd4qoM1q_hsgaolqNGfrim9gbsoLxQsda4-vOz5x_BM/edit?usp=sharing"",""ภูเก็ต!N147"")+IMPORTRANGE(""https://docs.google.com/spreadsheets/d/1woKwKjgoL"&amp;"ssDvPcPeVyezB5izizAn4X1JDrys69n6xI/edit?usp=sharing"",""ยะลา!N147"")+IMPORTRANGE(""https://docs.google.com/spreadsheets/d/1qfrKjzMhm2HJfxQ-qVlJlJQ25Hne1d0khsySbZyGtPA/edit?usp=sharing"",""ระนอง!N147"")+IMPORTRANGE(""https://docs.google.com/spreadsheets/d/"&amp;"1IbSCnFOKpZsnFogBHJnL_isstZVaOMnFiIN0fGTPZZw/edit?usp=sharing"",""สงขลา!N147"")+IMPORTRANGE(""https://docs.google.com/spreadsheets/d/1q9nWasZJ-K8bFGvbE9n0qSRuKGA4Toe3Y89cKCiVtCU/edit?usp=sharing"",""สตูล!N147"")+IMPORTRANGE(""https://docs.google.com/sprea"&amp;"dsheets/d/18T20gbkS_WBjdscyTOV05cvq_JqvqQ17C81mpxf7Ncs/edit?usp=sharing"",""สุราษฎร์ธานี!N147"")"),0)</f>
        <v>0</v>
      </c>
      <c r="O147" s="47">
        <f t="shared" ca="1" si="110"/>
        <v>0</v>
      </c>
      <c r="P147" s="47">
        <f t="shared" ca="1" si="111"/>
        <v>0</v>
      </c>
      <c r="Q147" s="47">
        <f ca="1">IFERROR(__xludf.DUMMYFUNCTION("IMPORTRANGE(""https://docs.google.com/spreadsheets/d/1kKUcYdkIfrgTSj8iHHHB2MD2FAtwyyocFgqGQn6ADyI/edit?usp=sharing"",""กระบี่!Q147"")+IMPORTRANGE(""https://docs.google.com/spreadsheets/d/1GwtLaSlNZkLk7iDqcyZz22giiy40b_usZZBXYciEN1U/edit?usp=sharing"",""ชุ"&amp;"มพร!Q147"")+IMPORTRANGE(""https://docs.google.com/spreadsheets/d/16pAz3pOhQEZBhvFNMa5KGgZS6iKWpsKX0pg6tQmwFpo/edit?usp=sharing"",""ตรัง!Q147"")+IMPORTRANGE(""https://docs.google.com/spreadsheets/d/1Dj4jcHCTV9JXKCaMoheSXS52JE63kDKyG7bPXnFogHk/edit?usp=shar"&amp;"ing"",""นครศรีธรรมราช!Q147"")+IMPORTRANGE(""https://docs.google.com/spreadsheets/d/1iodCdmuK2GR3jzUwk8tpccY2JHQQA-87DLOtJP-ooyU/edit?usp=sharing"",""นราธิวาส!Q147"")+IMPORTRANGE(""https://docs.google.com/spreadsheets/d/1SDNX3JhDdYRuIOsj0Wh2M-Qa_eaXl0NbWmh"&amp;"AOTbfQAs/edit?usp=sharing"",""ปัตตานี!Q147"")+IMPORTRANGE(""https://docs.google.com/spreadsheets/d/16JDLGguT8s5DsGCND1KcwHP_AWR_zDMTqLHPLJUKhaU/edit?usp=sharing"",""พังงา!Q147"")+IMPORTRANGE(""https://docs.google.com/spreadsheets/d/17ht0gPKzzT3PObBL1XJkeR"&amp;"mntBXI7wGjpLV7QorqlTk/edit?usp=sharing"",""พัทลุง!Q147"")+IMPORTRANGE(""https://docs.google.com/spreadsheets/d/1rd4qoM1q_hsgaolqNGfrim9gbsoLxQsda4-vOz5x_BM/edit?usp=sharing"",""ภูเก็ต!Q147"")+IMPORTRANGE(""https://docs.google.com/spreadsheets/d/1woKwKjgoL"&amp;"ssDvPcPeVyezB5izizAn4X1JDrys69n6xI/edit?usp=sharing"",""ยะลา!Q147"")+IMPORTRANGE(""https://docs.google.com/spreadsheets/d/1qfrKjzMhm2HJfxQ-qVlJlJQ25Hne1d0khsySbZyGtPA/edit?usp=sharing"",""ระนอง!Q147"")+IMPORTRANGE(""https://docs.google.com/spreadsheets/d/"&amp;"1IbSCnFOKpZsnFogBHJnL_isstZVaOMnFiIN0fGTPZZw/edit?usp=sharing"",""สงขลา!Q147"")+IMPORTRANGE(""https://docs.google.com/spreadsheets/d/1q9nWasZJ-K8bFGvbE9n0qSRuKGA4Toe3Y89cKCiVtCU/edit?usp=sharing"",""สตูล!Q147"")+IMPORTRANGE(""https://docs.google.com/sprea"&amp;"dsheets/d/18T20gbkS_WBjdscyTOV05cvq_JqvqQ17C81mpxf7Ncs/edit?usp=sharing"",""สุราษฎร์ธานี!Q147"")"),0)</f>
        <v>0</v>
      </c>
      <c r="R147" s="47">
        <f ca="1">IFERROR(__xludf.DUMMYFUNCTION("IMPORTRANGE(""https://docs.google.com/spreadsheets/d/1kKUcYdkIfrgTSj8iHHHB2MD2FAtwyyocFgqGQn6ADyI/edit?usp=sharing"",""กระบี่!R147"")+IMPORTRANGE(""https://docs.google.com/spreadsheets/d/1GwtLaSlNZkLk7iDqcyZz22giiy40b_usZZBXYciEN1U/edit?usp=sharing"",""ชุ"&amp;"มพร!R147"")+IMPORTRANGE(""https://docs.google.com/spreadsheets/d/16pAz3pOhQEZBhvFNMa5KGgZS6iKWpsKX0pg6tQmwFpo/edit?usp=sharing"",""ตรัง!R147"")+IMPORTRANGE(""https://docs.google.com/spreadsheets/d/1Dj4jcHCTV9JXKCaMoheSXS52JE63kDKyG7bPXnFogHk/edit?usp=shar"&amp;"ing"",""นครศรีธรรมราช!R147"")+IMPORTRANGE(""https://docs.google.com/spreadsheets/d/1iodCdmuK2GR3jzUwk8tpccY2JHQQA-87DLOtJP-ooyU/edit?usp=sharing"",""นราธิวาส!R147"")+IMPORTRANGE(""https://docs.google.com/spreadsheets/d/1SDNX3JhDdYRuIOsj0Wh2M-Qa_eaXl0NbWmh"&amp;"AOTbfQAs/edit?usp=sharing"",""ปัตตานี!R147"")+IMPORTRANGE(""https://docs.google.com/spreadsheets/d/16JDLGguT8s5DsGCND1KcwHP_AWR_zDMTqLHPLJUKhaU/edit?usp=sharing"",""พังงา!R147"")+IMPORTRANGE(""https://docs.google.com/spreadsheets/d/17ht0gPKzzT3PObBL1XJkeR"&amp;"mntBXI7wGjpLV7QorqlTk/edit?usp=sharing"",""พัทลุง!R147"")+IMPORTRANGE(""https://docs.google.com/spreadsheets/d/1rd4qoM1q_hsgaolqNGfrim9gbsoLxQsda4-vOz5x_BM/edit?usp=sharing"",""ภูเก็ต!R147"")+IMPORTRANGE(""https://docs.google.com/spreadsheets/d/1woKwKjgoL"&amp;"ssDvPcPeVyezB5izizAn4X1JDrys69n6xI/edit?usp=sharing"",""ยะลา!R147"")+IMPORTRANGE(""https://docs.google.com/spreadsheets/d/1qfrKjzMhm2HJfxQ-qVlJlJQ25Hne1d0khsySbZyGtPA/edit?usp=sharing"",""ระนอง!R147"")+IMPORTRANGE(""https://docs.google.com/spreadsheets/d/"&amp;"1IbSCnFOKpZsnFogBHJnL_isstZVaOMnFiIN0fGTPZZw/edit?usp=sharing"",""สงขลา!R147"")+IMPORTRANGE(""https://docs.google.com/spreadsheets/d/1q9nWasZJ-K8bFGvbE9n0qSRuKGA4Toe3Y89cKCiVtCU/edit?usp=sharing"",""สตูล!R147"")+IMPORTRANGE(""https://docs.google.com/sprea"&amp;"dsheets/d/18T20gbkS_WBjdscyTOV05cvq_JqvqQ17C81mpxf7Ncs/edit?usp=sharing"",""สุราษฎร์ธานี!R147"")"),0)</f>
        <v>0</v>
      </c>
      <c r="S147" s="47">
        <f ca="1">IFERROR(__xludf.DUMMYFUNCTION("IMPORTRANGE(""https://docs.google.com/spreadsheets/d/1kKUcYdkIfrgTSj8iHHHB2MD2FAtwyyocFgqGQn6ADyI/edit?usp=sharing"",""กระบี่!S147"")+IMPORTRANGE(""https://docs.google.com/spreadsheets/d/1GwtLaSlNZkLk7iDqcyZz22giiy40b_usZZBXYciEN1U/edit?usp=sharing"",""ชุ"&amp;"มพร!S147"")+IMPORTRANGE(""https://docs.google.com/spreadsheets/d/16pAz3pOhQEZBhvFNMa5KGgZS6iKWpsKX0pg6tQmwFpo/edit?usp=sharing"",""ตรัง!S147"")+IMPORTRANGE(""https://docs.google.com/spreadsheets/d/1Dj4jcHCTV9JXKCaMoheSXS52JE63kDKyG7bPXnFogHk/edit?usp=shar"&amp;"ing"",""นครศรีธรรมราช!S147"")+IMPORTRANGE(""https://docs.google.com/spreadsheets/d/1iodCdmuK2GR3jzUwk8tpccY2JHQQA-87DLOtJP-ooyU/edit?usp=sharing"",""นราธิวาส!S147"")+IMPORTRANGE(""https://docs.google.com/spreadsheets/d/1SDNX3JhDdYRuIOsj0Wh2M-Qa_eaXl0NbWmh"&amp;"AOTbfQAs/edit?usp=sharing"",""ปัตตานี!S147"")+IMPORTRANGE(""https://docs.google.com/spreadsheets/d/16JDLGguT8s5DsGCND1KcwHP_AWR_zDMTqLHPLJUKhaU/edit?usp=sharing"",""พังงา!S147"")+IMPORTRANGE(""https://docs.google.com/spreadsheets/d/17ht0gPKzzT3PObBL1XJkeR"&amp;"mntBXI7wGjpLV7QorqlTk/edit?usp=sharing"",""พัทลุง!S147"")+IMPORTRANGE(""https://docs.google.com/spreadsheets/d/1rd4qoM1q_hsgaolqNGfrim9gbsoLxQsda4-vOz5x_BM/edit?usp=sharing"",""ภูเก็ต!S147"")+IMPORTRANGE(""https://docs.google.com/spreadsheets/d/1woKwKjgoL"&amp;"ssDvPcPeVyezB5izizAn4X1JDrys69n6xI/edit?usp=sharing"",""ยะลา!S147"")+IMPORTRANGE(""https://docs.google.com/spreadsheets/d/1qfrKjzMhm2HJfxQ-qVlJlJQ25Hne1d0khsySbZyGtPA/edit?usp=sharing"",""ระนอง!S147"")+IMPORTRANGE(""https://docs.google.com/spreadsheets/d/"&amp;"1IbSCnFOKpZsnFogBHJnL_isstZVaOMnFiIN0fGTPZZw/edit?usp=sharing"",""สงขลา!S147"")+IMPORTRANGE(""https://docs.google.com/spreadsheets/d/1q9nWasZJ-K8bFGvbE9n0qSRuKGA4Toe3Y89cKCiVtCU/edit?usp=sharing"",""สตูล!S147"")+IMPORTRANGE(""https://docs.google.com/sprea"&amp;"dsheets/d/18T20gbkS_WBjdscyTOV05cvq_JqvqQ17C81mpxf7Ncs/edit?usp=sharing"",""สุราษฎร์ธานี!S147"")"),0)</f>
        <v>0</v>
      </c>
      <c r="T147" s="47">
        <f t="shared" ca="1" si="113"/>
        <v>0</v>
      </c>
      <c r="U147" s="47">
        <f t="shared" ca="1" si="114"/>
        <v>0</v>
      </c>
    </row>
    <row r="148" spans="1:21" ht="19.5" x14ac:dyDescent="0.3">
      <c r="A148" s="138"/>
      <c r="B148" s="139"/>
      <c r="C148" s="129" t="s">
        <v>18</v>
      </c>
      <c r="D148" s="140" t="s">
        <v>38</v>
      </c>
      <c r="E148" s="141"/>
      <c r="F148" s="141"/>
      <c r="G148" s="142"/>
      <c r="H148" s="189"/>
      <c r="I148" s="45"/>
      <c r="J148" s="45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52">
        <f ca="1">IFERROR(__xludf.DUMMYFUNCTION("IMPORTRANGE(""https://docs.google.com/spreadsheets/d/1kKUcYdkIfrgTSj8iHHHB2MD2FAtwyyocFgqGQn6ADyI/edit?usp=sharing"",""กระบี่!J149"")+IMPORTRANGE(""https://docs.google.com/spreadsheets/d/1GwtLaSlNZkLk7iDqcyZz22giiy40b_usZZBXYciEN1U/edit?usp=sharing"",""ชุ"&amp;"มพร!J149"")+IMPORTRANGE(""https://docs.google.com/spreadsheets/d/16pAz3pOhQEZBhvFNMa5KGgZS6iKWpsKX0pg6tQmwFpo/edit?usp=sharing"",""ตรัง!J149"")+IMPORTRANGE(""https://docs.google.com/spreadsheets/d/1Dj4jcHCTV9JXKCaMoheSXS52JE63kDKyG7bPXnFogHk/edit?usp=shar"&amp;"ing"",""นครศรีธรรมราช!J149"")+IMPORTRANGE(""https://docs.google.com/spreadsheets/d/1iodCdmuK2GR3jzUwk8tpccY2JHQQA-87DLOtJP-ooyU/edit?usp=sharing"",""นราธิวาส!J149"")+IMPORTRANGE(""https://docs.google.com/spreadsheets/d/1SDNX3JhDdYRuIOsj0Wh2M-Qa_eaXl0NbWmh"&amp;"AOTbfQAs/edit?usp=sharing"",""ปัตตานี!J149"")+IMPORTRANGE(""https://docs.google.com/spreadsheets/d/16JDLGguT8s5DsGCND1KcwHP_AWR_zDMTqLHPLJUKhaU/edit?usp=sharing"",""พังงา!J149"")+IMPORTRANGE(""https://docs.google.com/spreadsheets/d/17ht0gPKzzT3PObBL1XJkeR"&amp;"mntBXI7wGjpLV7QorqlTk/edit?usp=sharing"",""พัทลุง!J149"")+IMPORTRANGE(""https://docs.google.com/spreadsheets/d/1rd4qoM1q_hsgaolqNGfrim9gbsoLxQsda4-vOz5x_BM/edit?usp=sharing"",""ภูเก็ต!J149"")+IMPORTRANGE(""https://docs.google.com/spreadsheets/d/1woKwKjgoL"&amp;"ssDvPcPeVyezB5izizAn4X1JDrys69n6xI/edit?usp=sharing"",""ยะลา!J149"")+IMPORTRANGE(""https://docs.google.com/spreadsheets/d/1qfrKjzMhm2HJfxQ-qVlJlJQ25Hne1d0khsySbZyGtPA/edit?usp=sharing"",""ระนอง!J149"")+IMPORTRANGE(""https://docs.google.com/spreadsheets/d/"&amp;"1IbSCnFOKpZsnFogBHJnL_isstZVaOMnFiIN0fGTPZZw/edit?usp=sharing"",""สงขลา!J149"")+IMPORTRANGE(""https://docs.google.com/spreadsheets/d/1q9nWasZJ-K8bFGvbE9n0qSRuKGA4Toe3Y89cKCiVtCU/edit?usp=sharing"",""สตูล!J149"")+IMPORTRANGE(""https://docs.google.com/sprea"&amp;"dsheets/d/18T20gbkS_WBjdscyTOV05cvq_JqvqQ17C81mpxf7Ncs/edit?usp=sharing"",""สุราษฎร์ธานี!J149"")"),0)</f>
        <v>0</v>
      </c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kKUcYdkIfrgTSj8iHHHB2MD2FAtwyyocFgqGQn6ADyI/edit?usp=sharing"",""กระบี่!I150"")+IMPORTRANGE(""https://docs.google.com/spreadsheets/d/1GwtLaSlNZkLk7iDqcyZz22giiy40b_usZZBXYciEN1U/edit?usp=sharing"",""ชุ"&amp;"มพร!I150"")+IMPORTRANGE(""https://docs.google.com/spreadsheets/d/16pAz3pOhQEZBhvFNMa5KGgZS6iKWpsKX0pg6tQmwFpo/edit?usp=sharing"",""ตรัง!I150"")+IMPORTRANGE(""https://docs.google.com/spreadsheets/d/1Dj4jcHCTV9JXKCaMoheSXS52JE63kDKyG7bPXnFogHk/edit?usp=shar"&amp;"ing"",""นครศรีธรรมราช!I150"")+IMPORTRANGE(""https://docs.google.com/spreadsheets/d/1iodCdmuK2GR3jzUwk8tpccY2JHQQA-87DLOtJP-ooyU/edit?usp=sharing"",""นราธิวาส!I150"")+IMPORTRANGE(""https://docs.google.com/spreadsheets/d/1SDNX3JhDdYRuIOsj0Wh2M-Qa_eaXl0NbWmh"&amp;"AOTbfQAs/edit?usp=sharing"",""ปัตตานี!I150"")+IMPORTRANGE(""https://docs.google.com/spreadsheets/d/16JDLGguT8s5DsGCND1KcwHP_AWR_zDMTqLHPLJUKhaU/edit?usp=sharing"",""พังงา!I150"")+IMPORTRANGE(""https://docs.google.com/spreadsheets/d/17ht0gPKzzT3PObBL1XJkeR"&amp;"mntBXI7wGjpLV7QorqlTk/edit?usp=sharing"",""พัทลุง!I150"")+IMPORTRANGE(""https://docs.google.com/spreadsheets/d/1rd4qoM1q_hsgaolqNGfrim9gbsoLxQsda4-vOz5x_BM/edit?usp=sharing"",""ภูเก็ต!I150"")+IMPORTRANGE(""https://docs.google.com/spreadsheets/d/1woKwKjgoL"&amp;"ssDvPcPeVyezB5izizAn4X1JDrys69n6xI/edit?usp=sharing"",""ยะลา!I150"")+IMPORTRANGE(""https://docs.google.com/spreadsheets/d/1qfrKjzMhm2HJfxQ-qVlJlJQ25Hne1d0khsySbZyGtPA/edit?usp=sharing"",""ระนอง!I150"")+IMPORTRANGE(""https://docs.google.com/spreadsheets/d/"&amp;"1IbSCnFOKpZsnFogBHJnL_isstZVaOMnFiIN0fGTPZZw/edit?usp=sharing"",""สงขลา!I150"")+IMPORTRANGE(""https://docs.google.com/spreadsheets/d/1q9nWasZJ-K8bFGvbE9n0qSRuKGA4Toe3Y89cKCiVtCU/edit?usp=sharing"",""สตูล!I150"")+IMPORTRANGE(""https://docs.google.com/sprea"&amp;"dsheets/d/18T20gbkS_WBjdscyTOV05cvq_JqvqQ17C81mpxf7Ncs/edit?usp=sharing"",""สุราษฎร์ธานี!I150"")"),50)</f>
        <v>50</v>
      </c>
      <c r="J150" s="152">
        <f ca="1">IFERROR(__xludf.DUMMYFUNCTION("IMPORTRANGE(""https://docs.google.com/spreadsheets/d/1kKUcYdkIfrgTSj8iHHHB2MD2FAtwyyocFgqGQn6ADyI/edit?usp=sharing"",""กระบี่!J150"")+IMPORTRANGE(""https://docs.google.com/spreadsheets/d/1GwtLaSlNZkLk7iDqcyZz22giiy40b_usZZBXYciEN1U/edit?usp=sharing"",""ชุ"&amp;"มพร!J150"")+IMPORTRANGE(""https://docs.google.com/spreadsheets/d/16pAz3pOhQEZBhvFNMa5KGgZS6iKWpsKX0pg6tQmwFpo/edit?usp=sharing"",""ตรัง!J150"")+IMPORTRANGE(""https://docs.google.com/spreadsheets/d/1Dj4jcHCTV9JXKCaMoheSXS52JE63kDKyG7bPXnFogHk/edit?usp=shar"&amp;"ing"",""นครศรีธรรมราช!J150"")+IMPORTRANGE(""https://docs.google.com/spreadsheets/d/1iodCdmuK2GR3jzUwk8tpccY2JHQQA-87DLOtJP-ooyU/edit?usp=sharing"",""นราธิวาส!J150"")+IMPORTRANGE(""https://docs.google.com/spreadsheets/d/1SDNX3JhDdYRuIOsj0Wh2M-Qa_eaXl0NbWmh"&amp;"AOTbfQAs/edit?usp=sharing"",""ปัตตานี!J150"")+IMPORTRANGE(""https://docs.google.com/spreadsheets/d/16JDLGguT8s5DsGCND1KcwHP_AWR_zDMTqLHPLJUKhaU/edit?usp=sharing"",""พังงา!J150"")+IMPORTRANGE(""https://docs.google.com/spreadsheets/d/17ht0gPKzzT3PObBL1XJkeR"&amp;"mntBXI7wGjpLV7QorqlTk/edit?usp=sharing"",""พัทลุง!J150"")+IMPORTRANGE(""https://docs.google.com/spreadsheets/d/1rd4qoM1q_hsgaolqNGfrim9gbsoLxQsda4-vOz5x_BM/edit?usp=sharing"",""ภูเก็ต!J150"")+IMPORTRANGE(""https://docs.google.com/spreadsheets/d/1woKwKjgoL"&amp;"ssDvPcPeVyezB5izizAn4X1JDrys69n6xI/edit?usp=sharing"",""ยะลา!J150"")+IMPORTRANGE(""https://docs.google.com/spreadsheets/d/1qfrKjzMhm2HJfxQ-qVlJlJQ25Hne1d0khsySbZyGtPA/edit?usp=sharing"",""ระนอง!J150"")+IMPORTRANGE(""https://docs.google.com/spreadsheets/d/"&amp;"1IbSCnFOKpZsnFogBHJnL_isstZVaOMnFiIN0fGTPZZw/edit?usp=sharing"",""สงขลา!J150"")+IMPORTRANGE(""https://docs.google.com/spreadsheets/d/1q9nWasZJ-K8bFGvbE9n0qSRuKGA4Toe3Y89cKCiVtCU/edit?usp=sharing"",""สตูล!J150"")+IMPORTRANGE(""https://docs.google.com/sprea"&amp;"dsheets/d/18T20gbkS_WBjdscyTOV05cvq_JqvqQ17C81mpxf7Ncs/edit?usp=sharing"",""สุราษฎร์ธานี!J150"")"),30)</f>
        <v>30</v>
      </c>
      <c r="K150" s="47">
        <f t="shared" ref="K150:K154" ca="1" si="123">IF(I150&gt;0,J150*100/I150,0)</f>
        <v>60</v>
      </c>
      <c r="L150" s="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kKUcYdkIfrgTSj8iHHHB2MD2FAtwyyocFgqGQn6ADyI/edit?usp=sharing"",""กระบี่!I151"")+IMPORTRANGE(""https://docs.google.com/spreadsheets/d/1GwtLaSlNZkLk7iDqcyZz22giiy40b_usZZBXYciEN1U/edit?usp=sharing"",""ชุ"&amp;"มพร!I151"")+IMPORTRANGE(""https://docs.google.com/spreadsheets/d/16pAz3pOhQEZBhvFNMa5KGgZS6iKWpsKX0pg6tQmwFpo/edit?usp=sharing"",""ตรัง!I151"")+IMPORTRANGE(""https://docs.google.com/spreadsheets/d/1Dj4jcHCTV9JXKCaMoheSXS52JE63kDKyG7bPXnFogHk/edit?usp=shar"&amp;"ing"",""นครศรีธรรมราช!I151"")+IMPORTRANGE(""https://docs.google.com/spreadsheets/d/1iodCdmuK2GR3jzUwk8tpccY2JHQQA-87DLOtJP-ooyU/edit?usp=sharing"",""นราธิวาส!I151"")+IMPORTRANGE(""https://docs.google.com/spreadsheets/d/1SDNX3JhDdYRuIOsj0Wh2M-Qa_eaXl0NbWmh"&amp;"AOTbfQAs/edit?usp=sharing"",""ปัตตานี!I151"")+IMPORTRANGE(""https://docs.google.com/spreadsheets/d/16JDLGguT8s5DsGCND1KcwHP_AWR_zDMTqLHPLJUKhaU/edit?usp=sharing"",""พังงา!I151"")+IMPORTRANGE(""https://docs.google.com/spreadsheets/d/17ht0gPKzzT3PObBL1XJkeR"&amp;"mntBXI7wGjpLV7QorqlTk/edit?usp=sharing"",""พัทลุง!I151"")+IMPORTRANGE(""https://docs.google.com/spreadsheets/d/1rd4qoM1q_hsgaolqNGfrim9gbsoLxQsda4-vOz5x_BM/edit?usp=sharing"",""ภูเก็ต!I151"")+IMPORTRANGE(""https://docs.google.com/spreadsheets/d/1woKwKjgoL"&amp;"ssDvPcPeVyezB5izizAn4X1JDrys69n6xI/edit?usp=sharing"",""ยะลา!I151"")+IMPORTRANGE(""https://docs.google.com/spreadsheets/d/1qfrKjzMhm2HJfxQ-qVlJlJQ25Hne1d0khsySbZyGtPA/edit?usp=sharing"",""ระนอง!I151"")+IMPORTRANGE(""https://docs.google.com/spreadsheets/d/"&amp;"1IbSCnFOKpZsnFogBHJnL_isstZVaOMnFiIN0fGTPZZw/edit?usp=sharing"",""สงขลา!I151"")+IMPORTRANGE(""https://docs.google.com/spreadsheets/d/1q9nWasZJ-K8bFGvbE9n0qSRuKGA4Toe3Y89cKCiVtCU/edit?usp=sharing"",""สตูล!I151"")+IMPORTRANGE(""https://docs.google.com/sprea"&amp;"dsheets/d/18T20gbkS_WBjdscyTOV05cvq_JqvqQ17C81mpxf7Ncs/edit?usp=sharing"",""สุราษฎร์ธานี!I151"")"),5)</f>
        <v>5</v>
      </c>
      <c r="J151" s="152">
        <f ca="1">IFERROR(__xludf.DUMMYFUNCTION("IMPORTRANGE(""https://docs.google.com/spreadsheets/d/1kKUcYdkIfrgTSj8iHHHB2MD2FAtwyyocFgqGQn6ADyI/edit?usp=sharing"",""กระบี่!J151"")+IMPORTRANGE(""https://docs.google.com/spreadsheets/d/1GwtLaSlNZkLk7iDqcyZz22giiy40b_usZZBXYciEN1U/edit?usp=sharing"",""ชุ"&amp;"มพร!J151"")+IMPORTRANGE(""https://docs.google.com/spreadsheets/d/16pAz3pOhQEZBhvFNMa5KGgZS6iKWpsKX0pg6tQmwFpo/edit?usp=sharing"",""ตรัง!J151"")+IMPORTRANGE(""https://docs.google.com/spreadsheets/d/1Dj4jcHCTV9JXKCaMoheSXS52JE63kDKyG7bPXnFogHk/edit?usp=shar"&amp;"ing"",""นครศรีธรรมราช!J151"")+IMPORTRANGE(""https://docs.google.com/spreadsheets/d/1iodCdmuK2GR3jzUwk8tpccY2JHQQA-87DLOtJP-ooyU/edit?usp=sharing"",""นราธิวาส!J151"")+IMPORTRANGE(""https://docs.google.com/spreadsheets/d/1SDNX3JhDdYRuIOsj0Wh2M-Qa_eaXl0NbWmh"&amp;"AOTbfQAs/edit?usp=sharing"",""ปัตตานี!J151"")+IMPORTRANGE(""https://docs.google.com/spreadsheets/d/16JDLGguT8s5DsGCND1KcwHP_AWR_zDMTqLHPLJUKhaU/edit?usp=sharing"",""พังงา!J151"")+IMPORTRANGE(""https://docs.google.com/spreadsheets/d/17ht0gPKzzT3PObBL1XJkeR"&amp;"mntBXI7wGjpLV7QorqlTk/edit?usp=sharing"",""พัทลุง!J151"")+IMPORTRANGE(""https://docs.google.com/spreadsheets/d/1rd4qoM1q_hsgaolqNGfrim9gbsoLxQsda4-vOz5x_BM/edit?usp=sharing"",""ภูเก็ต!J151"")+IMPORTRANGE(""https://docs.google.com/spreadsheets/d/1woKwKjgoL"&amp;"ssDvPcPeVyezB5izizAn4X1JDrys69n6xI/edit?usp=sharing"",""ยะลา!J151"")+IMPORTRANGE(""https://docs.google.com/spreadsheets/d/1qfrKjzMhm2HJfxQ-qVlJlJQ25Hne1d0khsySbZyGtPA/edit?usp=sharing"",""ระนอง!J151"")+IMPORTRANGE(""https://docs.google.com/spreadsheets/d/"&amp;"1IbSCnFOKpZsnFogBHJnL_isstZVaOMnFiIN0fGTPZZw/edit?usp=sharing"",""สงขลา!J151"")+IMPORTRANGE(""https://docs.google.com/spreadsheets/d/1q9nWasZJ-K8bFGvbE9n0qSRuKGA4Toe3Y89cKCiVtCU/edit?usp=sharing"",""สตูล!J151"")+IMPORTRANGE(""https://docs.google.com/sprea"&amp;"dsheets/d/18T20gbkS_WBjdscyTOV05cvq_JqvqQ17C81mpxf7Ncs/edit?usp=sharing"",""สุราษฎร์ธานี!J151"")"),3)</f>
        <v>3</v>
      </c>
      <c r="K151" s="47">
        <f t="shared" ca="1" si="123"/>
        <v>60</v>
      </c>
      <c r="L151" s="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kKUcYdkIfrgTSj8iHHHB2MD2FAtwyyocFgqGQn6ADyI/edit?usp=sharing"",""กระบี่!I152"")+IMPORTRANGE(""https://docs.google.com/spreadsheets/d/1GwtLaSlNZkLk7iDqcyZz22giiy40b_usZZBXYciEN1U/edit?usp=sharing"",""ชุ"&amp;"มพร!I152"")+IMPORTRANGE(""https://docs.google.com/spreadsheets/d/16pAz3pOhQEZBhvFNMa5KGgZS6iKWpsKX0pg6tQmwFpo/edit?usp=sharing"",""ตรัง!I152"")+IMPORTRANGE(""https://docs.google.com/spreadsheets/d/1Dj4jcHCTV9JXKCaMoheSXS52JE63kDKyG7bPXnFogHk/edit?usp=shar"&amp;"ing"",""นครศรีธรรมราช!I152"")+IMPORTRANGE(""https://docs.google.com/spreadsheets/d/1iodCdmuK2GR3jzUwk8tpccY2JHQQA-87DLOtJP-ooyU/edit?usp=sharing"",""นราธิวาส!I152"")+IMPORTRANGE(""https://docs.google.com/spreadsheets/d/1SDNX3JhDdYRuIOsj0Wh2M-Qa_eaXl0NbWmh"&amp;"AOTbfQAs/edit?usp=sharing"",""ปัตตานี!I152"")+IMPORTRANGE(""https://docs.google.com/spreadsheets/d/16JDLGguT8s5DsGCND1KcwHP_AWR_zDMTqLHPLJUKhaU/edit?usp=sharing"",""พังงา!I152"")+IMPORTRANGE(""https://docs.google.com/spreadsheets/d/17ht0gPKzzT3PObBL1XJkeR"&amp;"mntBXI7wGjpLV7QorqlTk/edit?usp=sharing"",""พัทลุง!I152"")+IMPORTRANGE(""https://docs.google.com/spreadsheets/d/1rd4qoM1q_hsgaolqNGfrim9gbsoLxQsda4-vOz5x_BM/edit?usp=sharing"",""ภูเก็ต!I152"")+IMPORTRANGE(""https://docs.google.com/spreadsheets/d/1woKwKjgoL"&amp;"ssDvPcPeVyezB5izizAn4X1JDrys69n6xI/edit?usp=sharing"",""ยะลา!I152"")+IMPORTRANGE(""https://docs.google.com/spreadsheets/d/1qfrKjzMhm2HJfxQ-qVlJlJQ25Hne1d0khsySbZyGtPA/edit?usp=sharing"",""ระนอง!I152"")+IMPORTRANGE(""https://docs.google.com/spreadsheets/d/"&amp;"1IbSCnFOKpZsnFogBHJnL_isstZVaOMnFiIN0fGTPZZw/edit?usp=sharing"",""สงขลา!I152"")+IMPORTRANGE(""https://docs.google.com/spreadsheets/d/1q9nWasZJ-K8bFGvbE9n0qSRuKGA4Toe3Y89cKCiVtCU/edit?usp=sharing"",""สตูล!I152"")+IMPORTRANGE(""https://docs.google.com/sprea"&amp;"dsheets/d/18T20gbkS_WBjdscyTOV05cvq_JqvqQ17C81mpxf7Ncs/edit?usp=sharing"",""สุราษฎร์ธานี!I152"")"),200)</f>
        <v>200</v>
      </c>
      <c r="J152" s="152">
        <f ca="1">IFERROR(__xludf.DUMMYFUNCTION("IMPORTRANGE(""https://docs.google.com/spreadsheets/d/1kKUcYdkIfrgTSj8iHHHB2MD2FAtwyyocFgqGQn6ADyI/edit?usp=sharing"",""กระบี่!J152"")+IMPORTRANGE(""https://docs.google.com/spreadsheets/d/1GwtLaSlNZkLk7iDqcyZz22giiy40b_usZZBXYciEN1U/edit?usp=sharing"",""ชุ"&amp;"มพร!J152"")+IMPORTRANGE(""https://docs.google.com/spreadsheets/d/16pAz3pOhQEZBhvFNMa5KGgZS6iKWpsKX0pg6tQmwFpo/edit?usp=sharing"",""ตรัง!J152"")+IMPORTRANGE(""https://docs.google.com/spreadsheets/d/1Dj4jcHCTV9JXKCaMoheSXS52JE63kDKyG7bPXnFogHk/edit?usp=shar"&amp;"ing"",""นครศรีธรรมราช!J152"")+IMPORTRANGE(""https://docs.google.com/spreadsheets/d/1iodCdmuK2GR3jzUwk8tpccY2JHQQA-87DLOtJP-ooyU/edit?usp=sharing"",""นราธิวาส!J152"")+IMPORTRANGE(""https://docs.google.com/spreadsheets/d/1SDNX3JhDdYRuIOsj0Wh2M-Qa_eaXl0NbWmh"&amp;"AOTbfQAs/edit?usp=sharing"",""ปัตตานี!J152"")+IMPORTRANGE(""https://docs.google.com/spreadsheets/d/16JDLGguT8s5DsGCND1KcwHP_AWR_zDMTqLHPLJUKhaU/edit?usp=sharing"",""พังงา!J152"")+IMPORTRANGE(""https://docs.google.com/spreadsheets/d/17ht0gPKzzT3PObBL1XJkeR"&amp;"mntBXI7wGjpLV7QorqlTk/edit?usp=sharing"",""พัทลุง!J152"")+IMPORTRANGE(""https://docs.google.com/spreadsheets/d/1rd4qoM1q_hsgaolqNGfrim9gbsoLxQsda4-vOz5x_BM/edit?usp=sharing"",""ภูเก็ต!J152"")+IMPORTRANGE(""https://docs.google.com/spreadsheets/d/1woKwKjgoL"&amp;"ssDvPcPeVyezB5izizAn4X1JDrys69n6xI/edit?usp=sharing"",""ยะลา!J152"")+IMPORTRANGE(""https://docs.google.com/spreadsheets/d/1qfrKjzMhm2HJfxQ-qVlJlJQ25Hne1d0khsySbZyGtPA/edit?usp=sharing"",""ระนอง!J152"")+IMPORTRANGE(""https://docs.google.com/spreadsheets/d/"&amp;"1IbSCnFOKpZsnFogBHJnL_isstZVaOMnFiIN0fGTPZZw/edit?usp=sharing"",""สงขลา!J152"")+IMPORTRANGE(""https://docs.google.com/spreadsheets/d/1q9nWasZJ-K8bFGvbE9n0qSRuKGA4Toe3Y89cKCiVtCU/edit?usp=sharing"",""สตูล!J152"")+IMPORTRANGE(""https://docs.google.com/sprea"&amp;"dsheets/d/18T20gbkS_WBjdscyTOV05cvq_JqvqQ17C81mpxf7Ncs/edit?usp=sharing"",""สุราษฎร์ธานี!J152"")"),90)</f>
        <v>90</v>
      </c>
      <c r="K152" s="47">
        <f t="shared" ca="1" si="123"/>
        <v>45</v>
      </c>
      <c r="L152" s="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kKUcYdkIfrgTSj8iHHHB2MD2FAtwyyocFgqGQn6ADyI/edit?usp=sharing"",""กระบี่!I153"")+IMPORTRANGE(""https://docs.google.com/spreadsheets/d/1GwtLaSlNZkLk7iDqcyZz22giiy40b_usZZBXYciEN1U/edit?usp=sharing"",""ชุ"&amp;"มพร!I153"")+IMPORTRANGE(""https://docs.google.com/spreadsheets/d/16pAz3pOhQEZBhvFNMa5KGgZS6iKWpsKX0pg6tQmwFpo/edit?usp=sharing"",""ตรัง!I153"")+IMPORTRANGE(""https://docs.google.com/spreadsheets/d/1Dj4jcHCTV9JXKCaMoheSXS52JE63kDKyG7bPXnFogHk/edit?usp=shar"&amp;"ing"",""นครศรีธรรมราช!I153"")+IMPORTRANGE(""https://docs.google.com/spreadsheets/d/1iodCdmuK2GR3jzUwk8tpccY2JHQQA-87DLOtJP-ooyU/edit?usp=sharing"",""นราธิวาส!I153"")+IMPORTRANGE(""https://docs.google.com/spreadsheets/d/1SDNX3JhDdYRuIOsj0Wh2M-Qa_eaXl0NbWmh"&amp;"AOTbfQAs/edit?usp=sharing"",""ปัตตานี!I153"")+IMPORTRANGE(""https://docs.google.com/spreadsheets/d/16JDLGguT8s5DsGCND1KcwHP_AWR_zDMTqLHPLJUKhaU/edit?usp=sharing"",""พังงา!I153"")+IMPORTRANGE(""https://docs.google.com/spreadsheets/d/17ht0gPKzzT3PObBL1XJkeR"&amp;"mntBXI7wGjpLV7QorqlTk/edit?usp=sharing"",""พัทลุง!I153"")+IMPORTRANGE(""https://docs.google.com/spreadsheets/d/1rd4qoM1q_hsgaolqNGfrim9gbsoLxQsda4-vOz5x_BM/edit?usp=sharing"",""ภูเก็ต!I153"")+IMPORTRANGE(""https://docs.google.com/spreadsheets/d/1woKwKjgoL"&amp;"ssDvPcPeVyezB5izizAn4X1JDrys69n6xI/edit?usp=sharing"",""ยะลา!I153"")+IMPORTRANGE(""https://docs.google.com/spreadsheets/d/1qfrKjzMhm2HJfxQ-qVlJlJQ25Hne1d0khsySbZyGtPA/edit?usp=sharing"",""ระนอง!I153"")+IMPORTRANGE(""https://docs.google.com/spreadsheets/d/"&amp;"1IbSCnFOKpZsnFogBHJnL_isstZVaOMnFiIN0fGTPZZw/edit?usp=sharing"",""สงขลา!I153"")+IMPORTRANGE(""https://docs.google.com/spreadsheets/d/1q9nWasZJ-K8bFGvbE9n0qSRuKGA4Toe3Y89cKCiVtCU/edit?usp=sharing"",""สตูล!I153"")+IMPORTRANGE(""https://docs.google.com/sprea"&amp;"dsheets/d/18T20gbkS_WBjdscyTOV05cvq_JqvqQ17C81mpxf7Ncs/edit?usp=sharing"",""สุราษฎร์ธานี!I153"")"),20)</f>
        <v>20</v>
      </c>
      <c r="J153" s="152">
        <f ca="1">IFERROR(__xludf.DUMMYFUNCTION("IMPORTRANGE(""https://docs.google.com/spreadsheets/d/1kKUcYdkIfrgTSj8iHHHB2MD2FAtwyyocFgqGQn6ADyI/edit?usp=sharing"",""กระบี่!J153"")+IMPORTRANGE(""https://docs.google.com/spreadsheets/d/1GwtLaSlNZkLk7iDqcyZz22giiy40b_usZZBXYciEN1U/edit?usp=sharing"",""ชุ"&amp;"มพร!J153"")+IMPORTRANGE(""https://docs.google.com/spreadsheets/d/16pAz3pOhQEZBhvFNMa5KGgZS6iKWpsKX0pg6tQmwFpo/edit?usp=sharing"",""ตรัง!J153"")+IMPORTRANGE(""https://docs.google.com/spreadsheets/d/1Dj4jcHCTV9JXKCaMoheSXS52JE63kDKyG7bPXnFogHk/edit?usp=shar"&amp;"ing"",""นครศรีธรรมราช!J153"")+IMPORTRANGE(""https://docs.google.com/spreadsheets/d/1iodCdmuK2GR3jzUwk8tpccY2JHQQA-87DLOtJP-ooyU/edit?usp=sharing"",""นราธิวาส!J153"")+IMPORTRANGE(""https://docs.google.com/spreadsheets/d/1SDNX3JhDdYRuIOsj0Wh2M-Qa_eaXl0NbWmh"&amp;"AOTbfQAs/edit?usp=sharing"",""ปัตตานี!J153"")+IMPORTRANGE(""https://docs.google.com/spreadsheets/d/16JDLGguT8s5DsGCND1KcwHP_AWR_zDMTqLHPLJUKhaU/edit?usp=sharing"",""พังงา!J153"")+IMPORTRANGE(""https://docs.google.com/spreadsheets/d/17ht0gPKzzT3PObBL1XJkeR"&amp;"mntBXI7wGjpLV7QorqlTk/edit?usp=sharing"",""พัทลุง!J153"")+IMPORTRANGE(""https://docs.google.com/spreadsheets/d/1rd4qoM1q_hsgaolqNGfrim9gbsoLxQsda4-vOz5x_BM/edit?usp=sharing"",""ภูเก็ต!J153"")+IMPORTRANGE(""https://docs.google.com/spreadsheets/d/1woKwKjgoL"&amp;"ssDvPcPeVyezB5izizAn4X1JDrys69n6xI/edit?usp=sharing"",""ยะลา!J153"")+IMPORTRANGE(""https://docs.google.com/spreadsheets/d/1qfrKjzMhm2HJfxQ-qVlJlJQ25Hne1d0khsySbZyGtPA/edit?usp=sharing"",""ระนอง!J153"")+IMPORTRANGE(""https://docs.google.com/spreadsheets/d/"&amp;"1IbSCnFOKpZsnFogBHJnL_isstZVaOMnFiIN0fGTPZZw/edit?usp=sharing"",""สงขลา!J153"")+IMPORTRANGE(""https://docs.google.com/spreadsheets/d/1q9nWasZJ-K8bFGvbE9n0qSRuKGA4Toe3Y89cKCiVtCU/edit?usp=sharing"",""สตูล!J153"")+IMPORTRANGE(""https://docs.google.com/sprea"&amp;"dsheets/d/18T20gbkS_WBjdscyTOV05cvq_JqvqQ17C81mpxf7Ncs/edit?usp=sharing"",""สุราษฎร์ธานี!J153"")"),9)</f>
        <v>9</v>
      </c>
      <c r="K153" s="47">
        <f t="shared" ca="1" si="123"/>
        <v>45</v>
      </c>
      <c r="L153" s="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kKUcYdkIfrgTSj8iHHHB2MD2FAtwyyocFgqGQn6ADyI/edit?usp=sharing"",""กระบี่!I154"")+IMPORTRANGE(""https://docs.google.com/spreadsheets/d/1GwtLaSlNZkLk7iDqcyZz22giiy40b_usZZBXYciEN1U/edit?usp=sharing"",""ชุ"&amp;"มพร!I154"")+IMPORTRANGE(""https://docs.google.com/spreadsheets/d/16pAz3pOhQEZBhvFNMa5KGgZS6iKWpsKX0pg6tQmwFpo/edit?usp=sharing"",""ตรัง!I154"")+IMPORTRANGE(""https://docs.google.com/spreadsheets/d/1Dj4jcHCTV9JXKCaMoheSXS52JE63kDKyG7bPXnFogHk/edit?usp=shar"&amp;"ing"",""นครศรีธรรมราช!I154"")+IMPORTRANGE(""https://docs.google.com/spreadsheets/d/1iodCdmuK2GR3jzUwk8tpccY2JHQQA-87DLOtJP-ooyU/edit?usp=sharing"",""นราธิวาส!I154"")+IMPORTRANGE(""https://docs.google.com/spreadsheets/d/1SDNX3JhDdYRuIOsj0Wh2M-Qa_eaXl0NbWmh"&amp;"AOTbfQAs/edit?usp=sharing"",""ปัตตานี!I154"")+IMPORTRANGE(""https://docs.google.com/spreadsheets/d/16JDLGguT8s5DsGCND1KcwHP_AWR_zDMTqLHPLJUKhaU/edit?usp=sharing"",""พังงา!I154"")+IMPORTRANGE(""https://docs.google.com/spreadsheets/d/17ht0gPKzzT3PObBL1XJkeR"&amp;"mntBXI7wGjpLV7QorqlTk/edit?usp=sharing"",""พัทลุง!I154"")+IMPORTRANGE(""https://docs.google.com/spreadsheets/d/1rd4qoM1q_hsgaolqNGfrim9gbsoLxQsda4-vOz5x_BM/edit?usp=sharing"",""ภูเก็ต!I154"")+IMPORTRANGE(""https://docs.google.com/spreadsheets/d/1woKwKjgoL"&amp;"ssDvPcPeVyezB5izizAn4X1JDrys69n6xI/edit?usp=sharing"",""ยะลา!I154"")+IMPORTRANGE(""https://docs.google.com/spreadsheets/d/1qfrKjzMhm2HJfxQ-qVlJlJQ25Hne1d0khsySbZyGtPA/edit?usp=sharing"",""ระนอง!I154"")+IMPORTRANGE(""https://docs.google.com/spreadsheets/d/"&amp;"1IbSCnFOKpZsnFogBHJnL_isstZVaOMnFiIN0fGTPZZw/edit?usp=sharing"",""สงขลา!I154"")+IMPORTRANGE(""https://docs.google.com/spreadsheets/d/1q9nWasZJ-K8bFGvbE9n0qSRuKGA4Toe3Y89cKCiVtCU/edit?usp=sharing"",""สตูล!I154"")+IMPORTRANGE(""https://docs.google.com/sprea"&amp;"dsheets/d/18T20gbkS_WBjdscyTOV05cvq_JqvqQ17C81mpxf7Ncs/edit?usp=sharing"",""สุราษฎร์ธานี!I154"")"),5)</f>
        <v>5</v>
      </c>
      <c r="J154" s="152">
        <f ca="1">IFERROR(__xludf.DUMMYFUNCTION("IMPORTRANGE(""https://docs.google.com/spreadsheets/d/1kKUcYdkIfrgTSj8iHHHB2MD2FAtwyyocFgqGQn6ADyI/edit?usp=sharing"",""กระบี่!J154"")+IMPORTRANGE(""https://docs.google.com/spreadsheets/d/1GwtLaSlNZkLk7iDqcyZz22giiy40b_usZZBXYciEN1U/edit?usp=sharing"",""ชุ"&amp;"มพร!J154"")+IMPORTRANGE(""https://docs.google.com/spreadsheets/d/16pAz3pOhQEZBhvFNMa5KGgZS6iKWpsKX0pg6tQmwFpo/edit?usp=sharing"",""ตรัง!J154"")+IMPORTRANGE(""https://docs.google.com/spreadsheets/d/1Dj4jcHCTV9JXKCaMoheSXS52JE63kDKyG7bPXnFogHk/edit?usp=shar"&amp;"ing"",""นครศรีธรรมราช!J154"")+IMPORTRANGE(""https://docs.google.com/spreadsheets/d/1iodCdmuK2GR3jzUwk8tpccY2JHQQA-87DLOtJP-ooyU/edit?usp=sharing"",""นราธิวาส!J154"")+IMPORTRANGE(""https://docs.google.com/spreadsheets/d/1SDNX3JhDdYRuIOsj0Wh2M-Qa_eaXl0NbWmh"&amp;"AOTbfQAs/edit?usp=sharing"",""ปัตตานี!J154"")+IMPORTRANGE(""https://docs.google.com/spreadsheets/d/16JDLGguT8s5DsGCND1KcwHP_AWR_zDMTqLHPLJUKhaU/edit?usp=sharing"",""พังงา!J154"")+IMPORTRANGE(""https://docs.google.com/spreadsheets/d/17ht0gPKzzT3PObBL1XJkeR"&amp;"mntBXI7wGjpLV7QorqlTk/edit?usp=sharing"",""พัทลุง!J154"")+IMPORTRANGE(""https://docs.google.com/spreadsheets/d/1rd4qoM1q_hsgaolqNGfrim9gbsoLxQsda4-vOz5x_BM/edit?usp=sharing"",""ภูเก็ต!J154"")+IMPORTRANGE(""https://docs.google.com/spreadsheets/d/1woKwKjgoL"&amp;"ssDvPcPeVyezB5izizAn4X1JDrys69n6xI/edit?usp=sharing"",""ยะลา!J154"")+IMPORTRANGE(""https://docs.google.com/spreadsheets/d/1qfrKjzMhm2HJfxQ-qVlJlJQ25Hne1d0khsySbZyGtPA/edit?usp=sharing"",""ระนอง!J154"")+IMPORTRANGE(""https://docs.google.com/spreadsheets/d/"&amp;"1IbSCnFOKpZsnFogBHJnL_isstZVaOMnFiIN0fGTPZZw/edit?usp=sharing"",""สงขลา!J154"")+IMPORTRANGE(""https://docs.google.com/spreadsheets/d/1q9nWasZJ-K8bFGvbE9n0qSRuKGA4Toe3Y89cKCiVtCU/edit?usp=sharing"",""สตูล!J154"")+IMPORTRANGE(""https://docs.google.com/sprea"&amp;"dsheets/d/18T20gbkS_WBjdscyTOV05cvq_JqvqQ17C81mpxf7Ncs/edit?usp=sharing"",""สุราษฎร์ธานี!J154"")"),0)</f>
        <v>0</v>
      </c>
      <c r="K154" s="47">
        <f t="shared" ca="1" si="123"/>
        <v>0</v>
      </c>
      <c r="L154" s="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30</v>
      </c>
      <c r="J156" s="127">
        <f>J168</f>
        <v>0</v>
      </c>
      <c r="K156" s="35">
        <f ca="1">IF(I156&gt;0,J156*100/I156,0)</f>
        <v>0</v>
      </c>
      <c r="L156" s="34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129" t="s">
        <v>18</v>
      </c>
      <c r="D157" s="130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132">
        <f t="shared" ref="L157:N157" ca="1" si="124">L158+L159</f>
        <v>9000</v>
      </c>
      <c r="M157" s="132">
        <f t="shared" ca="1" si="124"/>
        <v>39320</v>
      </c>
      <c r="N157" s="132">
        <f t="shared" ca="1" si="124"/>
        <v>10075.41</v>
      </c>
      <c r="O157" s="132">
        <f t="shared" ref="O157:O165" ca="1" si="125">IF(L157&gt;0,N157*100/L157,0)</f>
        <v>111.949</v>
      </c>
      <c r="P157" s="132">
        <f t="shared" ref="P157:P165" ca="1" si="126">IF(M157&gt;0,N157*100/M157,0)</f>
        <v>25.624135300101731</v>
      </c>
      <c r="Q157" s="132">
        <f t="shared" ref="Q157:S157" ca="1" si="127">Q158+Q159</f>
        <v>0</v>
      </c>
      <c r="R157" s="132">
        <f t="shared" ca="1" si="127"/>
        <v>0</v>
      </c>
      <c r="S157" s="132">
        <f t="shared" ca="1" si="127"/>
        <v>0</v>
      </c>
      <c r="T157" s="132">
        <f t="shared" ref="T157:T165" ca="1" si="128">IF(Q157&gt;0,S157*100/Q157,0)</f>
        <v>0</v>
      </c>
      <c r="U157" s="132">
        <f t="shared" ref="U157:U165" ca="1" si="129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48" t="s">
        <v>20</v>
      </c>
      <c r="F158" s="41"/>
      <c r="G158" s="43"/>
      <c r="H158" s="133" t="s">
        <v>14</v>
      </c>
      <c r="I158" s="45"/>
      <c r="J158" s="45"/>
      <c r="K158" s="46"/>
      <c r="L158" s="47">
        <f t="shared" ref="L158:N158" ca="1" si="130">L161+L164</f>
        <v>0</v>
      </c>
      <c r="M158" s="47">
        <f t="shared" ca="1" si="130"/>
        <v>0</v>
      </c>
      <c r="N158" s="47">
        <f t="shared" ca="1" si="130"/>
        <v>0</v>
      </c>
      <c r="O158" s="47">
        <f t="shared" ca="1" si="125"/>
        <v>0</v>
      </c>
      <c r="P158" s="47">
        <f t="shared" ca="1" si="126"/>
        <v>0</v>
      </c>
      <c r="Q158" s="47">
        <f t="shared" ref="Q158:S158" ca="1" si="131">Q161+Q164</f>
        <v>0</v>
      </c>
      <c r="R158" s="47">
        <f t="shared" ca="1" si="131"/>
        <v>0</v>
      </c>
      <c r="S158" s="47">
        <f t="shared" ca="1" si="131"/>
        <v>0</v>
      </c>
      <c r="T158" s="49">
        <f t="shared" ca="1" si="128"/>
        <v>0</v>
      </c>
      <c r="U158" s="49">
        <f t="shared" ca="1" si="129"/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47">
        <f t="shared" ref="L159:N159" ca="1" si="132">L162+L165</f>
        <v>9000</v>
      </c>
      <c r="M159" s="47">
        <f t="shared" ca="1" si="132"/>
        <v>39320</v>
      </c>
      <c r="N159" s="47">
        <f t="shared" ca="1" si="132"/>
        <v>10075.41</v>
      </c>
      <c r="O159" s="47">
        <f t="shared" ca="1" si="125"/>
        <v>111.949</v>
      </c>
      <c r="P159" s="47">
        <f t="shared" ca="1" si="126"/>
        <v>25.624135300101731</v>
      </c>
      <c r="Q159" s="47">
        <f t="shared" ref="Q159:S159" ca="1" si="133">Q162+Q165</f>
        <v>0</v>
      </c>
      <c r="R159" s="47">
        <f t="shared" ca="1" si="133"/>
        <v>0</v>
      </c>
      <c r="S159" s="47">
        <f t="shared" ca="1" si="133"/>
        <v>0</v>
      </c>
      <c r="T159" s="47">
        <f t="shared" ca="1" si="128"/>
        <v>0</v>
      </c>
      <c r="U159" s="47">
        <f t="shared" ca="1" si="129"/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47">
        <f t="shared" ref="L160:N160" ca="1" si="134">L161+L162</f>
        <v>9000</v>
      </c>
      <c r="M160" s="47">
        <f t="shared" ca="1" si="134"/>
        <v>39320</v>
      </c>
      <c r="N160" s="47">
        <f t="shared" ca="1" si="134"/>
        <v>10075.41</v>
      </c>
      <c r="O160" s="47">
        <f t="shared" ca="1" si="125"/>
        <v>111.949</v>
      </c>
      <c r="P160" s="47">
        <f t="shared" ca="1" si="126"/>
        <v>25.624135300101731</v>
      </c>
      <c r="Q160" s="47">
        <f t="shared" ref="Q160:S160" ca="1" si="135">Q161+Q162</f>
        <v>0</v>
      </c>
      <c r="R160" s="47">
        <f t="shared" ca="1" si="135"/>
        <v>0</v>
      </c>
      <c r="S160" s="47">
        <f t="shared" ca="1" si="135"/>
        <v>0</v>
      </c>
      <c r="T160" s="47">
        <f t="shared" ca="1" si="128"/>
        <v>0</v>
      </c>
      <c r="U160" s="47">
        <f t="shared" ca="1" si="129"/>
        <v>0</v>
      </c>
    </row>
    <row r="161" spans="1:21" ht="18.75" hidden="1" x14ac:dyDescent="0.25">
      <c r="A161" s="128"/>
      <c r="B161" s="41"/>
      <c r="C161" s="41"/>
      <c r="D161" s="41"/>
      <c r="E161" s="48" t="s">
        <v>36</v>
      </c>
      <c r="F161" s="41"/>
      <c r="G161" s="43"/>
      <c r="H161" s="134" t="s">
        <v>14</v>
      </c>
      <c r="I161" s="135"/>
      <c r="J161" s="135"/>
      <c r="K161" s="136"/>
      <c r="L161" s="47">
        <f ca="1">IFERROR(__xludf.DUMMYFUNCTION("IMPORTRANGE(""https://docs.google.com/spreadsheets/d/1kKUcYdkIfrgTSj8iHHHB2MD2FAtwyyocFgqGQn6ADyI/edit?usp=sharing"",""กระบี่!L161"")+IMPORTRANGE(""https://docs.google.com/spreadsheets/d/1GwtLaSlNZkLk7iDqcyZz22giiy40b_usZZBXYciEN1U/edit?usp=sharing"",""ชุ"&amp;"มพร!L161"")+IMPORTRANGE(""https://docs.google.com/spreadsheets/d/16pAz3pOhQEZBhvFNMa5KGgZS6iKWpsKX0pg6tQmwFpo/edit?usp=sharing"",""ตรัง!L161"")+IMPORTRANGE(""https://docs.google.com/spreadsheets/d/1Dj4jcHCTV9JXKCaMoheSXS52JE63kDKyG7bPXnFogHk/edit?usp=shar"&amp;"ing"",""นครศรีธรรมราช!L161"")+IMPORTRANGE(""https://docs.google.com/spreadsheets/d/1iodCdmuK2GR3jzUwk8tpccY2JHQQA-87DLOtJP-ooyU/edit?usp=sharing"",""นราธิวาส!L161"")+IMPORTRANGE(""https://docs.google.com/spreadsheets/d/1SDNX3JhDdYRuIOsj0Wh2M-Qa_eaXl0NbWmh"&amp;"AOTbfQAs/edit?usp=sharing"",""ปัตตานี!L161"")+IMPORTRANGE(""https://docs.google.com/spreadsheets/d/16JDLGguT8s5DsGCND1KcwHP_AWR_zDMTqLHPLJUKhaU/edit?usp=sharing"",""พังงา!L161"")+IMPORTRANGE(""https://docs.google.com/spreadsheets/d/17ht0gPKzzT3PObBL1XJkeR"&amp;"mntBXI7wGjpLV7QorqlTk/edit?usp=sharing"",""พัทลุง!L161"")+IMPORTRANGE(""https://docs.google.com/spreadsheets/d/1rd4qoM1q_hsgaolqNGfrim9gbsoLxQsda4-vOz5x_BM/edit?usp=sharing"",""ภูเก็ต!L161"")+IMPORTRANGE(""https://docs.google.com/spreadsheets/d/1woKwKjgoL"&amp;"ssDvPcPeVyezB5izizAn4X1JDrys69n6xI/edit?usp=sharing"",""ยะลา!L161"")+IMPORTRANGE(""https://docs.google.com/spreadsheets/d/1qfrKjzMhm2HJfxQ-qVlJlJQ25Hne1d0khsySbZyGtPA/edit?usp=sharing"",""ระนอง!L161"")+IMPORTRANGE(""https://docs.google.com/spreadsheets/d/"&amp;"1IbSCnFOKpZsnFogBHJnL_isstZVaOMnFiIN0fGTPZZw/edit?usp=sharing"",""สงขลา!L161"")+IMPORTRANGE(""https://docs.google.com/spreadsheets/d/1q9nWasZJ-K8bFGvbE9n0qSRuKGA4Toe3Y89cKCiVtCU/edit?usp=sharing"",""สตูล!L161"")+IMPORTRANGE(""https://docs.google.com/sprea"&amp;"dsheets/d/18T20gbkS_WBjdscyTOV05cvq_JqvqQ17C81mpxf7Ncs/edit?usp=sharing"",""สุราษฎร์ธานี!L161"")"),0)</f>
        <v>0</v>
      </c>
      <c r="M161" s="47">
        <f ca="1">IFERROR(__xludf.DUMMYFUNCTION("IMPORTRANGE(""https://docs.google.com/spreadsheets/d/1kKUcYdkIfrgTSj8iHHHB2MD2FAtwyyocFgqGQn6ADyI/edit?usp=sharing"",""กระบี่!M161"")+IMPORTRANGE(""https://docs.google.com/spreadsheets/d/1GwtLaSlNZkLk7iDqcyZz22giiy40b_usZZBXYciEN1U/edit?usp=sharing"",""ชุ"&amp;"มพร!M161"")+IMPORTRANGE(""https://docs.google.com/spreadsheets/d/16pAz3pOhQEZBhvFNMa5KGgZS6iKWpsKX0pg6tQmwFpo/edit?usp=sharing"",""ตรัง!M161"")+IMPORTRANGE(""https://docs.google.com/spreadsheets/d/1Dj4jcHCTV9JXKCaMoheSXS52JE63kDKyG7bPXnFogHk/edit?usp=shar"&amp;"ing"",""นครศรีธรรมราช!M161"")+IMPORTRANGE(""https://docs.google.com/spreadsheets/d/1iodCdmuK2GR3jzUwk8tpccY2JHQQA-87DLOtJP-ooyU/edit?usp=sharing"",""นราธิวาส!M161"")+IMPORTRANGE(""https://docs.google.com/spreadsheets/d/1SDNX3JhDdYRuIOsj0Wh2M-Qa_eaXl0NbWmh"&amp;"AOTbfQAs/edit?usp=sharing"",""ปัตตานี!M161"")+IMPORTRANGE(""https://docs.google.com/spreadsheets/d/16JDLGguT8s5DsGCND1KcwHP_AWR_zDMTqLHPLJUKhaU/edit?usp=sharing"",""พังงา!M161"")+IMPORTRANGE(""https://docs.google.com/spreadsheets/d/17ht0gPKzzT3PObBL1XJkeR"&amp;"mntBXI7wGjpLV7QorqlTk/edit?usp=sharing"",""พัทลุง!M161"")+IMPORTRANGE(""https://docs.google.com/spreadsheets/d/1rd4qoM1q_hsgaolqNGfrim9gbsoLxQsda4-vOz5x_BM/edit?usp=sharing"",""ภูเก็ต!M161"")+IMPORTRANGE(""https://docs.google.com/spreadsheets/d/1woKwKjgoL"&amp;"ssDvPcPeVyezB5izizAn4X1JDrys69n6xI/edit?usp=sharing"",""ยะลา!M161"")+IMPORTRANGE(""https://docs.google.com/spreadsheets/d/1qfrKjzMhm2HJfxQ-qVlJlJQ25Hne1d0khsySbZyGtPA/edit?usp=sharing"",""ระนอง!M161"")+IMPORTRANGE(""https://docs.google.com/spreadsheets/d/"&amp;"1IbSCnFOKpZsnFogBHJnL_isstZVaOMnFiIN0fGTPZZw/edit?usp=sharing"",""สงขลา!M161"")+IMPORTRANGE(""https://docs.google.com/spreadsheets/d/1q9nWasZJ-K8bFGvbE9n0qSRuKGA4Toe3Y89cKCiVtCU/edit?usp=sharing"",""สตูล!M161"")+IMPORTRANGE(""https://docs.google.com/sprea"&amp;"dsheets/d/18T20gbkS_WBjdscyTOV05cvq_JqvqQ17C81mpxf7Ncs/edit?usp=sharing"",""สุราษฎร์ธานี!M161"")"),0)</f>
        <v>0</v>
      </c>
      <c r="N161" s="47">
        <f ca="1">IFERROR(__xludf.DUMMYFUNCTION("IMPORTRANGE(""https://docs.google.com/spreadsheets/d/1kKUcYdkIfrgTSj8iHHHB2MD2FAtwyyocFgqGQn6ADyI/edit?usp=sharing"",""กระบี่!N161"")+IMPORTRANGE(""https://docs.google.com/spreadsheets/d/1GwtLaSlNZkLk7iDqcyZz22giiy40b_usZZBXYciEN1U/edit?usp=sharing"",""ชุ"&amp;"มพร!N161"")+IMPORTRANGE(""https://docs.google.com/spreadsheets/d/16pAz3pOhQEZBhvFNMa5KGgZS6iKWpsKX0pg6tQmwFpo/edit?usp=sharing"",""ตรัง!N161"")+IMPORTRANGE(""https://docs.google.com/spreadsheets/d/1Dj4jcHCTV9JXKCaMoheSXS52JE63kDKyG7bPXnFogHk/edit?usp=shar"&amp;"ing"",""นครศรีธรรมราช!N161"")+IMPORTRANGE(""https://docs.google.com/spreadsheets/d/1iodCdmuK2GR3jzUwk8tpccY2JHQQA-87DLOtJP-ooyU/edit?usp=sharing"",""นราธิวาส!N161"")+IMPORTRANGE(""https://docs.google.com/spreadsheets/d/1SDNX3JhDdYRuIOsj0Wh2M-Qa_eaXl0NbWmh"&amp;"AOTbfQAs/edit?usp=sharing"",""ปัตตานี!N161"")+IMPORTRANGE(""https://docs.google.com/spreadsheets/d/16JDLGguT8s5DsGCND1KcwHP_AWR_zDMTqLHPLJUKhaU/edit?usp=sharing"",""พังงา!N161"")+IMPORTRANGE(""https://docs.google.com/spreadsheets/d/17ht0gPKzzT3PObBL1XJkeR"&amp;"mntBXI7wGjpLV7QorqlTk/edit?usp=sharing"",""พัทลุง!N161"")+IMPORTRANGE(""https://docs.google.com/spreadsheets/d/1rd4qoM1q_hsgaolqNGfrim9gbsoLxQsda4-vOz5x_BM/edit?usp=sharing"",""ภูเก็ต!N161"")+IMPORTRANGE(""https://docs.google.com/spreadsheets/d/1woKwKjgoL"&amp;"ssDvPcPeVyezB5izizAn4X1JDrys69n6xI/edit?usp=sharing"",""ยะลา!N161"")+IMPORTRANGE(""https://docs.google.com/spreadsheets/d/1qfrKjzMhm2HJfxQ-qVlJlJQ25Hne1d0khsySbZyGtPA/edit?usp=sharing"",""ระนอง!N161"")+IMPORTRANGE(""https://docs.google.com/spreadsheets/d/"&amp;"1IbSCnFOKpZsnFogBHJnL_isstZVaOMnFiIN0fGTPZZw/edit?usp=sharing"",""สงขลา!N161"")+IMPORTRANGE(""https://docs.google.com/spreadsheets/d/1q9nWasZJ-K8bFGvbE9n0qSRuKGA4Toe3Y89cKCiVtCU/edit?usp=sharing"",""สตูล!N161"")+IMPORTRANGE(""https://docs.google.com/sprea"&amp;"dsheets/d/18T20gbkS_WBjdscyTOV05cvq_JqvqQ17C81mpxf7Ncs/edit?usp=sharing"",""สุราษฎร์ธานี!N161"")"),0)</f>
        <v>0</v>
      </c>
      <c r="O161" s="47">
        <f t="shared" ca="1" si="125"/>
        <v>0</v>
      </c>
      <c r="P161" s="47">
        <f t="shared" ca="1" si="126"/>
        <v>0</v>
      </c>
      <c r="Q161" s="47">
        <f ca="1">IFERROR(__xludf.DUMMYFUNCTION("IMPORTRANGE(""https://docs.google.com/spreadsheets/d/1kKUcYdkIfrgTSj8iHHHB2MD2FAtwyyocFgqGQn6ADyI/edit?usp=sharing"",""กระบี่!Q161"")+IMPORTRANGE(""https://docs.google.com/spreadsheets/d/1GwtLaSlNZkLk7iDqcyZz22giiy40b_usZZBXYciEN1U/edit?usp=sharing"",""ชุ"&amp;"มพร!Q161"")+IMPORTRANGE(""https://docs.google.com/spreadsheets/d/16pAz3pOhQEZBhvFNMa5KGgZS6iKWpsKX0pg6tQmwFpo/edit?usp=sharing"",""ตรัง!Q161"")+IMPORTRANGE(""https://docs.google.com/spreadsheets/d/1Dj4jcHCTV9JXKCaMoheSXS52JE63kDKyG7bPXnFogHk/edit?usp=shar"&amp;"ing"",""นครศรีธรรมราช!Q161"")+IMPORTRANGE(""https://docs.google.com/spreadsheets/d/1iodCdmuK2GR3jzUwk8tpccY2JHQQA-87DLOtJP-ooyU/edit?usp=sharing"",""นราธิวาส!Q161"")+IMPORTRANGE(""https://docs.google.com/spreadsheets/d/1SDNX3JhDdYRuIOsj0Wh2M-Qa_eaXl0NbWmh"&amp;"AOTbfQAs/edit?usp=sharing"",""ปัตตานี!Q161"")+IMPORTRANGE(""https://docs.google.com/spreadsheets/d/16JDLGguT8s5DsGCND1KcwHP_AWR_zDMTqLHPLJUKhaU/edit?usp=sharing"",""พังงา!Q161"")+IMPORTRANGE(""https://docs.google.com/spreadsheets/d/17ht0gPKzzT3PObBL1XJkeR"&amp;"mntBXI7wGjpLV7QorqlTk/edit?usp=sharing"",""พัทลุง!Q161"")+IMPORTRANGE(""https://docs.google.com/spreadsheets/d/1rd4qoM1q_hsgaolqNGfrim9gbsoLxQsda4-vOz5x_BM/edit?usp=sharing"",""ภูเก็ต!Q161"")+IMPORTRANGE(""https://docs.google.com/spreadsheets/d/1woKwKjgoL"&amp;"ssDvPcPeVyezB5izizAn4X1JDrys69n6xI/edit?usp=sharing"",""ยะลา!Q161"")+IMPORTRANGE(""https://docs.google.com/spreadsheets/d/1qfrKjzMhm2HJfxQ-qVlJlJQ25Hne1d0khsySbZyGtPA/edit?usp=sharing"",""ระนอง!Q161"")+IMPORTRANGE(""https://docs.google.com/spreadsheets/d/"&amp;"1IbSCnFOKpZsnFogBHJnL_isstZVaOMnFiIN0fGTPZZw/edit?usp=sharing"",""สงขลา!Q161"")+IMPORTRANGE(""https://docs.google.com/spreadsheets/d/1q9nWasZJ-K8bFGvbE9n0qSRuKGA4Toe3Y89cKCiVtCU/edit?usp=sharing"",""สตูล!Q161"")+IMPORTRANGE(""https://docs.google.com/sprea"&amp;"dsheets/d/18T20gbkS_WBjdscyTOV05cvq_JqvqQ17C81mpxf7Ncs/edit?usp=sharing"",""สุราษฎร์ธานี!Q161"")"),0)</f>
        <v>0</v>
      </c>
      <c r="R161" s="47">
        <f ca="1">IFERROR(__xludf.DUMMYFUNCTION("IMPORTRANGE(""https://docs.google.com/spreadsheets/d/1kKUcYdkIfrgTSj8iHHHB2MD2FAtwyyocFgqGQn6ADyI/edit?usp=sharing"",""กระบี่!R161"")+IMPORTRANGE(""https://docs.google.com/spreadsheets/d/1GwtLaSlNZkLk7iDqcyZz22giiy40b_usZZBXYciEN1U/edit?usp=sharing"",""ชุ"&amp;"มพร!R161"")+IMPORTRANGE(""https://docs.google.com/spreadsheets/d/16pAz3pOhQEZBhvFNMa5KGgZS6iKWpsKX0pg6tQmwFpo/edit?usp=sharing"",""ตรัง!R161"")+IMPORTRANGE(""https://docs.google.com/spreadsheets/d/1Dj4jcHCTV9JXKCaMoheSXS52JE63kDKyG7bPXnFogHk/edit?usp=shar"&amp;"ing"",""นครศรีธรรมราช!R161"")+IMPORTRANGE(""https://docs.google.com/spreadsheets/d/1iodCdmuK2GR3jzUwk8tpccY2JHQQA-87DLOtJP-ooyU/edit?usp=sharing"",""นราธิวาส!R161"")+IMPORTRANGE(""https://docs.google.com/spreadsheets/d/1SDNX3JhDdYRuIOsj0Wh2M-Qa_eaXl0NbWmh"&amp;"AOTbfQAs/edit?usp=sharing"",""ปัตตานี!R161"")+IMPORTRANGE(""https://docs.google.com/spreadsheets/d/16JDLGguT8s5DsGCND1KcwHP_AWR_zDMTqLHPLJUKhaU/edit?usp=sharing"",""พังงา!R161"")+IMPORTRANGE(""https://docs.google.com/spreadsheets/d/17ht0gPKzzT3PObBL1XJkeR"&amp;"mntBXI7wGjpLV7QorqlTk/edit?usp=sharing"",""พัทลุง!R161"")+IMPORTRANGE(""https://docs.google.com/spreadsheets/d/1rd4qoM1q_hsgaolqNGfrim9gbsoLxQsda4-vOz5x_BM/edit?usp=sharing"",""ภูเก็ต!R161"")+IMPORTRANGE(""https://docs.google.com/spreadsheets/d/1woKwKjgoL"&amp;"ssDvPcPeVyezB5izizAn4X1JDrys69n6xI/edit?usp=sharing"",""ยะลา!R161"")+IMPORTRANGE(""https://docs.google.com/spreadsheets/d/1qfrKjzMhm2HJfxQ-qVlJlJQ25Hne1d0khsySbZyGtPA/edit?usp=sharing"",""ระนอง!R161"")+IMPORTRANGE(""https://docs.google.com/spreadsheets/d/"&amp;"1IbSCnFOKpZsnFogBHJnL_isstZVaOMnFiIN0fGTPZZw/edit?usp=sharing"",""สงขลา!R161"")+IMPORTRANGE(""https://docs.google.com/spreadsheets/d/1q9nWasZJ-K8bFGvbE9n0qSRuKGA4Toe3Y89cKCiVtCU/edit?usp=sharing"",""สตูล!R161"")+IMPORTRANGE(""https://docs.google.com/sprea"&amp;"dsheets/d/18T20gbkS_WBjdscyTOV05cvq_JqvqQ17C81mpxf7Ncs/edit?usp=sharing"",""สุราษฎร์ธานี!R161"")"),0)</f>
        <v>0</v>
      </c>
      <c r="S161" s="47">
        <f ca="1">IFERROR(__xludf.DUMMYFUNCTION("IMPORTRANGE(""https://docs.google.com/spreadsheets/d/1kKUcYdkIfrgTSj8iHHHB2MD2FAtwyyocFgqGQn6ADyI/edit?usp=sharing"",""กระบี่!S161"")+IMPORTRANGE(""https://docs.google.com/spreadsheets/d/1GwtLaSlNZkLk7iDqcyZz22giiy40b_usZZBXYciEN1U/edit?usp=sharing"",""ชุ"&amp;"มพร!S161"")+IMPORTRANGE(""https://docs.google.com/spreadsheets/d/16pAz3pOhQEZBhvFNMa5KGgZS6iKWpsKX0pg6tQmwFpo/edit?usp=sharing"",""ตรัง!S161"")+IMPORTRANGE(""https://docs.google.com/spreadsheets/d/1Dj4jcHCTV9JXKCaMoheSXS52JE63kDKyG7bPXnFogHk/edit?usp=shar"&amp;"ing"",""นครศรีธรรมราช!S161"")+IMPORTRANGE(""https://docs.google.com/spreadsheets/d/1iodCdmuK2GR3jzUwk8tpccY2JHQQA-87DLOtJP-ooyU/edit?usp=sharing"",""นราธิวาส!S161"")+IMPORTRANGE(""https://docs.google.com/spreadsheets/d/1SDNX3JhDdYRuIOsj0Wh2M-Qa_eaXl0NbWmh"&amp;"AOTbfQAs/edit?usp=sharing"",""ปัตตานี!S161"")+IMPORTRANGE(""https://docs.google.com/spreadsheets/d/16JDLGguT8s5DsGCND1KcwHP_AWR_zDMTqLHPLJUKhaU/edit?usp=sharing"",""พังงา!S161"")+IMPORTRANGE(""https://docs.google.com/spreadsheets/d/17ht0gPKzzT3PObBL1XJkeR"&amp;"mntBXI7wGjpLV7QorqlTk/edit?usp=sharing"",""พัทลุง!S161"")+IMPORTRANGE(""https://docs.google.com/spreadsheets/d/1rd4qoM1q_hsgaolqNGfrim9gbsoLxQsda4-vOz5x_BM/edit?usp=sharing"",""ภูเก็ต!S161"")+IMPORTRANGE(""https://docs.google.com/spreadsheets/d/1woKwKjgoL"&amp;"ssDvPcPeVyezB5izizAn4X1JDrys69n6xI/edit?usp=sharing"",""ยะลา!S161"")+IMPORTRANGE(""https://docs.google.com/spreadsheets/d/1qfrKjzMhm2HJfxQ-qVlJlJQ25Hne1d0khsySbZyGtPA/edit?usp=sharing"",""ระนอง!S161"")+IMPORTRANGE(""https://docs.google.com/spreadsheets/d/"&amp;"1IbSCnFOKpZsnFogBHJnL_isstZVaOMnFiIN0fGTPZZw/edit?usp=sharing"",""สงขลา!S161"")+IMPORTRANGE(""https://docs.google.com/spreadsheets/d/1q9nWasZJ-K8bFGvbE9n0qSRuKGA4Toe3Y89cKCiVtCU/edit?usp=sharing"",""สตูล!S161"")+IMPORTRANGE(""https://docs.google.com/sprea"&amp;"dsheets/d/18T20gbkS_WBjdscyTOV05cvq_JqvqQ17C81mpxf7Ncs/edit?usp=sharing"",""สุราษฎร์ธานี!S161"")"),0)</f>
        <v>0</v>
      </c>
      <c r="T161" s="49">
        <f t="shared" ca="1" si="128"/>
        <v>0</v>
      </c>
      <c r="U161" s="49">
        <f t="shared" ca="1" si="129"/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47">
        <f ca="1">IFERROR(__xludf.DUMMYFUNCTION("IMPORTRANGE(""https://docs.google.com/spreadsheets/d/1kKUcYdkIfrgTSj8iHHHB2MD2FAtwyyocFgqGQn6ADyI/edit?usp=sharing"",""กระบี่!L162"")+IMPORTRANGE(""https://docs.google.com/spreadsheets/d/1GwtLaSlNZkLk7iDqcyZz22giiy40b_usZZBXYciEN1U/edit?usp=sharing"",""ชุ"&amp;"มพร!L162"")+IMPORTRANGE(""https://docs.google.com/spreadsheets/d/16pAz3pOhQEZBhvFNMa5KGgZS6iKWpsKX0pg6tQmwFpo/edit?usp=sharing"",""ตรัง!L162"")+IMPORTRANGE(""https://docs.google.com/spreadsheets/d/1Dj4jcHCTV9JXKCaMoheSXS52JE63kDKyG7bPXnFogHk/edit?usp=shar"&amp;"ing"",""นครศรีธรรมราช!L162"")+IMPORTRANGE(""https://docs.google.com/spreadsheets/d/1iodCdmuK2GR3jzUwk8tpccY2JHQQA-87DLOtJP-ooyU/edit?usp=sharing"",""นราธิวาส!L162"")+IMPORTRANGE(""https://docs.google.com/spreadsheets/d/1SDNX3JhDdYRuIOsj0Wh2M-Qa_eaXl0NbWmh"&amp;"AOTbfQAs/edit?usp=sharing"",""ปัตตานี!L162"")+IMPORTRANGE(""https://docs.google.com/spreadsheets/d/16JDLGguT8s5DsGCND1KcwHP_AWR_zDMTqLHPLJUKhaU/edit?usp=sharing"",""พังงา!L162"")+IMPORTRANGE(""https://docs.google.com/spreadsheets/d/17ht0gPKzzT3PObBL1XJkeR"&amp;"mntBXI7wGjpLV7QorqlTk/edit?usp=sharing"",""พัทลุง!L162"")+IMPORTRANGE(""https://docs.google.com/spreadsheets/d/1rd4qoM1q_hsgaolqNGfrim9gbsoLxQsda4-vOz5x_BM/edit?usp=sharing"",""ภูเก็ต!L162"")+IMPORTRANGE(""https://docs.google.com/spreadsheets/d/1woKwKjgoL"&amp;"ssDvPcPeVyezB5izizAn4X1JDrys69n6xI/edit?usp=sharing"",""ยะลา!L162"")+IMPORTRANGE(""https://docs.google.com/spreadsheets/d/1qfrKjzMhm2HJfxQ-qVlJlJQ25Hne1d0khsySbZyGtPA/edit?usp=sharing"",""ระนอง!L162"")+IMPORTRANGE(""https://docs.google.com/spreadsheets/d/"&amp;"1IbSCnFOKpZsnFogBHJnL_isstZVaOMnFiIN0fGTPZZw/edit?usp=sharing"",""สงขลา!L162"")+IMPORTRANGE(""https://docs.google.com/spreadsheets/d/1q9nWasZJ-K8bFGvbE9n0qSRuKGA4Toe3Y89cKCiVtCU/edit?usp=sharing"",""สตูล!L162"")+IMPORTRANGE(""https://docs.google.com/sprea"&amp;"dsheets/d/18T20gbkS_WBjdscyTOV05cvq_JqvqQ17C81mpxf7Ncs/edit?usp=sharing"",""สุราษฎร์ธานี!L162"")"),9000)</f>
        <v>9000</v>
      </c>
      <c r="M162" s="47">
        <f ca="1">IFERROR(__xludf.DUMMYFUNCTION("IMPORTRANGE(""https://docs.google.com/spreadsheets/d/1kKUcYdkIfrgTSj8iHHHB2MD2FAtwyyocFgqGQn6ADyI/edit?usp=sharing"",""กระบี่!M162"")+IMPORTRANGE(""https://docs.google.com/spreadsheets/d/1GwtLaSlNZkLk7iDqcyZz22giiy40b_usZZBXYciEN1U/edit?usp=sharing"",""ชุ"&amp;"มพร!M162"")+IMPORTRANGE(""https://docs.google.com/spreadsheets/d/16pAz3pOhQEZBhvFNMa5KGgZS6iKWpsKX0pg6tQmwFpo/edit?usp=sharing"",""ตรัง!M162"")+IMPORTRANGE(""https://docs.google.com/spreadsheets/d/1Dj4jcHCTV9JXKCaMoheSXS52JE63kDKyG7bPXnFogHk/edit?usp=shar"&amp;"ing"",""นครศรีธรรมราช!M162"")+IMPORTRANGE(""https://docs.google.com/spreadsheets/d/1iodCdmuK2GR3jzUwk8tpccY2JHQQA-87DLOtJP-ooyU/edit?usp=sharing"",""นราธิวาส!M162"")+IMPORTRANGE(""https://docs.google.com/spreadsheets/d/1SDNX3JhDdYRuIOsj0Wh2M-Qa_eaXl0NbWmh"&amp;"AOTbfQAs/edit?usp=sharing"",""ปัตตานี!M162"")+IMPORTRANGE(""https://docs.google.com/spreadsheets/d/16JDLGguT8s5DsGCND1KcwHP_AWR_zDMTqLHPLJUKhaU/edit?usp=sharing"",""พังงา!M162"")+IMPORTRANGE(""https://docs.google.com/spreadsheets/d/17ht0gPKzzT3PObBL1XJkeR"&amp;"mntBXI7wGjpLV7QorqlTk/edit?usp=sharing"",""พัทลุง!M162"")+IMPORTRANGE(""https://docs.google.com/spreadsheets/d/1rd4qoM1q_hsgaolqNGfrim9gbsoLxQsda4-vOz5x_BM/edit?usp=sharing"",""ภูเก็ต!M162"")+IMPORTRANGE(""https://docs.google.com/spreadsheets/d/1woKwKjgoL"&amp;"ssDvPcPeVyezB5izizAn4X1JDrys69n6xI/edit?usp=sharing"",""ยะลา!M162"")+IMPORTRANGE(""https://docs.google.com/spreadsheets/d/1qfrKjzMhm2HJfxQ-qVlJlJQ25Hne1d0khsySbZyGtPA/edit?usp=sharing"",""ระนอง!M162"")+IMPORTRANGE(""https://docs.google.com/spreadsheets/d/"&amp;"1IbSCnFOKpZsnFogBHJnL_isstZVaOMnFiIN0fGTPZZw/edit?usp=sharing"",""สงขลา!M162"")+IMPORTRANGE(""https://docs.google.com/spreadsheets/d/1q9nWasZJ-K8bFGvbE9n0qSRuKGA4Toe3Y89cKCiVtCU/edit?usp=sharing"",""สตูล!M162"")+IMPORTRANGE(""https://docs.google.com/sprea"&amp;"dsheets/d/18T20gbkS_WBjdscyTOV05cvq_JqvqQ17C81mpxf7Ncs/edit?usp=sharing"",""สุราษฎร์ธานี!M162"")"),39320)</f>
        <v>39320</v>
      </c>
      <c r="N162" s="47">
        <f ca="1">IFERROR(__xludf.DUMMYFUNCTION("IMPORTRANGE(""https://docs.google.com/spreadsheets/d/1kKUcYdkIfrgTSj8iHHHB2MD2FAtwyyocFgqGQn6ADyI/edit?usp=sharing"",""กระบี่!N162"")+IMPORTRANGE(""https://docs.google.com/spreadsheets/d/1GwtLaSlNZkLk7iDqcyZz22giiy40b_usZZBXYciEN1U/edit?usp=sharing"",""ชุ"&amp;"มพร!N162"")+IMPORTRANGE(""https://docs.google.com/spreadsheets/d/16pAz3pOhQEZBhvFNMa5KGgZS6iKWpsKX0pg6tQmwFpo/edit?usp=sharing"",""ตรัง!N162"")+IMPORTRANGE(""https://docs.google.com/spreadsheets/d/1Dj4jcHCTV9JXKCaMoheSXS52JE63kDKyG7bPXnFogHk/edit?usp=shar"&amp;"ing"",""นครศรีธรรมราช!N162"")+IMPORTRANGE(""https://docs.google.com/spreadsheets/d/1iodCdmuK2GR3jzUwk8tpccY2JHQQA-87DLOtJP-ooyU/edit?usp=sharing"",""นราธิวาส!N162"")+IMPORTRANGE(""https://docs.google.com/spreadsheets/d/1SDNX3JhDdYRuIOsj0Wh2M-Qa_eaXl0NbWmh"&amp;"AOTbfQAs/edit?usp=sharing"",""ปัตตานี!N162"")+IMPORTRANGE(""https://docs.google.com/spreadsheets/d/16JDLGguT8s5DsGCND1KcwHP_AWR_zDMTqLHPLJUKhaU/edit?usp=sharing"",""พังงา!N162"")+IMPORTRANGE(""https://docs.google.com/spreadsheets/d/17ht0gPKzzT3PObBL1XJkeR"&amp;"mntBXI7wGjpLV7QorqlTk/edit?usp=sharing"",""พัทลุง!N162"")+IMPORTRANGE(""https://docs.google.com/spreadsheets/d/1rd4qoM1q_hsgaolqNGfrim9gbsoLxQsda4-vOz5x_BM/edit?usp=sharing"",""ภูเก็ต!N162"")+IMPORTRANGE(""https://docs.google.com/spreadsheets/d/1woKwKjgoL"&amp;"ssDvPcPeVyezB5izizAn4X1JDrys69n6xI/edit?usp=sharing"",""ยะลา!N162"")+IMPORTRANGE(""https://docs.google.com/spreadsheets/d/1qfrKjzMhm2HJfxQ-qVlJlJQ25Hne1d0khsySbZyGtPA/edit?usp=sharing"",""ระนอง!N162"")+IMPORTRANGE(""https://docs.google.com/spreadsheets/d/"&amp;"1IbSCnFOKpZsnFogBHJnL_isstZVaOMnFiIN0fGTPZZw/edit?usp=sharing"",""สงขลา!N162"")+IMPORTRANGE(""https://docs.google.com/spreadsheets/d/1q9nWasZJ-K8bFGvbE9n0qSRuKGA4Toe3Y89cKCiVtCU/edit?usp=sharing"",""สตูล!N162"")+IMPORTRANGE(""https://docs.google.com/sprea"&amp;"dsheets/d/18T20gbkS_WBjdscyTOV05cvq_JqvqQ17C81mpxf7Ncs/edit?usp=sharing"",""สุราษฎร์ธานี!N162"")"),10075.41)</f>
        <v>10075.41</v>
      </c>
      <c r="O162" s="47">
        <f t="shared" ca="1" si="125"/>
        <v>111.949</v>
      </c>
      <c r="P162" s="47">
        <f t="shared" ca="1" si="126"/>
        <v>25.624135300101731</v>
      </c>
      <c r="Q162" s="47">
        <f ca="1">IFERROR(__xludf.DUMMYFUNCTION("IMPORTRANGE(""https://docs.google.com/spreadsheets/d/1kKUcYdkIfrgTSj8iHHHB2MD2FAtwyyocFgqGQn6ADyI/edit?usp=sharing"",""กระบี่!Q162"")+IMPORTRANGE(""https://docs.google.com/spreadsheets/d/1GwtLaSlNZkLk7iDqcyZz22giiy40b_usZZBXYciEN1U/edit?usp=sharing"",""ชุ"&amp;"มพร!Q162"")+IMPORTRANGE(""https://docs.google.com/spreadsheets/d/16pAz3pOhQEZBhvFNMa5KGgZS6iKWpsKX0pg6tQmwFpo/edit?usp=sharing"",""ตรัง!Q162"")+IMPORTRANGE(""https://docs.google.com/spreadsheets/d/1Dj4jcHCTV9JXKCaMoheSXS52JE63kDKyG7bPXnFogHk/edit?usp=shar"&amp;"ing"",""นครศรีธรรมราช!Q162"")+IMPORTRANGE(""https://docs.google.com/spreadsheets/d/1iodCdmuK2GR3jzUwk8tpccY2JHQQA-87DLOtJP-ooyU/edit?usp=sharing"",""นราธิวาส!Q162"")+IMPORTRANGE(""https://docs.google.com/spreadsheets/d/1SDNX3JhDdYRuIOsj0Wh2M-Qa_eaXl0NbWmh"&amp;"AOTbfQAs/edit?usp=sharing"",""ปัตตานี!Q162"")+IMPORTRANGE(""https://docs.google.com/spreadsheets/d/16JDLGguT8s5DsGCND1KcwHP_AWR_zDMTqLHPLJUKhaU/edit?usp=sharing"",""พังงา!Q162"")+IMPORTRANGE(""https://docs.google.com/spreadsheets/d/17ht0gPKzzT3PObBL1XJkeR"&amp;"mntBXI7wGjpLV7QorqlTk/edit?usp=sharing"",""พัทลุง!Q162"")+IMPORTRANGE(""https://docs.google.com/spreadsheets/d/1rd4qoM1q_hsgaolqNGfrim9gbsoLxQsda4-vOz5x_BM/edit?usp=sharing"",""ภูเก็ต!Q162"")+IMPORTRANGE(""https://docs.google.com/spreadsheets/d/1woKwKjgoL"&amp;"ssDvPcPeVyezB5izizAn4X1JDrys69n6xI/edit?usp=sharing"",""ยะลา!Q162"")+IMPORTRANGE(""https://docs.google.com/spreadsheets/d/1qfrKjzMhm2HJfxQ-qVlJlJQ25Hne1d0khsySbZyGtPA/edit?usp=sharing"",""ระนอง!Q162"")+IMPORTRANGE(""https://docs.google.com/spreadsheets/d/"&amp;"1IbSCnFOKpZsnFogBHJnL_isstZVaOMnFiIN0fGTPZZw/edit?usp=sharing"",""สงขลา!Q162"")+IMPORTRANGE(""https://docs.google.com/spreadsheets/d/1q9nWasZJ-K8bFGvbE9n0qSRuKGA4Toe3Y89cKCiVtCU/edit?usp=sharing"",""สตูล!Q162"")+IMPORTRANGE(""https://docs.google.com/sprea"&amp;"dsheets/d/18T20gbkS_WBjdscyTOV05cvq_JqvqQ17C81mpxf7Ncs/edit?usp=sharing"",""สุราษฎร์ธานี!Q162"")"),0)</f>
        <v>0</v>
      </c>
      <c r="R162" s="47">
        <f ca="1">IFERROR(__xludf.DUMMYFUNCTION("IMPORTRANGE(""https://docs.google.com/spreadsheets/d/1kKUcYdkIfrgTSj8iHHHB2MD2FAtwyyocFgqGQn6ADyI/edit?usp=sharing"",""กระบี่!R162"")+IMPORTRANGE(""https://docs.google.com/spreadsheets/d/1GwtLaSlNZkLk7iDqcyZz22giiy40b_usZZBXYciEN1U/edit?usp=sharing"",""ชุ"&amp;"มพร!R162"")+IMPORTRANGE(""https://docs.google.com/spreadsheets/d/16pAz3pOhQEZBhvFNMa5KGgZS6iKWpsKX0pg6tQmwFpo/edit?usp=sharing"",""ตรัง!R162"")+IMPORTRANGE(""https://docs.google.com/spreadsheets/d/1Dj4jcHCTV9JXKCaMoheSXS52JE63kDKyG7bPXnFogHk/edit?usp=shar"&amp;"ing"",""นครศรีธรรมราช!R162"")+IMPORTRANGE(""https://docs.google.com/spreadsheets/d/1iodCdmuK2GR3jzUwk8tpccY2JHQQA-87DLOtJP-ooyU/edit?usp=sharing"",""นราธิวาส!R162"")+IMPORTRANGE(""https://docs.google.com/spreadsheets/d/1SDNX3JhDdYRuIOsj0Wh2M-Qa_eaXl0NbWmh"&amp;"AOTbfQAs/edit?usp=sharing"",""ปัตตานี!R162"")+IMPORTRANGE(""https://docs.google.com/spreadsheets/d/16JDLGguT8s5DsGCND1KcwHP_AWR_zDMTqLHPLJUKhaU/edit?usp=sharing"",""พังงา!R162"")+IMPORTRANGE(""https://docs.google.com/spreadsheets/d/17ht0gPKzzT3PObBL1XJkeR"&amp;"mntBXI7wGjpLV7QorqlTk/edit?usp=sharing"",""พัทลุง!R162"")+IMPORTRANGE(""https://docs.google.com/spreadsheets/d/1rd4qoM1q_hsgaolqNGfrim9gbsoLxQsda4-vOz5x_BM/edit?usp=sharing"",""ภูเก็ต!R162"")+IMPORTRANGE(""https://docs.google.com/spreadsheets/d/1woKwKjgoL"&amp;"ssDvPcPeVyezB5izizAn4X1JDrys69n6xI/edit?usp=sharing"",""ยะลา!R162"")+IMPORTRANGE(""https://docs.google.com/spreadsheets/d/1qfrKjzMhm2HJfxQ-qVlJlJQ25Hne1d0khsySbZyGtPA/edit?usp=sharing"",""ระนอง!R162"")+IMPORTRANGE(""https://docs.google.com/spreadsheets/d/"&amp;"1IbSCnFOKpZsnFogBHJnL_isstZVaOMnFiIN0fGTPZZw/edit?usp=sharing"",""สงขลา!R162"")+IMPORTRANGE(""https://docs.google.com/spreadsheets/d/1q9nWasZJ-K8bFGvbE9n0qSRuKGA4Toe3Y89cKCiVtCU/edit?usp=sharing"",""สตูล!R162"")+IMPORTRANGE(""https://docs.google.com/sprea"&amp;"dsheets/d/18T20gbkS_WBjdscyTOV05cvq_JqvqQ17C81mpxf7Ncs/edit?usp=sharing"",""สุราษฎร์ธานี!R162"")"),0)</f>
        <v>0</v>
      </c>
      <c r="S162" s="47">
        <f ca="1">IFERROR(__xludf.DUMMYFUNCTION("IMPORTRANGE(""https://docs.google.com/spreadsheets/d/1kKUcYdkIfrgTSj8iHHHB2MD2FAtwyyocFgqGQn6ADyI/edit?usp=sharing"",""กระบี่!S162"")+IMPORTRANGE(""https://docs.google.com/spreadsheets/d/1GwtLaSlNZkLk7iDqcyZz22giiy40b_usZZBXYciEN1U/edit?usp=sharing"",""ชุ"&amp;"มพร!S162"")+IMPORTRANGE(""https://docs.google.com/spreadsheets/d/16pAz3pOhQEZBhvFNMa5KGgZS6iKWpsKX0pg6tQmwFpo/edit?usp=sharing"",""ตรัง!S162"")+IMPORTRANGE(""https://docs.google.com/spreadsheets/d/1Dj4jcHCTV9JXKCaMoheSXS52JE63kDKyG7bPXnFogHk/edit?usp=shar"&amp;"ing"",""นครศรีธรรมราช!S162"")+IMPORTRANGE(""https://docs.google.com/spreadsheets/d/1iodCdmuK2GR3jzUwk8tpccY2JHQQA-87DLOtJP-ooyU/edit?usp=sharing"",""นราธิวาส!S162"")+IMPORTRANGE(""https://docs.google.com/spreadsheets/d/1SDNX3JhDdYRuIOsj0Wh2M-Qa_eaXl0NbWmh"&amp;"AOTbfQAs/edit?usp=sharing"",""ปัตตานี!S162"")+IMPORTRANGE(""https://docs.google.com/spreadsheets/d/16JDLGguT8s5DsGCND1KcwHP_AWR_zDMTqLHPLJUKhaU/edit?usp=sharing"",""พังงา!S162"")+IMPORTRANGE(""https://docs.google.com/spreadsheets/d/17ht0gPKzzT3PObBL1XJkeR"&amp;"mntBXI7wGjpLV7QorqlTk/edit?usp=sharing"",""พัทลุง!S162"")+IMPORTRANGE(""https://docs.google.com/spreadsheets/d/1rd4qoM1q_hsgaolqNGfrim9gbsoLxQsda4-vOz5x_BM/edit?usp=sharing"",""ภูเก็ต!S162"")+IMPORTRANGE(""https://docs.google.com/spreadsheets/d/1woKwKjgoL"&amp;"ssDvPcPeVyezB5izizAn4X1JDrys69n6xI/edit?usp=sharing"",""ยะลา!S162"")+IMPORTRANGE(""https://docs.google.com/spreadsheets/d/1qfrKjzMhm2HJfxQ-qVlJlJQ25Hne1d0khsySbZyGtPA/edit?usp=sharing"",""ระนอง!S162"")+IMPORTRANGE(""https://docs.google.com/spreadsheets/d/"&amp;"1IbSCnFOKpZsnFogBHJnL_isstZVaOMnFiIN0fGTPZZw/edit?usp=sharing"",""สงขลา!S162"")+IMPORTRANGE(""https://docs.google.com/spreadsheets/d/1q9nWasZJ-K8bFGvbE9n0qSRuKGA4Toe3Y89cKCiVtCU/edit?usp=sharing"",""สตูล!S162"")+IMPORTRANGE(""https://docs.google.com/sprea"&amp;"dsheets/d/18T20gbkS_WBjdscyTOV05cvq_JqvqQ17C81mpxf7Ncs/edit?usp=sharing"",""สุราษฎร์ธานี!S162"")"),0)</f>
        <v>0</v>
      </c>
      <c r="T162" s="47">
        <f t="shared" ca="1" si="128"/>
        <v>0</v>
      </c>
      <c r="U162" s="47">
        <f t="shared" ca="1" si="129"/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47">
        <f t="shared" ref="L163:N163" ca="1" si="136">L164+L165</f>
        <v>0</v>
      </c>
      <c r="M163" s="47">
        <f t="shared" ca="1" si="136"/>
        <v>0</v>
      </c>
      <c r="N163" s="47">
        <f t="shared" ca="1" si="136"/>
        <v>0</v>
      </c>
      <c r="O163" s="47">
        <f t="shared" ca="1" si="125"/>
        <v>0</v>
      </c>
      <c r="P163" s="47">
        <f t="shared" ca="1" si="126"/>
        <v>0</v>
      </c>
      <c r="Q163" s="47">
        <f t="shared" ref="Q163:S163" ca="1" si="137">Q164+Q165</f>
        <v>0</v>
      </c>
      <c r="R163" s="47">
        <f t="shared" ca="1" si="137"/>
        <v>0</v>
      </c>
      <c r="S163" s="47">
        <f t="shared" ca="1" si="137"/>
        <v>0</v>
      </c>
      <c r="T163" s="47">
        <f t="shared" ca="1" si="128"/>
        <v>0</v>
      </c>
      <c r="U163" s="47">
        <f t="shared" ca="1" si="129"/>
        <v>0</v>
      </c>
    </row>
    <row r="164" spans="1:21" ht="18.75" hidden="1" x14ac:dyDescent="0.25">
      <c r="A164" s="128"/>
      <c r="B164" s="41"/>
      <c r="C164" s="41"/>
      <c r="D164" s="41"/>
      <c r="E164" s="48" t="s">
        <v>20</v>
      </c>
      <c r="F164" s="41"/>
      <c r="G164" s="43"/>
      <c r="H164" s="134" t="s">
        <v>14</v>
      </c>
      <c r="I164" s="135"/>
      <c r="J164" s="135"/>
      <c r="K164" s="136"/>
      <c r="L164" s="47">
        <f ca="1">IFERROR(__xludf.DUMMYFUNCTION("IMPORTRANGE(""https://docs.google.com/spreadsheets/d/1kKUcYdkIfrgTSj8iHHHB2MD2FAtwyyocFgqGQn6ADyI/edit?usp=sharing"",""กระบี่!L164"")+IMPORTRANGE(""https://docs.google.com/spreadsheets/d/1GwtLaSlNZkLk7iDqcyZz22giiy40b_usZZBXYciEN1U/edit?usp=sharing"",""ชุ"&amp;"มพร!L164"")+IMPORTRANGE(""https://docs.google.com/spreadsheets/d/16pAz3pOhQEZBhvFNMa5KGgZS6iKWpsKX0pg6tQmwFpo/edit?usp=sharing"",""ตรัง!L164"")+IMPORTRANGE(""https://docs.google.com/spreadsheets/d/1Dj4jcHCTV9JXKCaMoheSXS52JE63kDKyG7bPXnFogHk/edit?usp=shar"&amp;"ing"",""นครศรีธรรมราช!L164"")+IMPORTRANGE(""https://docs.google.com/spreadsheets/d/1iodCdmuK2GR3jzUwk8tpccY2JHQQA-87DLOtJP-ooyU/edit?usp=sharing"",""นราธิวาส!L164"")+IMPORTRANGE(""https://docs.google.com/spreadsheets/d/1SDNX3JhDdYRuIOsj0Wh2M-Qa_eaXl0NbWmh"&amp;"AOTbfQAs/edit?usp=sharing"",""ปัตตานี!L164"")+IMPORTRANGE(""https://docs.google.com/spreadsheets/d/16JDLGguT8s5DsGCND1KcwHP_AWR_zDMTqLHPLJUKhaU/edit?usp=sharing"",""พังงา!L164"")+IMPORTRANGE(""https://docs.google.com/spreadsheets/d/17ht0gPKzzT3PObBL1XJkeR"&amp;"mntBXI7wGjpLV7QorqlTk/edit?usp=sharing"",""พัทลุง!L164"")+IMPORTRANGE(""https://docs.google.com/spreadsheets/d/1rd4qoM1q_hsgaolqNGfrim9gbsoLxQsda4-vOz5x_BM/edit?usp=sharing"",""ภูเก็ต!L164"")+IMPORTRANGE(""https://docs.google.com/spreadsheets/d/1woKwKjgoL"&amp;"ssDvPcPeVyezB5izizAn4X1JDrys69n6xI/edit?usp=sharing"",""ยะลา!L164"")+IMPORTRANGE(""https://docs.google.com/spreadsheets/d/1qfrKjzMhm2HJfxQ-qVlJlJQ25Hne1d0khsySbZyGtPA/edit?usp=sharing"",""ระนอง!L164"")+IMPORTRANGE(""https://docs.google.com/spreadsheets/d/"&amp;"1IbSCnFOKpZsnFogBHJnL_isstZVaOMnFiIN0fGTPZZw/edit?usp=sharing"",""สงขลา!L164"")+IMPORTRANGE(""https://docs.google.com/spreadsheets/d/1q9nWasZJ-K8bFGvbE9n0qSRuKGA4Toe3Y89cKCiVtCU/edit?usp=sharing"",""สตูล!L164"")+IMPORTRANGE(""https://docs.google.com/sprea"&amp;"dsheets/d/18T20gbkS_WBjdscyTOV05cvq_JqvqQ17C81mpxf7Ncs/edit?usp=sharing"",""สุราษฎร์ธานี!L164"")"),0)</f>
        <v>0</v>
      </c>
      <c r="M164" s="47">
        <f ca="1">IFERROR(__xludf.DUMMYFUNCTION("IMPORTRANGE(""https://docs.google.com/spreadsheets/d/1kKUcYdkIfrgTSj8iHHHB2MD2FAtwyyocFgqGQn6ADyI/edit?usp=sharing"",""กระบี่!M164"")+IMPORTRANGE(""https://docs.google.com/spreadsheets/d/1GwtLaSlNZkLk7iDqcyZz22giiy40b_usZZBXYciEN1U/edit?usp=sharing"",""ชุ"&amp;"มพร!M164"")+IMPORTRANGE(""https://docs.google.com/spreadsheets/d/16pAz3pOhQEZBhvFNMa5KGgZS6iKWpsKX0pg6tQmwFpo/edit?usp=sharing"",""ตรัง!M164"")+IMPORTRANGE(""https://docs.google.com/spreadsheets/d/1Dj4jcHCTV9JXKCaMoheSXS52JE63kDKyG7bPXnFogHk/edit?usp=shar"&amp;"ing"",""นครศรีธรรมราช!M164"")+IMPORTRANGE(""https://docs.google.com/spreadsheets/d/1iodCdmuK2GR3jzUwk8tpccY2JHQQA-87DLOtJP-ooyU/edit?usp=sharing"",""นราธิวาส!M164"")+IMPORTRANGE(""https://docs.google.com/spreadsheets/d/1SDNX3JhDdYRuIOsj0Wh2M-Qa_eaXl0NbWmh"&amp;"AOTbfQAs/edit?usp=sharing"",""ปัตตานี!M164"")+IMPORTRANGE(""https://docs.google.com/spreadsheets/d/16JDLGguT8s5DsGCND1KcwHP_AWR_zDMTqLHPLJUKhaU/edit?usp=sharing"",""พังงา!M164"")+IMPORTRANGE(""https://docs.google.com/spreadsheets/d/17ht0gPKzzT3PObBL1XJkeR"&amp;"mntBXI7wGjpLV7QorqlTk/edit?usp=sharing"",""พัทลุง!M164"")+IMPORTRANGE(""https://docs.google.com/spreadsheets/d/1rd4qoM1q_hsgaolqNGfrim9gbsoLxQsda4-vOz5x_BM/edit?usp=sharing"",""ภูเก็ต!M164"")+IMPORTRANGE(""https://docs.google.com/spreadsheets/d/1woKwKjgoL"&amp;"ssDvPcPeVyezB5izizAn4X1JDrys69n6xI/edit?usp=sharing"",""ยะลา!M164"")+IMPORTRANGE(""https://docs.google.com/spreadsheets/d/1qfrKjzMhm2HJfxQ-qVlJlJQ25Hne1d0khsySbZyGtPA/edit?usp=sharing"",""ระนอง!M164"")+IMPORTRANGE(""https://docs.google.com/spreadsheets/d/"&amp;"1IbSCnFOKpZsnFogBHJnL_isstZVaOMnFiIN0fGTPZZw/edit?usp=sharing"",""สงขลา!M164"")+IMPORTRANGE(""https://docs.google.com/spreadsheets/d/1q9nWasZJ-K8bFGvbE9n0qSRuKGA4Toe3Y89cKCiVtCU/edit?usp=sharing"",""สตูล!M164"")+IMPORTRANGE(""https://docs.google.com/sprea"&amp;"dsheets/d/18T20gbkS_WBjdscyTOV05cvq_JqvqQ17C81mpxf7Ncs/edit?usp=sharing"",""สุราษฎร์ธานี!M164"")"),0)</f>
        <v>0</v>
      </c>
      <c r="N164" s="47">
        <f ca="1">IFERROR(__xludf.DUMMYFUNCTION("IMPORTRANGE(""https://docs.google.com/spreadsheets/d/1kKUcYdkIfrgTSj8iHHHB2MD2FAtwyyocFgqGQn6ADyI/edit?usp=sharing"",""กระบี่!N164"")+IMPORTRANGE(""https://docs.google.com/spreadsheets/d/1GwtLaSlNZkLk7iDqcyZz22giiy40b_usZZBXYciEN1U/edit?usp=sharing"",""ชุ"&amp;"มพร!N164"")+IMPORTRANGE(""https://docs.google.com/spreadsheets/d/16pAz3pOhQEZBhvFNMa5KGgZS6iKWpsKX0pg6tQmwFpo/edit?usp=sharing"",""ตรัง!N164"")+IMPORTRANGE(""https://docs.google.com/spreadsheets/d/1Dj4jcHCTV9JXKCaMoheSXS52JE63kDKyG7bPXnFogHk/edit?usp=shar"&amp;"ing"",""นครศรีธรรมราช!N164"")+IMPORTRANGE(""https://docs.google.com/spreadsheets/d/1iodCdmuK2GR3jzUwk8tpccY2JHQQA-87DLOtJP-ooyU/edit?usp=sharing"",""นราธิวาส!N164"")+IMPORTRANGE(""https://docs.google.com/spreadsheets/d/1SDNX3JhDdYRuIOsj0Wh2M-Qa_eaXl0NbWmh"&amp;"AOTbfQAs/edit?usp=sharing"",""ปัตตานี!N164"")+IMPORTRANGE(""https://docs.google.com/spreadsheets/d/16JDLGguT8s5DsGCND1KcwHP_AWR_zDMTqLHPLJUKhaU/edit?usp=sharing"",""พังงา!N164"")+IMPORTRANGE(""https://docs.google.com/spreadsheets/d/17ht0gPKzzT3PObBL1XJkeR"&amp;"mntBXI7wGjpLV7QorqlTk/edit?usp=sharing"",""พัทลุง!N164"")+IMPORTRANGE(""https://docs.google.com/spreadsheets/d/1rd4qoM1q_hsgaolqNGfrim9gbsoLxQsda4-vOz5x_BM/edit?usp=sharing"",""ภูเก็ต!N164"")+IMPORTRANGE(""https://docs.google.com/spreadsheets/d/1woKwKjgoL"&amp;"ssDvPcPeVyezB5izizAn4X1JDrys69n6xI/edit?usp=sharing"",""ยะลา!N164"")+IMPORTRANGE(""https://docs.google.com/spreadsheets/d/1qfrKjzMhm2HJfxQ-qVlJlJQ25Hne1d0khsySbZyGtPA/edit?usp=sharing"",""ระนอง!N164"")+IMPORTRANGE(""https://docs.google.com/spreadsheets/d/"&amp;"1IbSCnFOKpZsnFogBHJnL_isstZVaOMnFiIN0fGTPZZw/edit?usp=sharing"",""สงขลา!N164"")+IMPORTRANGE(""https://docs.google.com/spreadsheets/d/1q9nWasZJ-K8bFGvbE9n0qSRuKGA4Toe3Y89cKCiVtCU/edit?usp=sharing"",""สตูล!N164"")+IMPORTRANGE(""https://docs.google.com/sprea"&amp;"dsheets/d/18T20gbkS_WBjdscyTOV05cvq_JqvqQ17C81mpxf7Ncs/edit?usp=sharing"",""สุราษฎร์ธานี!N164"")"),0)</f>
        <v>0</v>
      </c>
      <c r="O164" s="47">
        <f t="shared" ca="1" si="125"/>
        <v>0</v>
      </c>
      <c r="P164" s="47">
        <f t="shared" ca="1" si="126"/>
        <v>0</v>
      </c>
      <c r="Q164" s="47">
        <f ca="1">IFERROR(__xludf.DUMMYFUNCTION("IMPORTRANGE(""https://docs.google.com/spreadsheets/d/1kKUcYdkIfrgTSj8iHHHB2MD2FAtwyyocFgqGQn6ADyI/edit?usp=sharing"",""กระบี่!Q164"")+IMPORTRANGE(""https://docs.google.com/spreadsheets/d/1GwtLaSlNZkLk7iDqcyZz22giiy40b_usZZBXYciEN1U/edit?usp=sharing"",""ชุ"&amp;"มพร!Q164"")+IMPORTRANGE(""https://docs.google.com/spreadsheets/d/16pAz3pOhQEZBhvFNMa5KGgZS6iKWpsKX0pg6tQmwFpo/edit?usp=sharing"",""ตรัง!Q164"")+IMPORTRANGE(""https://docs.google.com/spreadsheets/d/1Dj4jcHCTV9JXKCaMoheSXS52JE63kDKyG7bPXnFogHk/edit?usp=shar"&amp;"ing"",""นครศรีธรรมราช!Q164"")+IMPORTRANGE(""https://docs.google.com/spreadsheets/d/1iodCdmuK2GR3jzUwk8tpccY2JHQQA-87DLOtJP-ooyU/edit?usp=sharing"",""นราธิวาส!Q164"")+IMPORTRANGE(""https://docs.google.com/spreadsheets/d/1SDNX3JhDdYRuIOsj0Wh2M-Qa_eaXl0NbWmh"&amp;"AOTbfQAs/edit?usp=sharing"",""ปัตตานี!Q164"")+IMPORTRANGE(""https://docs.google.com/spreadsheets/d/16JDLGguT8s5DsGCND1KcwHP_AWR_zDMTqLHPLJUKhaU/edit?usp=sharing"",""พังงา!Q164"")+IMPORTRANGE(""https://docs.google.com/spreadsheets/d/17ht0gPKzzT3PObBL1XJkeR"&amp;"mntBXI7wGjpLV7QorqlTk/edit?usp=sharing"",""พัทลุง!Q164"")+IMPORTRANGE(""https://docs.google.com/spreadsheets/d/1rd4qoM1q_hsgaolqNGfrim9gbsoLxQsda4-vOz5x_BM/edit?usp=sharing"",""ภูเก็ต!Q164"")+IMPORTRANGE(""https://docs.google.com/spreadsheets/d/1woKwKjgoL"&amp;"ssDvPcPeVyezB5izizAn4X1JDrys69n6xI/edit?usp=sharing"",""ยะลา!Q164"")+IMPORTRANGE(""https://docs.google.com/spreadsheets/d/1qfrKjzMhm2HJfxQ-qVlJlJQ25Hne1d0khsySbZyGtPA/edit?usp=sharing"",""ระนอง!Q164"")+IMPORTRANGE(""https://docs.google.com/spreadsheets/d/"&amp;"1IbSCnFOKpZsnFogBHJnL_isstZVaOMnFiIN0fGTPZZw/edit?usp=sharing"",""สงขลา!Q164"")+IMPORTRANGE(""https://docs.google.com/spreadsheets/d/1q9nWasZJ-K8bFGvbE9n0qSRuKGA4Toe3Y89cKCiVtCU/edit?usp=sharing"",""สตูล!Q164"")+IMPORTRANGE(""https://docs.google.com/sprea"&amp;"dsheets/d/18T20gbkS_WBjdscyTOV05cvq_JqvqQ17C81mpxf7Ncs/edit?usp=sharing"",""สุราษฎร์ธานี!Q164"")"),0)</f>
        <v>0</v>
      </c>
      <c r="R164" s="47">
        <f ca="1">IFERROR(__xludf.DUMMYFUNCTION("IMPORTRANGE(""https://docs.google.com/spreadsheets/d/1kKUcYdkIfrgTSj8iHHHB2MD2FAtwyyocFgqGQn6ADyI/edit?usp=sharing"",""กระบี่!R164"")+IMPORTRANGE(""https://docs.google.com/spreadsheets/d/1GwtLaSlNZkLk7iDqcyZz22giiy40b_usZZBXYciEN1U/edit?usp=sharing"",""ชุ"&amp;"มพร!R164"")+IMPORTRANGE(""https://docs.google.com/spreadsheets/d/16pAz3pOhQEZBhvFNMa5KGgZS6iKWpsKX0pg6tQmwFpo/edit?usp=sharing"",""ตรัง!R164"")+IMPORTRANGE(""https://docs.google.com/spreadsheets/d/1Dj4jcHCTV9JXKCaMoheSXS52JE63kDKyG7bPXnFogHk/edit?usp=shar"&amp;"ing"",""นครศรีธรรมราช!R164"")+IMPORTRANGE(""https://docs.google.com/spreadsheets/d/1iodCdmuK2GR3jzUwk8tpccY2JHQQA-87DLOtJP-ooyU/edit?usp=sharing"",""นราธิวาส!R164"")+IMPORTRANGE(""https://docs.google.com/spreadsheets/d/1SDNX3JhDdYRuIOsj0Wh2M-Qa_eaXl0NbWmh"&amp;"AOTbfQAs/edit?usp=sharing"",""ปัตตานี!R164"")+IMPORTRANGE(""https://docs.google.com/spreadsheets/d/16JDLGguT8s5DsGCND1KcwHP_AWR_zDMTqLHPLJUKhaU/edit?usp=sharing"",""พังงา!R164"")+IMPORTRANGE(""https://docs.google.com/spreadsheets/d/17ht0gPKzzT3PObBL1XJkeR"&amp;"mntBXI7wGjpLV7QorqlTk/edit?usp=sharing"",""พัทลุง!R164"")+IMPORTRANGE(""https://docs.google.com/spreadsheets/d/1rd4qoM1q_hsgaolqNGfrim9gbsoLxQsda4-vOz5x_BM/edit?usp=sharing"",""ภูเก็ต!R164"")+IMPORTRANGE(""https://docs.google.com/spreadsheets/d/1woKwKjgoL"&amp;"ssDvPcPeVyezB5izizAn4X1JDrys69n6xI/edit?usp=sharing"",""ยะลา!R164"")+IMPORTRANGE(""https://docs.google.com/spreadsheets/d/1qfrKjzMhm2HJfxQ-qVlJlJQ25Hne1d0khsySbZyGtPA/edit?usp=sharing"",""ระนอง!R164"")+IMPORTRANGE(""https://docs.google.com/spreadsheets/d/"&amp;"1IbSCnFOKpZsnFogBHJnL_isstZVaOMnFiIN0fGTPZZw/edit?usp=sharing"",""สงขลา!R164"")+IMPORTRANGE(""https://docs.google.com/spreadsheets/d/1q9nWasZJ-K8bFGvbE9n0qSRuKGA4Toe3Y89cKCiVtCU/edit?usp=sharing"",""สตูล!R164"")+IMPORTRANGE(""https://docs.google.com/sprea"&amp;"dsheets/d/18T20gbkS_WBjdscyTOV05cvq_JqvqQ17C81mpxf7Ncs/edit?usp=sharing"",""สุราษฎร์ธานี!R164"")"),0)</f>
        <v>0</v>
      </c>
      <c r="S164" s="47">
        <f ca="1">IFERROR(__xludf.DUMMYFUNCTION("IMPORTRANGE(""https://docs.google.com/spreadsheets/d/1kKUcYdkIfrgTSj8iHHHB2MD2FAtwyyocFgqGQn6ADyI/edit?usp=sharing"",""กระบี่!S164"")+IMPORTRANGE(""https://docs.google.com/spreadsheets/d/1GwtLaSlNZkLk7iDqcyZz22giiy40b_usZZBXYciEN1U/edit?usp=sharing"",""ชุ"&amp;"มพร!S164"")+IMPORTRANGE(""https://docs.google.com/spreadsheets/d/16pAz3pOhQEZBhvFNMa5KGgZS6iKWpsKX0pg6tQmwFpo/edit?usp=sharing"",""ตรัง!S164"")+IMPORTRANGE(""https://docs.google.com/spreadsheets/d/1Dj4jcHCTV9JXKCaMoheSXS52JE63kDKyG7bPXnFogHk/edit?usp=shar"&amp;"ing"",""นครศรีธรรมราช!S164"")+IMPORTRANGE(""https://docs.google.com/spreadsheets/d/1iodCdmuK2GR3jzUwk8tpccY2JHQQA-87DLOtJP-ooyU/edit?usp=sharing"",""นราธิวาส!S164"")+IMPORTRANGE(""https://docs.google.com/spreadsheets/d/1SDNX3JhDdYRuIOsj0Wh2M-Qa_eaXl0NbWmh"&amp;"AOTbfQAs/edit?usp=sharing"",""ปัตตานี!S164"")+IMPORTRANGE(""https://docs.google.com/spreadsheets/d/16JDLGguT8s5DsGCND1KcwHP_AWR_zDMTqLHPLJUKhaU/edit?usp=sharing"",""พังงา!S164"")+IMPORTRANGE(""https://docs.google.com/spreadsheets/d/17ht0gPKzzT3PObBL1XJkeR"&amp;"mntBXI7wGjpLV7QorqlTk/edit?usp=sharing"",""พัทลุง!S164"")+IMPORTRANGE(""https://docs.google.com/spreadsheets/d/1rd4qoM1q_hsgaolqNGfrim9gbsoLxQsda4-vOz5x_BM/edit?usp=sharing"",""ภูเก็ต!S164"")+IMPORTRANGE(""https://docs.google.com/spreadsheets/d/1woKwKjgoL"&amp;"ssDvPcPeVyezB5izizAn4X1JDrys69n6xI/edit?usp=sharing"",""ยะลา!S164"")+IMPORTRANGE(""https://docs.google.com/spreadsheets/d/1qfrKjzMhm2HJfxQ-qVlJlJQ25Hne1d0khsySbZyGtPA/edit?usp=sharing"",""ระนอง!S164"")+IMPORTRANGE(""https://docs.google.com/spreadsheets/d/"&amp;"1IbSCnFOKpZsnFogBHJnL_isstZVaOMnFiIN0fGTPZZw/edit?usp=sharing"",""สงขลา!S164"")+IMPORTRANGE(""https://docs.google.com/spreadsheets/d/1q9nWasZJ-K8bFGvbE9n0qSRuKGA4Toe3Y89cKCiVtCU/edit?usp=sharing"",""สตูล!S164"")+IMPORTRANGE(""https://docs.google.com/sprea"&amp;"dsheets/d/18T20gbkS_WBjdscyTOV05cvq_JqvqQ17C81mpxf7Ncs/edit?usp=sharing"",""สุราษฎร์ธานี!S164"")"),0)</f>
        <v>0</v>
      </c>
      <c r="T164" s="49">
        <f t="shared" ca="1" si="128"/>
        <v>0</v>
      </c>
      <c r="U164" s="49">
        <f t="shared" ca="1" si="129"/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47">
        <f ca="1">IFERROR(__xludf.DUMMYFUNCTION("IMPORTRANGE(""https://docs.google.com/spreadsheets/d/1kKUcYdkIfrgTSj8iHHHB2MD2FAtwyyocFgqGQn6ADyI/edit?usp=sharing"",""กระบี่!L165"")+IMPORTRANGE(""https://docs.google.com/spreadsheets/d/1GwtLaSlNZkLk7iDqcyZz22giiy40b_usZZBXYciEN1U/edit?usp=sharing"",""ชุ"&amp;"มพร!L165"")+IMPORTRANGE(""https://docs.google.com/spreadsheets/d/16pAz3pOhQEZBhvFNMa5KGgZS6iKWpsKX0pg6tQmwFpo/edit?usp=sharing"",""ตรัง!L165"")+IMPORTRANGE(""https://docs.google.com/spreadsheets/d/1Dj4jcHCTV9JXKCaMoheSXS52JE63kDKyG7bPXnFogHk/edit?usp=shar"&amp;"ing"",""นครศรีธรรมราช!L165"")+IMPORTRANGE(""https://docs.google.com/spreadsheets/d/1iodCdmuK2GR3jzUwk8tpccY2JHQQA-87DLOtJP-ooyU/edit?usp=sharing"",""นราธิวาส!L165"")+IMPORTRANGE(""https://docs.google.com/spreadsheets/d/1SDNX3JhDdYRuIOsj0Wh2M-Qa_eaXl0NbWmh"&amp;"AOTbfQAs/edit?usp=sharing"",""ปัตตานี!L165"")+IMPORTRANGE(""https://docs.google.com/spreadsheets/d/16JDLGguT8s5DsGCND1KcwHP_AWR_zDMTqLHPLJUKhaU/edit?usp=sharing"",""พังงา!L165"")+IMPORTRANGE(""https://docs.google.com/spreadsheets/d/17ht0gPKzzT3PObBL1XJkeR"&amp;"mntBXI7wGjpLV7QorqlTk/edit?usp=sharing"",""พัทลุง!L165"")+IMPORTRANGE(""https://docs.google.com/spreadsheets/d/1rd4qoM1q_hsgaolqNGfrim9gbsoLxQsda4-vOz5x_BM/edit?usp=sharing"",""ภูเก็ต!L165"")+IMPORTRANGE(""https://docs.google.com/spreadsheets/d/1woKwKjgoL"&amp;"ssDvPcPeVyezB5izizAn4X1JDrys69n6xI/edit?usp=sharing"",""ยะลา!L165"")+IMPORTRANGE(""https://docs.google.com/spreadsheets/d/1qfrKjzMhm2HJfxQ-qVlJlJQ25Hne1d0khsySbZyGtPA/edit?usp=sharing"",""ระนอง!L165"")+IMPORTRANGE(""https://docs.google.com/spreadsheets/d/"&amp;"1IbSCnFOKpZsnFogBHJnL_isstZVaOMnFiIN0fGTPZZw/edit?usp=sharing"",""สงขลา!L165"")+IMPORTRANGE(""https://docs.google.com/spreadsheets/d/1q9nWasZJ-K8bFGvbE9n0qSRuKGA4Toe3Y89cKCiVtCU/edit?usp=sharing"",""สตูล!L165"")+IMPORTRANGE(""https://docs.google.com/sprea"&amp;"dsheets/d/18T20gbkS_WBjdscyTOV05cvq_JqvqQ17C81mpxf7Ncs/edit?usp=sharing"",""สุราษฎร์ธานี!L165"")"),0)</f>
        <v>0</v>
      </c>
      <c r="M165" s="47">
        <f ca="1">IFERROR(__xludf.DUMMYFUNCTION("IMPORTRANGE(""https://docs.google.com/spreadsheets/d/1kKUcYdkIfrgTSj8iHHHB2MD2FAtwyyocFgqGQn6ADyI/edit?usp=sharing"",""กระบี่!M165"")+IMPORTRANGE(""https://docs.google.com/spreadsheets/d/1GwtLaSlNZkLk7iDqcyZz22giiy40b_usZZBXYciEN1U/edit?usp=sharing"",""ชุ"&amp;"มพร!M165"")+IMPORTRANGE(""https://docs.google.com/spreadsheets/d/16pAz3pOhQEZBhvFNMa5KGgZS6iKWpsKX0pg6tQmwFpo/edit?usp=sharing"",""ตรัง!M165"")+IMPORTRANGE(""https://docs.google.com/spreadsheets/d/1Dj4jcHCTV9JXKCaMoheSXS52JE63kDKyG7bPXnFogHk/edit?usp=shar"&amp;"ing"",""นครศรีธรรมราช!M165"")+IMPORTRANGE(""https://docs.google.com/spreadsheets/d/1iodCdmuK2GR3jzUwk8tpccY2JHQQA-87DLOtJP-ooyU/edit?usp=sharing"",""นราธิวาส!M165"")+IMPORTRANGE(""https://docs.google.com/spreadsheets/d/1SDNX3JhDdYRuIOsj0Wh2M-Qa_eaXl0NbWmh"&amp;"AOTbfQAs/edit?usp=sharing"",""ปัตตานี!M165"")+IMPORTRANGE(""https://docs.google.com/spreadsheets/d/16JDLGguT8s5DsGCND1KcwHP_AWR_zDMTqLHPLJUKhaU/edit?usp=sharing"",""พังงา!M165"")+IMPORTRANGE(""https://docs.google.com/spreadsheets/d/17ht0gPKzzT3PObBL1XJkeR"&amp;"mntBXI7wGjpLV7QorqlTk/edit?usp=sharing"",""พัทลุง!M165"")+IMPORTRANGE(""https://docs.google.com/spreadsheets/d/1rd4qoM1q_hsgaolqNGfrim9gbsoLxQsda4-vOz5x_BM/edit?usp=sharing"",""ภูเก็ต!M165"")+IMPORTRANGE(""https://docs.google.com/spreadsheets/d/1woKwKjgoL"&amp;"ssDvPcPeVyezB5izizAn4X1JDrys69n6xI/edit?usp=sharing"",""ยะลา!M165"")+IMPORTRANGE(""https://docs.google.com/spreadsheets/d/1qfrKjzMhm2HJfxQ-qVlJlJQ25Hne1d0khsySbZyGtPA/edit?usp=sharing"",""ระนอง!M165"")+IMPORTRANGE(""https://docs.google.com/spreadsheets/d/"&amp;"1IbSCnFOKpZsnFogBHJnL_isstZVaOMnFiIN0fGTPZZw/edit?usp=sharing"",""สงขลา!M165"")+IMPORTRANGE(""https://docs.google.com/spreadsheets/d/1q9nWasZJ-K8bFGvbE9n0qSRuKGA4Toe3Y89cKCiVtCU/edit?usp=sharing"",""สตูล!M165"")+IMPORTRANGE(""https://docs.google.com/sprea"&amp;"dsheets/d/18T20gbkS_WBjdscyTOV05cvq_JqvqQ17C81mpxf7Ncs/edit?usp=sharing"",""สุราษฎร์ธานี!M165"")"),0)</f>
        <v>0</v>
      </c>
      <c r="N165" s="47">
        <f ca="1">IFERROR(__xludf.DUMMYFUNCTION("IMPORTRANGE(""https://docs.google.com/spreadsheets/d/1kKUcYdkIfrgTSj8iHHHB2MD2FAtwyyocFgqGQn6ADyI/edit?usp=sharing"",""กระบี่!N165"")+IMPORTRANGE(""https://docs.google.com/spreadsheets/d/1GwtLaSlNZkLk7iDqcyZz22giiy40b_usZZBXYciEN1U/edit?usp=sharing"",""ชุ"&amp;"มพร!N165"")+IMPORTRANGE(""https://docs.google.com/spreadsheets/d/16pAz3pOhQEZBhvFNMa5KGgZS6iKWpsKX0pg6tQmwFpo/edit?usp=sharing"",""ตรัง!N165"")+IMPORTRANGE(""https://docs.google.com/spreadsheets/d/1Dj4jcHCTV9JXKCaMoheSXS52JE63kDKyG7bPXnFogHk/edit?usp=shar"&amp;"ing"",""นครศรีธรรมราช!N165"")+IMPORTRANGE(""https://docs.google.com/spreadsheets/d/1iodCdmuK2GR3jzUwk8tpccY2JHQQA-87DLOtJP-ooyU/edit?usp=sharing"",""นราธิวาส!N165"")+IMPORTRANGE(""https://docs.google.com/spreadsheets/d/1SDNX3JhDdYRuIOsj0Wh2M-Qa_eaXl0NbWmh"&amp;"AOTbfQAs/edit?usp=sharing"",""ปัตตานี!N165"")+IMPORTRANGE(""https://docs.google.com/spreadsheets/d/16JDLGguT8s5DsGCND1KcwHP_AWR_zDMTqLHPLJUKhaU/edit?usp=sharing"",""พังงา!N165"")+IMPORTRANGE(""https://docs.google.com/spreadsheets/d/17ht0gPKzzT3PObBL1XJkeR"&amp;"mntBXI7wGjpLV7QorqlTk/edit?usp=sharing"",""พัทลุง!N165"")+IMPORTRANGE(""https://docs.google.com/spreadsheets/d/1rd4qoM1q_hsgaolqNGfrim9gbsoLxQsda4-vOz5x_BM/edit?usp=sharing"",""ภูเก็ต!N165"")+IMPORTRANGE(""https://docs.google.com/spreadsheets/d/1woKwKjgoL"&amp;"ssDvPcPeVyezB5izizAn4X1JDrys69n6xI/edit?usp=sharing"",""ยะลา!N165"")+IMPORTRANGE(""https://docs.google.com/spreadsheets/d/1qfrKjzMhm2HJfxQ-qVlJlJQ25Hne1d0khsySbZyGtPA/edit?usp=sharing"",""ระนอง!N165"")+IMPORTRANGE(""https://docs.google.com/spreadsheets/d/"&amp;"1IbSCnFOKpZsnFogBHJnL_isstZVaOMnFiIN0fGTPZZw/edit?usp=sharing"",""สงขลา!N165"")+IMPORTRANGE(""https://docs.google.com/spreadsheets/d/1q9nWasZJ-K8bFGvbE9n0qSRuKGA4Toe3Y89cKCiVtCU/edit?usp=sharing"",""สตูล!N165"")+IMPORTRANGE(""https://docs.google.com/sprea"&amp;"dsheets/d/18T20gbkS_WBjdscyTOV05cvq_JqvqQ17C81mpxf7Ncs/edit?usp=sharing"",""สุราษฎร์ธานี!N165"")"),0)</f>
        <v>0</v>
      </c>
      <c r="O165" s="47">
        <f t="shared" ca="1" si="125"/>
        <v>0</v>
      </c>
      <c r="P165" s="47">
        <f t="shared" ca="1" si="126"/>
        <v>0</v>
      </c>
      <c r="Q165" s="47">
        <f ca="1">IFERROR(__xludf.DUMMYFUNCTION("IMPORTRANGE(""https://docs.google.com/spreadsheets/d/1kKUcYdkIfrgTSj8iHHHB2MD2FAtwyyocFgqGQn6ADyI/edit?usp=sharing"",""กระบี่!Q165"")+IMPORTRANGE(""https://docs.google.com/spreadsheets/d/1GwtLaSlNZkLk7iDqcyZz22giiy40b_usZZBXYciEN1U/edit?usp=sharing"",""ชุ"&amp;"มพร!Q165"")+IMPORTRANGE(""https://docs.google.com/spreadsheets/d/16pAz3pOhQEZBhvFNMa5KGgZS6iKWpsKX0pg6tQmwFpo/edit?usp=sharing"",""ตรัง!Q165"")+IMPORTRANGE(""https://docs.google.com/spreadsheets/d/1Dj4jcHCTV9JXKCaMoheSXS52JE63kDKyG7bPXnFogHk/edit?usp=shar"&amp;"ing"",""นครศรีธรรมราช!Q165"")+IMPORTRANGE(""https://docs.google.com/spreadsheets/d/1iodCdmuK2GR3jzUwk8tpccY2JHQQA-87DLOtJP-ooyU/edit?usp=sharing"",""นราธิวาส!Q165"")+IMPORTRANGE(""https://docs.google.com/spreadsheets/d/1SDNX3JhDdYRuIOsj0Wh2M-Qa_eaXl0NbWmh"&amp;"AOTbfQAs/edit?usp=sharing"",""ปัตตานี!Q165"")+IMPORTRANGE(""https://docs.google.com/spreadsheets/d/16JDLGguT8s5DsGCND1KcwHP_AWR_zDMTqLHPLJUKhaU/edit?usp=sharing"",""พังงา!Q165"")+IMPORTRANGE(""https://docs.google.com/spreadsheets/d/17ht0gPKzzT3PObBL1XJkeR"&amp;"mntBXI7wGjpLV7QorqlTk/edit?usp=sharing"",""พัทลุง!Q165"")+IMPORTRANGE(""https://docs.google.com/spreadsheets/d/1rd4qoM1q_hsgaolqNGfrim9gbsoLxQsda4-vOz5x_BM/edit?usp=sharing"",""ภูเก็ต!Q165"")+IMPORTRANGE(""https://docs.google.com/spreadsheets/d/1woKwKjgoL"&amp;"ssDvPcPeVyezB5izizAn4X1JDrys69n6xI/edit?usp=sharing"",""ยะลา!Q165"")+IMPORTRANGE(""https://docs.google.com/spreadsheets/d/1qfrKjzMhm2HJfxQ-qVlJlJQ25Hne1d0khsySbZyGtPA/edit?usp=sharing"",""ระนอง!Q165"")+IMPORTRANGE(""https://docs.google.com/spreadsheets/d/"&amp;"1IbSCnFOKpZsnFogBHJnL_isstZVaOMnFiIN0fGTPZZw/edit?usp=sharing"",""สงขลา!Q165"")+IMPORTRANGE(""https://docs.google.com/spreadsheets/d/1q9nWasZJ-K8bFGvbE9n0qSRuKGA4Toe3Y89cKCiVtCU/edit?usp=sharing"",""สตูล!Q165"")+IMPORTRANGE(""https://docs.google.com/sprea"&amp;"dsheets/d/18T20gbkS_WBjdscyTOV05cvq_JqvqQ17C81mpxf7Ncs/edit?usp=sharing"",""สุราษฎร์ธานี!Q165"")"),0)</f>
        <v>0</v>
      </c>
      <c r="R165" s="47">
        <f ca="1">IFERROR(__xludf.DUMMYFUNCTION("IMPORTRANGE(""https://docs.google.com/spreadsheets/d/1kKUcYdkIfrgTSj8iHHHB2MD2FAtwyyocFgqGQn6ADyI/edit?usp=sharing"",""กระบี่!R165"")+IMPORTRANGE(""https://docs.google.com/spreadsheets/d/1GwtLaSlNZkLk7iDqcyZz22giiy40b_usZZBXYciEN1U/edit?usp=sharing"",""ชุ"&amp;"มพร!R165"")+IMPORTRANGE(""https://docs.google.com/spreadsheets/d/16pAz3pOhQEZBhvFNMa5KGgZS6iKWpsKX0pg6tQmwFpo/edit?usp=sharing"",""ตรัง!R165"")+IMPORTRANGE(""https://docs.google.com/spreadsheets/d/1Dj4jcHCTV9JXKCaMoheSXS52JE63kDKyG7bPXnFogHk/edit?usp=shar"&amp;"ing"",""นครศรีธรรมราช!R165"")+IMPORTRANGE(""https://docs.google.com/spreadsheets/d/1iodCdmuK2GR3jzUwk8tpccY2JHQQA-87DLOtJP-ooyU/edit?usp=sharing"",""นราธิวาส!R165"")+IMPORTRANGE(""https://docs.google.com/spreadsheets/d/1SDNX3JhDdYRuIOsj0Wh2M-Qa_eaXl0NbWmh"&amp;"AOTbfQAs/edit?usp=sharing"",""ปัตตานี!R165"")+IMPORTRANGE(""https://docs.google.com/spreadsheets/d/16JDLGguT8s5DsGCND1KcwHP_AWR_zDMTqLHPLJUKhaU/edit?usp=sharing"",""พังงา!R165"")+IMPORTRANGE(""https://docs.google.com/spreadsheets/d/17ht0gPKzzT3PObBL1XJkeR"&amp;"mntBXI7wGjpLV7QorqlTk/edit?usp=sharing"",""พัทลุง!R165"")+IMPORTRANGE(""https://docs.google.com/spreadsheets/d/1rd4qoM1q_hsgaolqNGfrim9gbsoLxQsda4-vOz5x_BM/edit?usp=sharing"",""ภูเก็ต!R165"")+IMPORTRANGE(""https://docs.google.com/spreadsheets/d/1woKwKjgoL"&amp;"ssDvPcPeVyezB5izizAn4X1JDrys69n6xI/edit?usp=sharing"",""ยะลา!R165"")+IMPORTRANGE(""https://docs.google.com/spreadsheets/d/1qfrKjzMhm2HJfxQ-qVlJlJQ25Hne1d0khsySbZyGtPA/edit?usp=sharing"",""ระนอง!R165"")+IMPORTRANGE(""https://docs.google.com/spreadsheets/d/"&amp;"1IbSCnFOKpZsnFogBHJnL_isstZVaOMnFiIN0fGTPZZw/edit?usp=sharing"",""สงขลา!R165"")+IMPORTRANGE(""https://docs.google.com/spreadsheets/d/1q9nWasZJ-K8bFGvbE9n0qSRuKGA4Toe3Y89cKCiVtCU/edit?usp=sharing"",""สตูล!R165"")+IMPORTRANGE(""https://docs.google.com/sprea"&amp;"dsheets/d/18T20gbkS_WBjdscyTOV05cvq_JqvqQ17C81mpxf7Ncs/edit?usp=sharing"",""สุราษฎร์ธานี!R165"")"),0)</f>
        <v>0</v>
      </c>
      <c r="S165" s="47">
        <f ca="1">IFERROR(__xludf.DUMMYFUNCTION("IMPORTRANGE(""https://docs.google.com/spreadsheets/d/1kKUcYdkIfrgTSj8iHHHB2MD2FAtwyyocFgqGQn6ADyI/edit?usp=sharing"",""กระบี่!S165"")+IMPORTRANGE(""https://docs.google.com/spreadsheets/d/1GwtLaSlNZkLk7iDqcyZz22giiy40b_usZZBXYciEN1U/edit?usp=sharing"",""ชุ"&amp;"มพร!S165"")+IMPORTRANGE(""https://docs.google.com/spreadsheets/d/16pAz3pOhQEZBhvFNMa5KGgZS6iKWpsKX0pg6tQmwFpo/edit?usp=sharing"",""ตรัง!S165"")+IMPORTRANGE(""https://docs.google.com/spreadsheets/d/1Dj4jcHCTV9JXKCaMoheSXS52JE63kDKyG7bPXnFogHk/edit?usp=shar"&amp;"ing"",""นครศรีธรรมราช!S165"")+IMPORTRANGE(""https://docs.google.com/spreadsheets/d/1iodCdmuK2GR3jzUwk8tpccY2JHQQA-87DLOtJP-ooyU/edit?usp=sharing"",""นราธิวาส!S165"")+IMPORTRANGE(""https://docs.google.com/spreadsheets/d/1SDNX3JhDdYRuIOsj0Wh2M-Qa_eaXl0NbWmh"&amp;"AOTbfQAs/edit?usp=sharing"",""ปัตตานี!S165"")+IMPORTRANGE(""https://docs.google.com/spreadsheets/d/16JDLGguT8s5DsGCND1KcwHP_AWR_zDMTqLHPLJUKhaU/edit?usp=sharing"",""พังงา!S165"")+IMPORTRANGE(""https://docs.google.com/spreadsheets/d/17ht0gPKzzT3PObBL1XJkeR"&amp;"mntBXI7wGjpLV7QorqlTk/edit?usp=sharing"",""พัทลุง!S165"")+IMPORTRANGE(""https://docs.google.com/spreadsheets/d/1rd4qoM1q_hsgaolqNGfrim9gbsoLxQsda4-vOz5x_BM/edit?usp=sharing"",""ภูเก็ต!S165"")+IMPORTRANGE(""https://docs.google.com/spreadsheets/d/1woKwKjgoL"&amp;"ssDvPcPeVyezB5izizAn4X1JDrys69n6xI/edit?usp=sharing"",""ยะลา!S165"")+IMPORTRANGE(""https://docs.google.com/spreadsheets/d/1qfrKjzMhm2HJfxQ-qVlJlJQ25Hne1d0khsySbZyGtPA/edit?usp=sharing"",""ระนอง!S165"")+IMPORTRANGE(""https://docs.google.com/spreadsheets/d/"&amp;"1IbSCnFOKpZsnFogBHJnL_isstZVaOMnFiIN0fGTPZZw/edit?usp=sharing"",""สงขลา!S165"")+IMPORTRANGE(""https://docs.google.com/spreadsheets/d/1q9nWasZJ-K8bFGvbE9n0qSRuKGA4Toe3Y89cKCiVtCU/edit?usp=sharing"",""สตูล!S165"")+IMPORTRANGE(""https://docs.google.com/sprea"&amp;"dsheets/d/18T20gbkS_WBjdscyTOV05cvq_JqvqQ17C81mpxf7Ncs/edit?usp=sharing"",""สุราษฎร์ธานี!S165"")"),0)</f>
        <v>0</v>
      </c>
      <c r="T165" s="47">
        <f t="shared" ca="1" si="128"/>
        <v>0</v>
      </c>
      <c r="U165" s="47">
        <f t="shared" ca="1" si="129"/>
        <v>0</v>
      </c>
    </row>
    <row r="166" spans="1:21" ht="19.5" x14ac:dyDescent="0.3">
      <c r="A166" s="138"/>
      <c r="B166" s="139"/>
      <c r="C166" s="129" t="s">
        <v>18</v>
      </c>
      <c r="D166" s="140" t="s">
        <v>38</v>
      </c>
      <c r="E166" s="141"/>
      <c r="F166" s="141"/>
      <c r="G166" s="142"/>
      <c r="H166" s="189"/>
      <c r="I166" s="45"/>
      <c r="J166" s="45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kKUcYdkIfrgTSj8iHHHB2MD2FAtwyyocFgqGQn6ADyI/edit?usp=sharing"",""กระบี่!I167"")+IMPORTRANGE(""https://docs.google.com/spreadsheets/d/1GwtLaSlNZkLk7iDqcyZz22giiy40b_usZZBXYciEN1U/edit?usp=sharing"",""ชุ"&amp;"มพร!I167"")+IMPORTRANGE(""https://docs.google.com/spreadsheets/d/16pAz3pOhQEZBhvFNMa5KGgZS6iKWpsKX0pg6tQmwFpo/edit?usp=sharing"",""ตรัง!I167"")+IMPORTRANGE(""https://docs.google.com/spreadsheets/d/1Dj4jcHCTV9JXKCaMoheSXS52JE63kDKyG7bPXnFogHk/edit?usp=shar"&amp;"ing"",""นครศรีธรรมราช!I167"")+IMPORTRANGE(""https://docs.google.com/spreadsheets/d/1iodCdmuK2GR3jzUwk8tpccY2JHQQA-87DLOtJP-ooyU/edit?usp=sharing"",""นราธิวาส!I167"")+IMPORTRANGE(""https://docs.google.com/spreadsheets/d/1SDNX3JhDdYRuIOsj0Wh2M-Qa_eaXl0NbWmh"&amp;"AOTbfQAs/edit?usp=sharing"",""ปัตตานี!I167"")+IMPORTRANGE(""https://docs.google.com/spreadsheets/d/16JDLGguT8s5DsGCND1KcwHP_AWR_zDMTqLHPLJUKhaU/edit?usp=sharing"",""พังงา!I167"")+IMPORTRANGE(""https://docs.google.com/spreadsheets/d/17ht0gPKzzT3PObBL1XJkeR"&amp;"mntBXI7wGjpLV7QorqlTk/edit?usp=sharing"",""พัทลุง!I167"")+IMPORTRANGE(""https://docs.google.com/spreadsheets/d/1rd4qoM1q_hsgaolqNGfrim9gbsoLxQsda4-vOz5x_BM/edit?usp=sharing"",""ภูเก็ต!I167"")+IMPORTRANGE(""https://docs.google.com/spreadsheets/d/1woKwKjgoL"&amp;"ssDvPcPeVyezB5izizAn4X1JDrys69n6xI/edit?usp=sharing"",""ยะลา!I167"")+IMPORTRANGE(""https://docs.google.com/spreadsheets/d/1qfrKjzMhm2HJfxQ-qVlJlJQ25Hne1d0khsySbZyGtPA/edit?usp=sharing"",""ระนอง!I167"")+IMPORTRANGE(""https://docs.google.com/spreadsheets/d/"&amp;"1IbSCnFOKpZsnFogBHJnL_isstZVaOMnFiIN0fGTPZZw/edit?usp=sharing"",""สงขลา!I167"")+IMPORTRANGE(""https://docs.google.com/spreadsheets/d/1q9nWasZJ-K8bFGvbE9n0qSRuKGA4Toe3Y89cKCiVtCU/edit?usp=sharing"",""สตูล!I167"")+IMPORTRANGE(""https://docs.google.com/sprea"&amp;"dsheets/d/18T20gbkS_WBjdscyTOV05cvq_JqvqQ17C81mpxf7Ncs/edit?usp=sharing"",""สุราษฎร์ธานี!I167"")"),30)</f>
        <v>30</v>
      </c>
      <c r="J167" s="152">
        <f ca="1">IFERROR(__xludf.DUMMYFUNCTION("IMPORTRANGE(""https://docs.google.com/spreadsheets/d/1kKUcYdkIfrgTSj8iHHHB2MD2FAtwyyocFgqGQn6ADyI/edit?usp=sharing"",""กระบี่!J167"")+IMPORTRANGE(""https://docs.google.com/spreadsheets/d/1GwtLaSlNZkLk7iDqcyZz22giiy40b_usZZBXYciEN1U/edit?usp=sharing"",""ชุ"&amp;"มพร!J167"")+IMPORTRANGE(""https://docs.google.com/spreadsheets/d/16pAz3pOhQEZBhvFNMa5KGgZS6iKWpsKX0pg6tQmwFpo/edit?usp=sharing"",""ตรัง!J167"")+IMPORTRANGE(""https://docs.google.com/spreadsheets/d/1Dj4jcHCTV9JXKCaMoheSXS52JE63kDKyG7bPXnFogHk/edit?usp=shar"&amp;"ing"",""นครศรีธรรมราช!J167"")+IMPORTRANGE(""https://docs.google.com/spreadsheets/d/1iodCdmuK2GR3jzUwk8tpccY2JHQQA-87DLOtJP-ooyU/edit?usp=sharing"",""นราธิวาส!J167"")+IMPORTRANGE(""https://docs.google.com/spreadsheets/d/1SDNX3JhDdYRuIOsj0Wh2M-Qa_eaXl0NbWmh"&amp;"AOTbfQAs/edit?usp=sharing"",""ปัตตานี!J167"")+IMPORTRANGE(""https://docs.google.com/spreadsheets/d/16JDLGguT8s5DsGCND1KcwHP_AWR_zDMTqLHPLJUKhaU/edit?usp=sharing"",""พังงา!J167"")+IMPORTRANGE(""https://docs.google.com/spreadsheets/d/17ht0gPKzzT3PObBL1XJkeR"&amp;"mntBXI7wGjpLV7QorqlTk/edit?usp=sharing"",""พัทลุง!J167"")+IMPORTRANGE(""https://docs.google.com/spreadsheets/d/1rd4qoM1q_hsgaolqNGfrim9gbsoLxQsda4-vOz5x_BM/edit?usp=sharing"",""ภูเก็ต!J167"")+IMPORTRANGE(""https://docs.google.com/spreadsheets/d/1woKwKjgoL"&amp;"ssDvPcPeVyezB5izizAn4X1JDrys69n6xI/edit?usp=sharing"",""ยะลา!J167"")+IMPORTRANGE(""https://docs.google.com/spreadsheets/d/1qfrKjzMhm2HJfxQ-qVlJlJQ25Hne1d0khsySbZyGtPA/edit?usp=sharing"",""ระนอง!J167"")+IMPORTRANGE(""https://docs.google.com/spreadsheets/d/"&amp;"1IbSCnFOKpZsnFogBHJnL_isstZVaOMnFiIN0fGTPZZw/edit?usp=sharing"",""สงขลา!J167"")+IMPORTRANGE(""https://docs.google.com/spreadsheets/d/1q9nWasZJ-K8bFGvbE9n0qSRuKGA4Toe3Y89cKCiVtCU/edit?usp=sharing"",""สตูล!J167"")+IMPORTRANGE(""https://docs.google.com/sprea"&amp;"dsheets/d/18T20gbkS_WBjdscyTOV05cvq_JqvqQ17C81mpxf7Ncs/edit?usp=sharing"",""สุราษฎร์ธานี!J167"")"),42)</f>
        <v>42</v>
      </c>
      <c r="K167" s="47">
        <f t="shared" ref="K167:K169" ca="1" si="138">IF(I167&gt;0,J167*100/I167,0)</f>
        <v>140</v>
      </c>
      <c r="L167" s="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48" t="s">
        <v>70</v>
      </c>
      <c r="E168" s="41"/>
      <c r="F168" s="41"/>
      <c r="G168" s="43"/>
      <c r="H168" s="137" t="s">
        <v>35</v>
      </c>
      <c r="I168" s="152">
        <f t="shared" ref="I168:I169" ca="1" si="139">I167</f>
        <v>30</v>
      </c>
      <c r="J168" s="152">
        <v>0</v>
      </c>
      <c r="K168" s="47">
        <f t="shared" ca="1" si="138"/>
        <v>0</v>
      </c>
      <c r="L168" s="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52" t="s">
        <v>71</v>
      </c>
      <c r="E169" s="1"/>
      <c r="F169" s="1"/>
      <c r="G169" s="53"/>
      <c r="H169" s="196" t="s">
        <v>35</v>
      </c>
      <c r="I169" s="197">
        <f t="shared" ca="1" si="139"/>
        <v>30</v>
      </c>
      <c r="J169" s="197">
        <v>0</v>
      </c>
      <c r="K169" s="111">
        <f t="shared" ca="1" si="138"/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209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t="shared" ref="I172:J172" ca="1" si="140">I183+I184</f>
        <v>172</v>
      </c>
      <c r="J172" s="214">
        <f t="shared" ca="1" si="140"/>
        <v>77</v>
      </c>
      <c r="K172" s="215">
        <f ca="1">IF(I172&gt;0,J172*100/I172,0)</f>
        <v>44.767441860465119</v>
      </c>
      <c r="L172" s="216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129" t="s">
        <v>18</v>
      </c>
      <c r="D173" s="130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132">
        <f t="shared" ref="L173:N173" ca="1" si="141">L174+L175</f>
        <v>215490</v>
      </c>
      <c r="M173" s="132">
        <f t="shared" ca="1" si="141"/>
        <v>438690</v>
      </c>
      <c r="N173" s="132">
        <f t="shared" ca="1" si="141"/>
        <v>431266</v>
      </c>
      <c r="O173" s="132">
        <f t="shared" ref="O173:O181" ca="1" si="142">IF(L173&gt;0,N173*100/L173,0)</f>
        <v>200.13272077590608</v>
      </c>
      <c r="P173" s="132">
        <f t="shared" ref="P173:P181" ca="1" si="143">IF(M173&gt;0,N173*100/M173,0)</f>
        <v>98.307688800747684</v>
      </c>
      <c r="Q173" s="132">
        <f t="shared" ref="Q173:S173" ca="1" si="144">Q174+Q175</f>
        <v>0</v>
      </c>
      <c r="R173" s="132">
        <f t="shared" ca="1" si="144"/>
        <v>0</v>
      </c>
      <c r="S173" s="132">
        <f t="shared" ca="1" si="144"/>
        <v>0</v>
      </c>
      <c r="T173" s="132">
        <f t="shared" ref="T173:T181" ca="1" si="145">IF(Q173&gt;0,S173*100/Q173,0)</f>
        <v>0</v>
      </c>
      <c r="U173" s="132">
        <f t="shared" ref="U173:U181" ca="1" si="146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48" t="s">
        <v>20</v>
      </c>
      <c r="F174" s="41"/>
      <c r="G174" s="43"/>
      <c r="H174" s="133" t="s">
        <v>14</v>
      </c>
      <c r="I174" s="45"/>
      <c r="J174" s="45"/>
      <c r="K174" s="46"/>
      <c r="L174" s="47">
        <f t="shared" ref="L174:N174" ca="1" si="147">L177+L180</f>
        <v>0</v>
      </c>
      <c r="M174" s="47">
        <f t="shared" ca="1" si="147"/>
        <v>0</v>
      </c>
      <c r="N174" s="47">
        <f t="shared" ca="1" si="147"/>
        <v>0</v>
      </c>
      <c r="O174" s="47">
        <f t="shared" ca="1" si="142"/>
        <v>0</v>
      </c>
      <c r="P174" s="47">
        <f t="shared" ca="1" si="143"/>
        <v>0</v>
      </c>
      <c r="Q174" s="47">
        <f t="shared" ref="Q174:S174" ca="1" si="148">Q177+Q180</f>
        <v>0</v>
      </c>
      <c r="R174" s="47">
        <f t="shared" ca="1" si="148"/>
        <v>0</v>
      </c>
      <c r="S174" s="47">
        <f t="shared" ca="1" si="148"/>
        <v>0</v>
      </c>
      <c r="T174" s="49">
        <f t="shared" ca="1" si="145"/>
        <v>0</v>
      </c>
      <c r="U174" s="49">
        <f t="shared" ca="1" si="146"/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47">
        <f t="shared" ref="L175:N175" ca="1" si="149">L178+L181</f>
        <v>215490</v>
      </c>
      <c r="M175" s="47">
        <f t="shared" ca="1" si="149"/>
        <v>438690</v>
      </c>
      <c r="N175" s="47">
        <f t="shared" ca="1" si="149"/>
        <v>431266</v>
      </c>
      <c r="O175" s="47">
        <f t="shared" ca="1" si="142"/>
        <v>200.13272077590608</v>
      </c>
      <c r="P175" s="47">
        <f t="shared" ca="1" si="143"/>
        <v>98.307688800747684</v>
      </c>
      <c r="Q175" s="47">
        <f t="shared" ref="Q175:S175" ca="1" si="150">Q178+Q181</f>
        <v>0</v>
      </c>
      <c r="R175" s="47">
        <f t="shared" ca="1" si="150"/>
        <v>0</v>
      </c>
      <c r="S175" s="47">
        <f t="shared" ca="1" si="150"/>
        <v>0</v>
      </c>
      <c r="T175" s="47">
        <f t="shared" ca="1" si="145"/>
        <v>0</v>
      </c>
      <c r="U175" s="47">
        <f t="shared" ca="1" si="146"/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47">
        <f t="shared" ref="L176:N176" ca="1" si="151">L177+L178</f>
        <v>215490</v>
      </c>
      <c r="M176" s="47">
        <f t="shared" ca="1" si="151"/>
        <v>438690</v>
      </c>
      <c r="N176" s="47">
        <f t="shared" ca="1" si="151"/>
        <v>431266</v>
      </c>
      <c r="O176" s="47">
        <f t="shared" ca="1" si="142"/>
        <v>200.13272077590608</v>
      </c>
      <c r="P176" s="47">
        <f t="shared" ca="1" si="143"/>
        <v>98.307688800747684</v>
      </c>
      <c r="Q176" s="47">
        <f t="shared" ref="Q176:S176" ca="1" si="152">Q177+Q178</f>
        <v>0</v>
      </c>
      <c r="R176" s="47">
        <f t="shared" ca="1" si="152"/>
        <v>0</v>
      </c>
      <c r="S176" s="47">
        <f t="shared" ca="1" si="152"/>
        <v>0</v>
      </c>
      <c r="T176" s="47">
        <f t="shared" ca="1" si="145"/>
        <v>0</v>
      </c>
      <c r="U176" s="47">
        <f t="shared" ca="1" si="146"/>
        <v>0</v>
      </c>
    </row>
    <row r="177" spans="1:21" ht="18.75" hidden="1" x14ac:dyDescent="0.25">
      <c r="A177" s="128"/>
      <c r="B177" s="41"/>
      <c r="C177" s="41"/>
      <c r="D177" s="41"/>
      <c r="E177" s="48" t="s">
        <v>36</v>
      </c>
      <c r="F177" s="41"/>
      <c r="G177" s="43"/>
      <c r="H177" s="134" t="s">
        <v>14</v>
      </c>
      <c r="I177" s="135"/>
      <c r="J177" s="135"/>
      <c r="K177" s="136"/>
      <c r="L177" s="47">
        <f ca="1">IFERROR(__xludf.DUMMYFUNCTION("IMPORTRANGE(""https://docs.google.com/spreadsheets/d/1kKUcYdkIfrgTSj8iHHHB2MD2FAtwyyocFgqGQn6ADyI/edit?usp=sharing"",""กระบี่!L177"")+IMPORTRANGE(""https://docs.google.com/spreadsheets/d/1GwtLaSlNZkLk7iDqcyZz22giiy40b_usZZBXYciEN1U/edit?usp=sharing"",""ชุ"&amp;"มพร!L177"")+IMPORTRANGE(""https://docs.google.com/spreadsheets/d/16pAz3pOhQEZBhvFNMa5KGgZS6iKWpsKX0pg6tQmwFpo/edit?usp=sharing"",""ตรัง!L177"")+IMPORTRANGE(""https://docs.google.com/spreadsheets/d/1Dj4jcHCTV9JXKCaMoheSXS52JE63kDKyG7bPXnFogHk/edit?usp=shar"&amp;"ing"",""นครศรีธรรมราช!L177"")+IMPORTRANGE(""https://docs.google.com/spreadsheets/d/1iodCdmuK2GR3jzUwk8tpccY2JHQQA-87DLOtJP-ooyU/edit?usp=sharing"",""นราธิวาส!L177"")+IMPORTRANGE(""https://docs.google.com/spreadsheets/d/1SDNX3JhDdYRuIOsj0Wh2M-Qa_eaXl0NbWmh"&amp;"AOTbfQAs/edit?usp=sharing"",""ปัตตานี!L177"")+IMPORTRANGE(""https://docs.google.com/spreadsheets/d/16JDLGguT8s5DsGCND1KcwHP_AWR_zDMTqLHPLJUKhaU/edit?usp=sharing"",""พังงา!L177"")+IMPORTRANGE(""https://docs.google.com/spreadsheets/d/17ht0gPKzzT3PObBL1XJkeR"&amp;"mntBXI7wGjpLV7QorqlTk/edit?usp=sharing"",""พัทลุง!L177"")+IMPORTRANGE(""https://docs.google.com/spreadsheets/d/1rd4qoM1q_hsgaolqNGfrim9gbsoLxQsda4-vOz5x_BM/edit?usp=sharing"",""ภูเก็ต!L177"")+IMPORTRANGE(""https://docs.google.com/spreadsheets/d/1woKwKjgoL"&amp;"ssDvPcPeVyezB5izizAn4X1JDrys69n6xI/edit?usp=sharing"",""ยะลา!L177"")+IMPORTRANGE(""https://docs.google.com/spreadsheets/d/1qfrKjzMhm2HJfxQ-qVlJlJQ25Hne1d0khsySbZyGtPA/edit?usp=sharing"",""ระนอง!L177"")+IMPORTRANGE(""https://docs.google.com/spreadsheets/d/"&amp;"1IbSCnFOKpZsnFogBHJnL_isstZVaOMnFiIN0fGTPZZw/edit?usp=sharing"",""สงขลา!L177"")+IMPORTRANGE(""https://docs.google.com/spreadsheets/d/1q9nWasZJ-K8bFGvbE9n0qSRuKGA4Toe3Y89cKCiVtCU/edit?usp=sharing"",""สตูล!L177"")+IMPORTRANGE(""https://docs.google.com/sprea"&amp;"dsheets/d/18T20gbkS_WBjdscyTOV05cvq_JqvqQ17C81mpxf7Ncs/edit?usp=sharing"",""สุราษฎร์ธานี!L177"")"),0)</f>
        <v>0</v>
      </c>
      <c r="M177" s="47">
        <f ca="1">IFERROR(__xludf.DUMMYFUNCTION("IMPORTRANGE(""https://docs.google.com/spreadsheets/d/1kKUcYdkIfrgTSj8iHHHB2MD2FAtwyyocFgqGQn6ADyI/edit?usp=sharing"",""กระบี่!M177"")+IMPORTRANGE(""https://docs.google.com/spreadsheets/d/1GwtLaSlNZkLk7iDqcyZz22giiy40b_usZZBXYciEN1U/edit?usp=sharing"",""ชุ"&amp;"มพร!M177"")+IMPORTRANGE(""https://docs.google.com/spreadsheets/d/16pAz3pOhQEZBhvFNMa5KGgZS6iKWpsKX0pg6tQmwFpo/edit?usp=sharing"",""ตรัง!M177"")+IMPORTRANGE(""https://docs.google.com/spreadsheets/d/1Dj4jcHCTV9JXKCaMoheSXS52JE63kDKyG7bPXnFogHk/edit?usp=shar"&amp;"ing"",""นครศรีธรรมราช!M177"")+IMPORTRANGE(""https://docs.google.com/spreadsheets/d/1iodCdmuK2GR3jzUwk8tpccY2JHQQA-87DLOtJP-ooyU/edit?usp=sharing"",""นราธิวาส!M177"")+IMPORTRANGE(""https://docs.google.com/spreadsheets/d/1SDNX3JhDdYRuIOsj0Wh2M-Qa_eaXl0NbWmh"&amp;"AOTbfQAs/edit?usp=sharing"",""ปัตตานี!M177"")+IMPORTRANGE(""https://docs.google.com/spreadsheets/d/16JDLGguT8s5DsGCND1KcwHP_AWR_zDMTqLHPLJUKhaU/edit?usp=sharing"",""พังงา!M177"")+IMPORTRANGE(""https://docs.google.com/spreadsheets/d/17ht0gPKzzT3PObBL1XJkeR"&amp;"mntBXI7wGjpLV7QorqlTk/edit?usp=sharing"",""พัทลุง!M177"")+IMPORTRANGE(""https://docs.google.com/spreadsheets/d/1rd4qoM1q_hsgaolqNGfrim9gbsoLxQsda4-vOz5x_BM/edit?usp=sharing"",""ภูเก็ต!M177"")+IMPORTRANGE(""https://docs.google.com/spreadsheets/d/1woKwKjgoL"&amp;"ssDvPcPeVyezB5izizAn4X1JDrys69n6xI/edit?usp=sharing"",""ยะลา!M177"")+IMPORTRANGE(""https://docs.google.com/spreadsheets/d/1qfrKjzMhm2HJfxQ-qVlJlJQ25Hne1d0khsySbZyGtPA/edit?usp=sharing"",""ระนอง!M177"")+IMPORTRANGE(""https://docs.google.com/spreadsheets/d/"&amp;"1IbSCnFOKpZsnFogBHJnL_isstZVaOMnFiIN0fGTPZZw/edit?usp=sharing"",""สงขลา!M177"")+IMPORTRANGE(""https://docs.google.com/spreadsheets/d/1q9nWasZJ-K8bFGvbE9n0qSRuKGA4Toe3Y89cKCiVtCU/edit?usp=sharing"",""สตูล!M177"")+IMPORTRANGE(""https://docs.google.com/sprea"&amp;"dsheets/d/18T20gbkS_WBjdscyTOV05cvq_JqvqQ17C81mpxf7Ncs/edit?usp=sharing"",""สุราษฎร์ธานี!M177"")"),0)</f>
        <v>0</v>
      </c>
      <c r="N177" s="47">
        <f ca="1">IFERROR(__xludf.DUMMYFUNCTION("IMPORTRANGE(""https://docs.google.com/spreadsheets/d/1kKUcYdkIfrgTSj8iHHHB2MD2FAtwyyocFgqGQn6ADyI/edit?usp=sharing"",""กระบี่!N177"")+IMPORTRANGE(""https://docs.google.com/spreadsheets/d/1GwtLaSlNZkLk7iDqcyZz22giiy40b_usZZBXYciEN1U/edit?usp=sharing"",""ชุ"&amp;"มพร!N177"")+IMPORTRANGE(""https://docs.google.com/spreadsheets/d/16pAz3pOhQEZBhvFNMa5KGgZS6iKWpsKX0pg6tQmwFpo/edit?usp=sharing"",""ตรัง!N177"")+IMPORTRANGE(""https://docs.google.com/spreadsheets/d/1Dj4jcHCTV9JXKCaMoheSXS52JE63kDKyG7bPXnFogHk/edit?usp=shar"&amp;"ing"",""นครศรีธรรมราช!N177"")+IMPORTRANGE(""https://docs.google.com/spreadsheets/d/1iodCdmuK2GR3jzUwk8tpccY2JHQQA-87DLOtJP-ooyU/edit?usp=sharing"",""นราธิวาส!N177"")+IMPORTRANGE(""https://docs.google.com/spreadsheets/d/1SDNX3JhDdYRuIOsj0Wh2M-Qa_eaXl0NbWmh"&amp;"AOTbfQAs/edit?usp=sharing"",""ปัตตานี!N177"")+IMPORTRANGE(""https://docs.google.com/spreadsheets/d/16JDLGguT8s5DsGCND1KcwHP_AWR_zDMTqLHPLJUKhaU/edit?usp=sharing"",""พังงา!N177"")+IMPORTRANGE(""https://docs.google.com/spreadsheets/d/17ht0gPKzzT3PObBL1XJkeR"&amp;"mntBXI7wGjpLV7QorqlTk/edit?usp=sharing"",""พัทลุง!N177"")+IMPORTRANGE(""https://docs.google.com/spreadsheets/d/1rd4qoM1q_hsgaolqNGfrim9gbsoLxQsda4-vOz5x_BM/edit?usp=sharing"",""ภูเก็ต!N177"")+IMPORTRANGE(""https://docs.google.com/spreadsheets/d/1woKwKjgoL"&amp;"ssDvPcPeVyezB5izizAn4X1JDrys69n6xI/edit?usp=sharing"",""ยะลา!N177"")+IMPORTRANGE(""https://docs.google.com/spreadsheets/d/1qfrKjzMhm2HJfxQ-qVlJlJQ25Hne1d0khsySbZyGtPA/edit?usp=sharing"",""ระนอง!N177"")+IMPORTRANGE(""https://docs.google.com/spreadsheets/d/"&amp;"1IbSCnFOKpZsnFogBHJnL_isstZVaOMnFiIN0fGTPZZw/edit?usp=sharing"",""สงขลา!N177"")+IMPORTRANGE(""https://docs.google.com/spreadsheets/d/1q9nWasZJ-K8bFGvbE9n0qSRuKGA4Toe3Y89cKCiVtCU/edit?usp=sharing"",""สตูล!N177"")+IMPORTRANGE(""https://docs.google.com/sprea"&amp;"dsheets/d/18T20gbkS_WBjdscyTOV05cvq_JqvqQ17C81mpxf7Ncs/edit?usp=sharing"",""สุราษฎร์ธานี!N177"")"),0)</f>
        <v>0</v>
      </c>
      <c r="O177" s="47">
        <f t="shared" ca="1" si="142"/>
        <v>0</v>
      </c>
      <c r="P177" s="47">
        <f t="shared" ca="1" si="143"/>
        <v>0</v>
      </c>
      <c r="Q177" s="47">
        <f ca="1">IFERROR(__xludf.DUMMYFUNCTION("IMPORTRANGE(""https://docs.google.com/spreadsheets/d/1kKUcYdkIfrgTSj8iHHHB2MD2FAtwyyocFgqGQn6ADyI/edit?usp=sharing"",""กระบี่!Q177"")+IMPORTRANGE(""https://docs.google.com/spreadsheets/d/1GwtLaSlNZkLk7iDqcyZz22giiy40b_usZZBXYciEN1U/edit?usp=sharing"",""ชุ"&amp;"มพร!Q177"")+IMPORTRANGE(""https://docs.google.com/spreadsheets/d/16pAz3pOhQEZBhvFNMa5KGgZS6iKWpsKX0pg6tQmwFpo/edit?usp=sharing"",""ตรัง!Q177"")+IMPORTRANGE(""https://docs.google.com/spreadsheets/d/1Dj4jcHCTV9JXKCaMoheSXS52JE63kDKyG7bPXnFogHk/edit?usp=shar"&amp;"ing"",""นครศรีธรรมราช!Q177"")+IMPORTRANGE(""https://docs.google.com/spreadsheets/d/1iodCdmuK2GR3jzUwk8tpccY2JHQQA-87DLOtJP-ooyU/edit?usp=sharing"",""นราธิวาส!Q177"")+IMPORTRANGE(""https://docs.google.com/spreadsheets/d/1SDNX3JhDdYRuIOsj0Wh2M-Qa_eaXl0NbWmh"&amp;"AOTbfQAs/edit?usp=sharing"",""ปัตตานี!Q177"")+IMPORTRANGE(""https://docs.google.com/spreadsheets/d/16JDLGguT8s5DsGCND1KcwHP_AWR_zDMTqLHPLJUKhaU/edit?usp=sharing"",""พังงา!Q177"")+IMPORTRANGE(""https://docs.google.com/spreadsheets/d/17ht0gPKzzT3PObBL1XJkeR"&amp;"mntBXI7wGjpLV7QorqlTk/edit?usp=sharing"",""พัทลุง!Q177"")+IMPORTRANGE(""https://docs.google.com/spreadsheets/d/1rd4qoM1q_hsgaolqNGfrim9gbsoLxQsda4-vOz5x_BM/edit?usp=sharing"",""ภูเก็ต!Q177"")+IMPORTRANGE(""https://docs.google.com/spreadsheets/d/1woKwKjgoL"&amp;"ssDvPcPeVyezB5izizAn4X1JDrys69n6xI/edit?usp=sharing"",""ยะลา!Q177"")+IMPORTRANGE(""https://docs.google.com/spreadsheets/d/1qfrKjzMhm2HJfxQ-qVlJlJQ25Hne1d0khsySbZyGtPA/edit?usp=sharing"",""ระนอง!Q177"")+IMPORTRANGE(""https://docs.google.com/spreadsheets/d/"&amp;"1IbSCnFOKpZsnFogBHJnL_isstZVaOMnFiIN0fGTPZZw/edit?usp=sharing"",""สงขลา!Q177"")+IMPORTRANGE(""https://docs.google.com/spreadsheets/d/1q9nWasZJ-K8bFGvbE9n0qSRuKGA4Toe3Y89cKCiVtCU/edit?usp=sharing"",""สตูล!Q177"")+IMPORTRANGE(""https://docs.google.com/sprea"&amp;"dsheets/d/18T20gbkS_WBjdscyTOV05cvq_JqvqQ17C81mpxf7Ncs/edit?usp=sharing"",""สุราษฎร์ธานี!Q177"")"),0)</f>
        <v>0</v>
      </c>
      <c r="R177" s="47">
        <f ca="1">IFERROR(__xludf.DUMMYFUNCTION("IMPORTRANGE(""https://docs.google.com/spreadsheets/d/1kKUcYdkIfrgTSj8iHHHB2MD2FAtwyyocFgqGQn6ADyI/edit?usp=sharing"",""กระบี่!R177"")+IMPORTRANGE(""https://docs.google.com/spreadsheets/d/1GwtLaSlNZkLk7iDqcyZz22giiy40b_usZZBXYciEN1U/edit?usp=sharing"",""ชุ"&amp;"มพร!R177"")+IMPORTRANGE(""https://docs.google.com/spreadsheets/d/16pAz3pOhQEZBhvFNMa5KGgZS6iKWpsKX0pg6tQmwFpo/edit?usp=sharing"",""ตรัง!R177"")+IMPORTRANGE(""https://docs.google.com/spreadsheets/d/1Dj4jcHCTV9JXKCaMoheSXS52JE63kDKyG7bPXnFogHk/edit?usp=shar"&amp;"ing"",""นครศรีธรรมราช!R177"")+IMPORTRANGE(""https://docs.google.com/spreadsheets/d/1iodCdmuK2GR3jzUwk8tpccY2JHQQA-87DLOtJP-ooyU/edit?usp=sharing"",""นราธิวาส!R177"")+IMPORTRANGE(""https://docs.google.com/spreadsheets/d/1SDNX3JhDdYRuIOsj0Wh2M-Qa_eaXl0NbWmh"&amp;"AOTbfQAs/edit?usp=sharing"",""ปัตตานี!R177"")+IMPORTRANGE(""https://docs.google.com/spreadsheets/d/16JDLGguT8s5DsGCND1KcwHP_AWR_zDMTqLHPLJUKhaU/edit?usp=sharing"",""พังงา!R177"")+IMPORTRANGE(""https://docs.google.com/spreadsheets/d/17ht0gPKzzT3PObBL1XJkeR"&amp;"mntBXI7wGjpLV7QorqlTk/edit?usp=sharing"",""พัทลุง!R177"")+IMPORTRANGE(""https://docs.google.com/spreadsheets/d/1rd4qoM1q_hsgaolqNGfrim9gbsoLxQsda4-vOz5x_BM/edit?usp=sharing"",""ภูเก็ต!R177"")+IMPORTRANGE(""https://docs.google.com/spreadsheets/d/1woKwKjgoL"&amp;"ssDvPcPeVyezB5izizAn4X1JDrys69n6xI/edit?usp=sharing"",""ยะลา!R177"")+IMPORTRANGE(""https://docs.google.com/spreadsheets/d/1qfrKjzMhm2HJfxQ-qVlJlJQ25Hne1d0khsySbZyGtPA/edit?usp=sharing"",""ระนอง!R177"")+IMPORTRANGE(""https://docs.google.com/spreadsheets/d/"&amp;"1IbSCnFOKpZsnFogBHJnL_isstZVaOMnFiIN0fGTPZZw/edit?usp=sharing"",""สงขลา!R177"")+IMPORTRANGE(""https://docs.google.com/spreadsheets/d/1q9nWasZJ-K8bFGvbE9n0qSRuKGA4Toe3Y89cKCiVtCU/edit?usp=sharing"",""สตูล!R177"")+IMPORTRANGE(""https://docs.google.com/sprea"&amp;"dsheets/d/18T20gbkS_WBjdscyTOV05cvq_JqvqQ17C81mpxf7Ncs/edit?usp=sharing"",""สุราษฎร์ธานี!R177"")"),0)</f>
        <v>0</v>
      </c>
      <c r="S177" s="47">
        <f ca="1">IFERROR(__xludf.DUMMYFUNCTION("IMPORTRANGE(""https://docs.google.com/spreadsheets/d/1kKUcYdkIfrgTSj8iHHHB2MD2FAtwyyocFgqGQn6ADyI/edit?usp=sharing"",""กระบี่!S177"")+IMPORTRANGE(""https://docs.google.com/spreadsheets/d/1GwtLaSlNZkLk7iDqcyZz22giiy40b_usZZBXYciEN1U/edit?usp=sharing"",""ชุ"&amp;"มพร!S177"")+IMPORTRANGE(""https://docs.google.com/spreadsheets/d/16pAz3pOhQEZBhvFNMa5KGgZS6iKWpsKX0pg6tQmwFpo/edit?usp=sharing"",""ตรัง!S177"")+IMPORTRANGE(""https://docs.google.com/spreadsheets/d/1Dj4jcHCTV9JXKCaMoheSXS52JE63kDKyG7bPXnFogHk/edit?usp=shar"&amp;"ing"",""นครศรีธรรมราช!S177"")+IMPORTRANGE(""https://docs.google.com/spreadsheets/d/1iodCdmuK2GR3jzUwk8tpccY2JHQQA-87DLOtJP-ooyU/edit?usp=sharing"",""นราธิวาส!S177"")+IMPORTRANGE(""https://docs.google.com/spreadsheets/d/1SDNX3JhDdYRuIOsj0Wh2M-Qa_eaXl0NbWmh"&amp;"AOTbfQAs/edit?usp=sharing"",""ปัตตานี!S177"")+IMPORTRANGE(""https://docs.google.com/spreadsheets/d/16JDLGguT8s5DsGCND1KcwHP_AWR_zDMTqLHPLJUKhaU/edit?usp=sharing"",""พังงา!S177"")+IMPORTRANGE(""https://docs.google.com/spreadsheets/d/17ht0gPKzzT3PObBL1XJkeR"&amp;"mntBXI7wGjpLV7QorqlTk/edit?usp=sharing"",""พัทลุง!S177"")+IMPORTRANGE(""https://docs.google.com/spreadsheets/d/1rd4qoM1q_hsgaolqNGfrim9gbsoLxQsda4-vOz5x_BM/edit?usp=sharing"",""ภูเก็ต!S177"")+IMPORTRANGE(""https://docs.google.com/spreadsheets/d/1woKwKjgoL"&amp;"ssDvPcPeVyezB5izizAn4X1JDrys69n6xI/edit?usp=sharing"",""ยะลา!S177"")+IMPORTRANGE(""https://docs.google.com/spreadsheets/d/1qfrKjzMhm2HJfxQ-qVlJlJQ25Hne1d0khsySbZyGtPA/edit?usp=sharing"",""ระนอง!S177"")+IMPORTRANGE(""https://docs.google.com/spreadsheets/d/"&amp;"1IbSCnFOKpZsnFogBHJnL_isstZVaOMnFiIN0fGTPZZw/edit?usp=sharing"",""สงขลา!S177"")+IMPORTRANGE(""https://docs.google.com/spreadsheets/d/1q9nWasZJ-K8bFGvbE9n0qSRuKGA4Toe3Y89cKCiVtCU/edit?usp=sharing"",""สตูล!S177"")+IMPORTRANGE(""https://docs.google.com/sprea"&amp;"dsheets/d/18T20gbkS_WBjdscyTOV05cvq_JqvqQ17C81mpxf7Ncs/edit?usp=sharing"",""สุราษฎร์ธานี!S177"")"),0)</f>
        <v>0</v>
      </c>
      <c r="T177" s="49">
        <f t="shared" ca="1" si="145"/>
        <v>0</v>
      </c>
      <c r="U177" s="49">
        <f t="shared" ca="1" si="146"/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47">
        <f ca="1">IFERROR(__xludf.DUMMYFUNCTION("IMPORTRANGE(""https://docs.google.com/spreadsheets/d/1kKUcYdkIfrgTSj8iHHHB2MD2FAtwyyocFgqGQn6ADyI/edit?usp=sharing"",""กระบี่!L178"")+IMPORTRANGE(""https://docs.google.com/spreadsheets/d/1GwtLaSlNZkLk7iDqcyZz22giiy40b_usZZBXYciEN1U/edit?usp=sharing"",""ชุ"&amp;"มพร!L178"")+IMPORTRANGE(""https://docs.google.com/spreadsheets/d/16pAz3pOhQEZBhvFNMa5KGgZS6iKWpsKX0pg6tQmwFpo/edit?usp=sharing"",""ตรัง!L178"")+IMPORTRANGE(""https://docs.google.com/spreadsheets/d/1Dj4jcHCTV9JXKCaMoheSXS52JE63kDKyG7bPXnFogHk/edit?usp=shar"&amp;"ing"",""นครศรีธรรมราช!L178"")+IMPORTRANGE(""https://docs.google.com/spreadsheets/d/1iodCdmuK2GR3jzUwk8tpccY2JHQQA-87DLOtJP-ooyU/edit?usp=sharing"",""นราธิวาส!L178"")+IMPORTRANGE(""https://docs.google.com/spreadsheets/d/1SDNX3JhDdYRuIOsj0Wh2M-Qa_eaXl0NbWmh"&amp;"AOTbfQAs/edit?usp=sharing"",""ปัตตานี!L178"")+IMPORTRANGE(""https://docs.google.com/spreadsheets/d/16JDLGguT8s5DsGCND1KcwHP_AWR_zDMTqLHPLJUKhaU/edit?usp=sharing"",""พังงา!L178"")+IMPORTRANGE(""https://docs.google.com/spreadsheets/d/17ht0gPKzzT3PObBL1XJkeR"&amp;"mntBXI7wGjpLV7QorqlTk/edit?usp=sharing"",""พัทลุง!L178"")+IMPORTRANGE(""https://docs.google.com/spreadsheets/d/1rd4qoM1q_hsgaolqNGfrim9gbsoLxQsda4-vOz5x_BM/edit?usp=sharing"",""ภูเก็ต!L178"")+IMPORTRANGE(""https://docs.google.com/spreadsheets/d/1woKwKjgoL"&amp;"ssDvPcPeVyezB5izizAn4X1JDrys69n6xI/edit?usp=sharing"",""ยะลา!L178"")+IMPORTRANGE(""https://docs.google.com/spreadsheets/d/1qfrKjzMhm2HJfxQ-qVlJlJQ25Hne1d0khsySbZyGtPA/edit?usp=sharing"",""ระนอง!L178"")+IMPORTRANGE(""https://docs.google.com/spreadsheets/d/"&amp;"1IbSCnFOKpZsnFogBHJnL_isstZVaOMnFiIN0fGTPZZw/edit?usp=sharing"",""สงขลา!L178"")+IMPORTRANGE(""https://docs.google.com/spreadsheets/d/1q9nWasZJ-K8bFGvbE9n0qSRuKGA4Toe3Y89cKCiVtCU/edit?usp=sharing"",""สตูล!L178"")+IMPORTRANGE(""https://docs.google.com/sprea"&amp;"dsheets/d/18T20gbkS_WBjdscyTOV05cvq_JqvqQ17C81mpxf7Ncs/edit?usp=sharing"",""สุราษฎร์ธานี!L178"")"),215490)</f>
        <v>215490</v>
      </c>
      <c r="M178" s="47">
        <f ca="1">IFERROR(__xludf.DUMMYFUNCTION("IMPORTRANGE(""https://docs.google.com/spreadsheets/d/1kKUcYdkIfrgTSj8iHHHB2MD2FAtwyyocFgqGQn6ADyI/edit?usp=sharing"",""กระบี่!M178"")+IMPORTRANGE(""https://docs.google.com/spreadsheets/d/1GwtLaSlNZkLk7iDqcyZz22giiy40b_usZZBXYciEN1U/edit?usp=sharing"",""ชุ"&amp;"มพร!M178"")+IMPORTRANGE(""https://docs.google.com/spreadsheets/d/16pAz3pOhQEZBhvFNMa5KGgZS6iKWpsKX0pg6tQmwFpo/edit?usp=sharing"",""ตรัง!M178"")+IMPORTRANGE(""https://docs.google.com/spreadsheets/d/1Dj4jcHCTV9JXKCaMoheSXS52JE63kDKyG7bPXnFogHk/edit?usp=shar"&amp;"ing"",""นครศรีธรรมราช!M178"")+IMPORTRANGE(""https://docs.google.com/spreadsheets/d/1iodCdmuK2GR3jzUwk8tpccY2JHQQA-87DLOtJP-ooyU/edit?usp=sharing"",""นราธิวาส!M178"")+IMPORTRANGE(""https://docs.google.com/spreadsheets/d/1SDNX3JhDdYRuIOsj0Wh2M-Qa_eaXl0NbWmh"&amp;"AOTbfQAs/edit?usp=sharing"",""ปัตตานี!M178"")+IMPORTRANGE(""https://docs.google.com/spreadsheets/d/16JDLGguT8s5DsGCND1KcwHP_AWR_zDMTqLHPLJUKhaU/edit?usp=sharing"",""พังงา!M178"")+IMPORTRANGE(""https://docs.google.com/spreadsheets/d/17ht0gPKzzT3PObBL1XJkeR"&amp;"mntBXI7wGjpLV7QorqlTk/edit?usp=sharing"",""พัทลุง!M178"")+IMPORTRANGE(""https://docs.google.com/spreadsheets/d/1rd4qoM1q_hsgaolqNGfrim9gbsoLxQsda4-vOz5x_BM/edit?usp=sharing"",""ภูเก็ต!M178"")+IMPORTRANGE(""https://docs.google.com/spreadsheets/d/1woKwKjgoL"&amp;"ssDvPcPeVyezB5izizAn4X1JDrys69n6xI/edit?usp=sharing"",""ยะลา!M178"")+IMPORTRANGE(""https://docs.google.com/spreadsheets/d/1qfrKjzMhm2HJfxQ-qVlJlJQ25Hne1d0khsySbZyGtPA/edit?usp=sharing"",""ระนอง!M178"")+IMPORTRANGE(""https://docs.google.com/spreadsheets/d/"&amp;"1IbSCnFOKpZsnFogBHJnL_isstZVaOMnFiIN0fGTPZZw/edit?usp=sharing"",""สงขลา!M178"")+IMPORTRANGE(""https://docs.google.com/spreadsheets/d/1q9nWasZJ-K8bFGvbE9n0qSRuKGA4Toe3Y89cKCiVtCU/edit?usp=sharing"",""สตูล!M178"")+IMPORTRANGE(""https://docs.google.com/sprea"&amp;"dsheets/d/18T20gbkS_WBjdscyTOV05cvq_JqvqQ17C81mpxf7Ncs/edit?usp=sharing"",""สุราษฎร์ธานี!M178"")"),438690)</f>
        <v>438690</v>
      </c>
      <c r="N178" s="47">
        <f ca="1">IFERROR(__xludf.DUMMYFUNCTION("IMPORTRANGE(""https://docs.google.com/spreadsheets/d/1kKUcYdkIfrgTSj8iHHHB2MD2FAtwyyocFgqGQn6ADyI/edit?usp=sharing"",""กระบี่!N178"")+IMPORTRANGE(""https://docs.google.com/spreadsheets/d/1GwtLaSlNZkLk7iDqcyZz22giiy40b_usZZBXYciEN1U/edit?usp=sharing"",""ชุ"&amp;"มพร!N178"")+IMPORTRANGE(""https://docs.google.com/spreadsheets/d/16pAz3pOhQEZBhvFNMa5KGgZS6iKWpsKX0pg6tQmwFpo/edit?usp=sharing"",""ตรัง!N178"")+IMPORTRANGE(""https://docs.google.com/spreadsheets/d/1Dj4jcHCTV9JXKCaMoheSXS52JE63kDKyG7bPXnFogHk/edit?usp=shar"&amp;"ing"",""นครศรีธรรมราช!N178"")+IMPORTRANGE(""https://docs.google.com/spreadsheets/d/1iodCdmuK2GR3jzUwk8tpccY2JHQQA-87DLOtJP-ooyU/edit?usp=sharing"",""นราธิวาส!N178"")+IMPORTRANGE(""https://docs.google.com/spreadsheets/d/1SDNX3JhDdYRuIOsj0Wh2M-Qa_eaXl0NbWmh"&amp;"AOTbfQAs/edit?usp=sharing"",""ปัตตานี!N178"")+IMPORTRANGE(""https://docs.google.com/spreadsheets/d/16JDLGguT8s5DsGCND1KcwHP_AWR_zDMTqLHPLJUKhaU/edit?usp=sharing"",""พังงา!N178"")+IMPORTRANGE(""https://docs.google.com/spreadsheets/d/17ht0gPKzzT3PObBL1XJkeR"&amp;"mntBXI7wGjpLV7QorqlTk/edit?usp=sharing"",""พัทลุง!N178"")+IMPORTRANGE(""https://docs.google.com/spreadsheets/d/1rd4qoM1q_hsgaolqNGfrim9gbsoLxQsda4-vOz5x_BM/edit?usp=sharing"",""ภูเก็ต!N178"")+IMPORTRANGE(""https://docs.google.com/spreadsheets/d/1woKwKjgoL"&amp;"ssDvPcPeVyezB5izizAn4X1JDrys69n6xI/edit?usp=sharing"",""ยะลา!N178"")+IMPORTRANGE(""https://docs.google.com/spreadsheets/d/1qfrKjzMhm2HJfxQ-qVlJlJQ25Hne1d0khsySbZyGtPA/edit?usp=sharing"",""ระนอง!N178"")+IMPORTRANGE(""https://docs.google.com/spreadsheets/d/"&amp;"1IbSCnFOKpZsnFogBHJnL_isstZVaOMnFiIN0fGTPZZw/edit?usp=sharing"",""สงขลา!N178"")+IMPORTRANGE(""https://docs.google.com/spreadsheets/d/1q9nWasZJ-K8bFGvbE9n0qSRuKGA4Toe3Y89cKCiVtCU/edit?usp=sharing"",""สตูล!N178"")+IMPORTRANGE(""https://docs.google.com/sprea"&amp;"dsheets/d/18T20gbkS_WBjdscyTOV05cvq_JqvqQ17C81mpxf7Ncs/edit?usp=sharing"",""สุราษฎร์ธานี!N178"")"),431266)</f>
        <v>431266</v>
      </c>
      <c r="O178" s="47">
        <f t="shared" ca="1" si="142"/>
        <v>200.13272077590608</v>
      </c>
      <c r="P178" s="47">
        <f t="shared" ca="1" si="143"/>
        <v>98.307688800747684</v>
      </c>
      <c r="Q178" s="47">
        <f ca="1">IFERROR(__xludf.DUMMYFUNCTION("IMPORTRANGE(""https://docs.google.com/spreadsheets/d/1kKUcYdkIfrgTSj8iHHHB2MD2FAtwyyocFgqGQn6ADyI/edit?usp=sharing"",""กระบี่!Q178"")+IMPORTRANGE(""https://docs.google.com/spreadsheets/d/1GwtLaSlNZkLk7iDqcyZz22giiy40b_usZZBXYciEN1U/edit?usp=sharing"",""ชุ"&amp;"มพร!Q178"")+IMPORTRANGE(""https://docs.google.com/spreadsheets/d/16pAz3pOhQEZBhvFNMa5KGgZS6iKWpsKX0pg6tQmwFpo/edit?usp=sharing"",""ตรัง!Q178"")+IMPORTRANGE(""https://docs.google.com/spreadsheets/d/1Dj4jcHCTV9JXKCaMoheSXS52JE63kDKyG7bPXnFogHk/edit?usp=shar"&amp;"ing"",""นครศรีธรรมราช!Q178"")+IMPORTRANGE(""https://docs.google.com/spreadsheets/d/1iodCdmuK2GR3jzUwk8tpccY2JHQQA-87DLOtJP-ooyU/edit?usp=sharing"",""นราธิวาส!Q178"")+IMPORTRANGE(""https://docs.google.com/spreadsheets/d/1SDNX3JhDdYRuIOsj0Wh2M-Qa_eaXl0NbWmh"&amp;"AOTbfQAs/edit?usp=sharing"",""ปัตตานี!Q178"")+IMPORTRANGE(""https://docs.google.com/spreadsheets/d/16JDLGguT8s5DsGCND1KcwHP_AWR_zDMTqLHPLJUKhaU/edit?usp=sharing"",""พังงา!Q178"")+IMPORTRANGE(""https://docs.google.com/spreadsheets/d/17ht0gPKzzT3PObBL1XJkeR"&amp;"mntBXI7wGjpLV7QorqlTk/edit?usp=sharing"",""พัทลุง!Q178"")+IMPORTRANGE(""https://docs.google.com/spreadsheets/d/1rd4qoM1q_hsgaolqNGfrim9gbsoLxQsda4-vOz5x_BM/edit?usp=sharing"",""ภูเก็ต!Q178"")+IMPORTRANGE(""https://docs.google.com/spreadsheets/d/1woKwKjgoL"&amp;"ssDvPcPeVyezB5izizAn4X1JDrys69n6xI/edit?usp=sharing"",""ยะลา!Q178"")+IMPORTRANGE(""https://docs.google.com/spreadsheets/d/1qfrKjzMhm2HJfxQ-qVlJlJQ25Hne1d0khsySbZyGtPA/edit?usp=sharing"",""ระนอง!Q178"")+IMPORTRANGE(""https://docs.google.com/spreadsheets/d/"&amp;"1IbSCnFOKpZsnFogBHJnL_isstZVaOMnFiIN0fGTPZZw/edit?usp=sharing"",""สงขลา!Q178"")+IMPORTRANGE(""https://docs.google.com/spreadsheets/d/1q9nWasZJ-K8bFGvbE9n0qSRuKGA4Toe3Y89cKCiVtCU/edit?usp=sharing"",""สตูล!Q178"")+IMPORTRANGE(""https://docs.google.com/sprea"&amp;"dsheets/d/18T20gbkS_WBjdscyTOV05cvq_JqvqQ17C81mpxf7Ncs/edit?usp=sharing"",""สุราษฎร์ธานี!Q178"")"),0)</f>
        <v>0</v>
      </c>
      <c r="R178" s="47">
        <f ca="1">IFERROR(__xludf.DUMMYFUNCTION("IMPORTRANGE(""https://docs.google.com/spreadsheets/d/1kKUcYdkIfrgTSj8iHHHB2MD2FAtwyyocFgqGQn6ADyI/edit?usp=sharing"",""กระบี่!R178"")+IMPORTRANGE(""https://docs.google.com/spreadsheets/d/1GwtLaSlNZkLk7iDqcyZz22giiy40b_usZZBXYciEN1U/edit?usp=sharing"",""ชุ"&amp;"มพร!R178"")+IMPORTRANGE(""https://docs.google.com/spreadsheets/d/16pAz3pOhQEZBhvFNMa5KGgZS6iKWpsKX0pg6tQmwFpo/edit?usp=sharing"",""ตรัง!R178"")+IMPORTRANGE(""https://docs.google.com/spreadsheets/d/1Dj4jcHCTV9JXKCaMoheSXS52JE63kDKyG7bPXnFogHk/edit?usp=shar"&amp;"ing"",""นครศรีธรรมราช!R178"")+IMPORTRANGE(""https://docs.google.com/spreadsheets/d/1iodCdmuK2GR3jzUwk8tpccY2JHQQA-87DLOtJP-ooyU/edit?usp=sharing"",""นราธิวาส!R178"")+IMPORTRANGE(""https://docs.google.com/spreadsheets/d/1SDNX3JhDdYRuIOsj0Wh2M-Qa_eaXl0NbWmh"&amp;"AOTbfQAs/edit?usp=sharing"",""ปัตตานี!R178"")+IMPORTRANGE(""https://docs.google.com/spreadsheets/d/16JDLGguT8s5DsGCND1KcwHP_AWR_zDMTqLHPLJUKhaU/edit?usp=sharing"",""พังงา!R178"")+IMPORTRANGE(""https://docs.google.com/spreadsheets/d/17ht0gPKzzT3PObBL1XJkeR"&amp;"mntBXI7wGjpLV7QorqlTk/edit?usp=sharing"",""พัทลุง!R178"")+IMPORTRANGE(""https://docs.google.com/spreadsheets/d/1rd4qoM1q_hsgaolqNGfrim9gbsoLxQsda4-vOz5x_BM/edit?usp=sharing"",""ภูเก็ต!R178"")+IMPORTRANGE(""https://docs.google.com/spreadsheets/d/1woKwKjgoL"&amp;"ssDvPcPeVyezB5izizAn4X1JDrys69n6xI/edit?usp=sharing"",""ยะลา!R178"")+IMPORTRANGE(""https://docs.google.com/spreadsheets/d/1qfrKjzMhm2HJfxQ-qVlJlJQ25Hne1d0khsySbZyGtPA/edit?usp=sharing"",""ระนอง!R178"")+IMPORTRANGE(""https://docs.google.com/spreadsheets/d/"&amp;"1IbSCnFOKpZsnFogBHJnL_isstZVaOMnFiIN0fGTPZZw/edit?usp=sharing"",""สงขลา!R178"")+IMPORTRANGE(""https://docs.google.com/spreadsheets/d/1q9nWasZJ-K8bFGvbE9n0qSRuKGA4Toe3Y89cKCiVtCU/edit?usp=sharing"",""สตูล!R178"")+IMPORTRANGE(""https://docs.google.com/sprea"&amp;"dsheets/d/18T20gbkS_WBjdscyTOV05cvq_JqvqQ17C81mpxf7Ncs/edit?usp=sharing"",""สุราษฎร์ธานี!R178"")"),0)</f>
        <v>0</v>
      </c>
      <c r="S178" s="47">
        <f ca="1">IFERROR(__xludf.DUMMYFUNCTION("IMPORTRANGE(""https://docs.google.com/spreadsheets/d/1kKUcYdkIfrgTSj8iHHHB2MD2FAtwyyocFgqGQn6ADyI/edit?usp=sharing"",""กระบี่!S178"")+IMPORTRANGE(""https://docs.google.com/spreadsheets/d/1GwtLaSlNZkLk7iDqcyZz22giiy40b_usZZBXYciEN1U/edit?usp=sharing"",""ชุ"&amp;"มพร!S178"")+IMPORTRANGE(""https://docs.google.com/spreadsheets/d/16pAz3pOhQEZBhvFNMa5KGgZS6iKWpsKX0pg6tQmwFpo/edit?usp=sharing"",""ตรัง!S178"")+IMPORTRANGE(""https://docs.google.com/spreadsheets/d/1Dj4jcHCTV9JXKCaMoheSXS52JE63kDKyG7bPXnFogHk/edit?usp=shar"&amp;"ing"",""นครศรีธรรมราช!S178"")+IMPORTRANGE(""https://docs.google.com/spreadsheets/d/1iodCdmuK2GR3jzUwk8tpccY2JHQQA-87DLOtJP-ooyU/edit?usp=sharing"",""นราธิวาส!S178"")+IMPORTRANGE(""https://docs.google.com/spreadsheets/d/1SDNX3JhDdYRuIOsj0Wh2M-Qa_eaXl0NbWmh"&amp;"AOTbfQAs/edit?usp=sharing"",""ปัตตานี!S178"")+IMPORTRANGE(""https://docs.google.com/spreadsheets/d/16JDLGguT8s5DsGCND1KcwHP_AWR_zDMTqLHPLJUKhaU/edit?usp=sharing"",""พังงา!S178"")+IMPORTRANGE(""https://docs.google.com/spreadsheets/d/17ht0gPKzzT3PObBL1XJkeR"&amp;"mntBXI7wGjpLV7QorqlTk/edit?usp=sharing"",""พัทลุง!S178"")+IMPORTRANGE(""https://docs.google.com/spreadsheets/d/1rd4qoM1q_hsgaolqNGfrim9gbsoLxQsda4-vOz5x_BM/edit?usp=sharing"",""ภูเก็ต!S178"")+IMPORTRANGE(""https://docs.google.com/spreadsheets/d/1woKwKjgoL"&amp;"ssDvPcPeVyezB5izizAn4X1JDrys69n6xI/edit?usp=sharing"",""ยะลา!S178"")+IMPORTRANGE(""https://docs.google.com/spreadsheets/d/1qfrKjzMhm2HJfxQ-qVlJlJQ25Hne1d0khsySbZyGtPA/edit?usp=sharing"",""ระนอง!S178"")+IMPORTRANGE(""https://docs.google.com/spreadsheets/d/"&amp;"1IbSCnFOKpZsnFogBHJnL_isstZVaOMnFiIN0fGTPZZw/edit?usp=sharing"",""สงขลา!S178"")+IMPORTRANGE(""https://docs.google.com/spreadsheets/d/1q9nWasZJ-K8bFGvbE9n0qSRuKGA4Toe3Y89cKCiVtCU/edit?usp=sharing"",""สตูล!S178"")+IMPORTRANGE(""https://docs.google.com/sprea"&amp;"dsheets/d/18T20gbkS_WBjdscyTOV05cvq_JqvqQ17C81mpxf7Ncs/edit?usp=sharing"",""สุราษฎร์ธานี!S178"")"),0)</f>
        <v>0</v>
      </c>
      <c r="T178" s="47">
        <f t="shared" ca="1" si="145"/>
        <v>0</v>
      </c>
      <c r="U178" s="47">
        <f t="shared" ca="1" si="146"/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47">
        <f t="shared" ref="L179:N179" ca="1" si="153">L180+L181</f>
        <v>0</v>
      </c>
      <c r="M179" s="47">
        <f t="shared" ca="1" si="153"/>
        <v>0</v>
      </c>
      <c r="N179" s="47">
        <f t="shared" ca="1" si="153"/>
        <v>0</v>
      </c>
      <c r="O179" s="47">
        <f t="shared" ca="1" si="142"/>
        <v>0</v>
      </c>
      <c r="P179" s="47">
        <f t="shared" ca="1" si="143"/>
        <v>0</v>
      </c>
      <c r="Q179" s="47">
        <f t="shared" ref="Q179:S179" ca="1" si="154">Q180+Q181</f>
        <v>0</v>
      </c>
      <c r="R179" s="47">
        <f t="shared" ca="1" si="154"/>
        <v>0</v>
      </c>
      <c r="S179" s="47">
        <f t="shared" ca="1" si="154"/>
        <v>0</v>
      </c>
      <c r="T179" s="47">
        <f t="shared" ca="1" si="145"/>
        <v>0</v>
      </c>
      <c r="U179" s="47">
        <f t="shared" ca="1" si="146"/>
        <v>0</v>
      </c>
    </row>
    <row r="180" spans="1:21" ht="18.75" hidden="1" x14ac:dyDescent="0.25">
      <c r="A180" s="128"/>
      <c r="B180" s="41"/>
      <c r="C180" s="41"/>
      <c r="D180" s="41"/>
      <c r="E180" s="48" t="s">
        <v>20</v>
      </c>
      <c r="F180" s="41"/>
      <c r="G180" s="43"/>
      <c r="H180" s="134" t="s">
        <v>14</v>
      </c>
      <c r="I180" s="135"/>
      <c r="J180" s="135"/>
      <c r="K180" s="136"/>
      <c r="L180" s="47">
        <f ca="1">IFERROR(__xludf.DUMMYFUNCTION("IMPORTRANGE(""https://docs.google.com/spreadsheets/d/1kKUcYdkIfrgTSj8iHHHB2MD2FAtwyyocFgqGQn6ADyI/edit?usp=sharing"",""กระบี่!L180"")+IMPORTRANGE(""https://docs.google.com/spreadsheets/d/1GwtLaSlNZkLk7iDqcyZz22giiy40b_usZZBXYciEN1U/edit?usp=sharing"",""ชุ"&amp;"มพร!L180"")+IMPORTRANGE(""https://docs.google.com/spreadsheets/d/16pAz3pOhQEZBhvFNMa5KGgZS6iKWpsKX0pg6tQmwFpo/edit?usp=sharing"",""ตรัง!L180"")+IMPORTRANGE(""https://docs.google.com/spreadsheets/d/1Dj4jcHCTV9JXKCaMoheSXS52JE63kDKyG7bPXnFogHk/edit?usp=shar"&amp;"ing"",""นครศรีธรรมราช!L180"")+IMPORTRANGE(""https://docs.google.com/spreadsheets/d/1iodCdmuK2GR3jzUwk8tpccY2JHQQA-87DLOtJP-ooyU/edit?usp=sharing"",""นราธิวาส!L180"")+IMPORTRANGE(""https://docs.google.com/spreadsheets/d/1SDNX3JhDdYRuIOsj0Wh2M-Qa_eaXl0NbWmh"&amp;"AOTbfQAs/edit?usp=sharing"",""ปัตตานี!L180"")+IMPORTRANGE(""https://docs.google.com/spreadsheets/d/16JDLGguT8s5DsGCND1KcwHP_AWR_zDMTqLHPLJUKhaU/edit?usp=sharing"",""พังงา!L180"")+IMPORTRANGE(""https://docs.google.com/spreadsheets/d/17ht0gPKzzT3PObBL1XJkeR"&amp;"mntBXI7wGjpLV7QorqlTk/edit?usp=sharing"",""พัทลุง!L180"")+IMPORTRANGE(""https://docs.google.com/spreadsheets/d/1rd4qoM1q_hsgaolqNGfrim9gbsoLxQsda4-vOz5x_BM/edit?usp=sharing"",""ภูเก็ต!L180"")+IMPORTRANGE(""https://docs.google.com/spreadsheets/d/1woKwKjgoL"&amp;"ssDvPcPeVyezB5izizAn4X1JDrys69n6xI/edit?usp=sharing"",""ยะลา!L180"")+IMPORTRANGE(""https://docs.google.com/spreadsheets/d/1qfrKjzMhm2HJfxQ-qVlJlJQ25Hne1d0khsySbZyGtPA/edit?usp=sharing"",""ระนอง!L180"")+IMPORTRANGE(""https://docs.google.com/spreadsheets/d/"&amp;"1IbSCnFOKpZsnFogBHJnL_isstZVaOMnFiIN0fGTPZZw/edit?usp=sharing"",""สงขลา!L180"")+IMPORTRANGE(""https://docs.google.com/spreadsheets/d/1q9nWasZJ-K8bFGvbE9n0qSRuKGA4Toe3Y89cKCiVtCU/edit?usp=sharing"",""สตูล!L180"")+IMPORTRANGE(""https://docs.google.com/sprea"&amp;"dsheets/d/18T20gbkS_WBjdscyTOV05cvq_JqvqQ17C81mpxf7Ncs/edit?usp=sharing"",""สุราษฎร์ธานี!L180"")"),0)</f>
        <v>0</v>
      </c>
      <c r="M180" s="47">
        <f ca="1">IFERROR(__xludf.DUMMYFUNCTION("IMPORTRANGE(""https://docs.google.com/spreadsheets/d/1kKUcYdkIfrgTSj8iHHHB2MD2FAtwyyocFgqGQn6ADyI/edit?usp=sharing"",""กระบี่!M180"")+IMPORTRANGE(""https://docs.google.com/spreadsheets/d/1GwtLaSlNZkLk7iDqcyZz22giiy40b_usZZBXYciEN1U/edit?usp=sharing"",""ชุ"&amp;"มพร!M180"")+IMPORTRANGE(""https://docs.google.com/spreadsheets/d/16pAz3pOhQEZBhvFNMa5KGgZS6iKWpsKX0pg6tQmwFpo/edit?usp=sharing"",""ตรัง!M180"")+IMPORTRANGE(""https://docs.google.com/spreadsheets/d/1Dj4jcHCTV9JXKCaMoheSXS52JE63kDKyG7bPXnFogHk/edit?usp=shar"&amp;"ing"",""นครศรีธรรมราช!M180"")+IMPORTRANGE(""https://docs.google.com/spreadsheets/d/1iodCdmuK2GR3jzUwk8tpccY2JHQQA-87DLOtJP-ooyU/edit?usp=sharing"",""นราธิวาส!M180"")+IMPORTRANGE(""https://docs.google.com/spreadsheets/d/1SDNX3JhDdYRuIOsj0Wh2M-Qa_eaXl0NbWmh"&amp;"AOTbfQAs/edit?usp=sharing"",""ปัตตานี!M180"")+IMPORTRANGE(""https://docs.google.com/spreadsheets/d/16JDLGguT8s5DsGCND1KcwHP_AWR_zDMTqLHPLJUKhaU/edit?usp=sharing"",""พังงา!M180"")+IMPORTRANGE(""https://docs.google.com/spreadsheets/d/17ht0gPKzzT3PObBL1XJkeR"&amp;"mntBXI7wGjpLV7QorqlTk/edit?usp=sharing"",""พัทลุง!M180"")+IMPORTRANGE(""https://docs.google.com/spreadsheets/d/1rd4qoM1q_hsgaolqNGfrim9gbsoLxQsda4-vOz5x_BM/edit?usp=sharing"",""ภูเก็ต!M180"")+IMPORTRANGE(""https://docs.google.com/spreadsheets/d/1woKwKjgoL"&amp;"ssDvPcPeVyezB5izizAn4X1JDrys69n6xI/edit?usp=sharing"",""ยะลา!M180"")+IMPORTRANGE(""https://docs.google.com/spreadsheets/d/1qfrKjzMhm2HJfxQ-qVlJlJQ25Hne1d0khsySbZyGtPA/edit?usp=sharing"",""ระนอง!M180"")+IMPORTRANGE(""https://docs.google.com/spreadsheets/d/"&amp;"1IbSCnFOKpZsnFogBHJnL_isstZVaOMnFiIN0fGTPZZw/edit?usp=sharing"",""สงขลา!M180"")+IMPORTRANGE(""https://docs.google.com/spreadsheets/d/1q9nWasZJ-K8bFGvbE9n0qSRuKGA4Toe3Y89cKCiVtCU/edit?usp=sharing"",""สตูล!M180"")+IMPORTRANGE(""https://docs.google.com/sprea"&amp;"dsheets/d/18T20gbkS_WBjdscyTOV05cvq_JqvqQ17C81mpxf7Ncs/edit?usp=sharing"",""สุราษฎร์ธานี!M180"")"),0)</f>
        <v>0</v>
      </c>
      <c r="N180" s="47">
        <f ca="1">IFERROR(__xludf.DUMMYFUNCTION("IMPORTRANGE(""https://docs.google.com/spreadsheets/d/1kKUcYdkIfrgTSj8iHHHB2MD2FAtwyyocFgqGQn6ADyI/edit?usp=sharing"",""กระบี่!N180"")+IMPORTRANGE(""https://docs.google.com/spreadsheets/d/1GwtLaSlNZkLk7iDqcyZz22giiy40b_usZZBXYciEN1U/edit?usp=sharing"",""ชุ"&amp;"มพร!N180"")+IMPORTRANGE(""https://docs.google.com/spreadsheets/d/16pAz3pOhQEZBhvFNMa5KGgZS6iKWpsKX0pg6tQmwFpo/edit?usp=sharing"",""ตรัง!N180"")+IMPORTRANGE(""https://docs.google.com/spreadsheets/d/1Dj4jcHCTV9JXKCaMoheSXS52JE63kDKyG7bPXnFogHk/edit?usp=shar"&amp;"ing"",""นครศรีธรรมราช!N180"")+IMPORTRANGE(""https://docs.google.com/spreadsheets/d/1iodCdmuK2GR3jzUwk8tpccY2JHQQA-87DLOtJP-ooyU/edit?usp=sharing"",""นราธิวาส!N180"")+IMPORTRANGE(""https://docs.google.com/spreadsheets/d/1SDNX3JhDdYRuIOsj0Wh2M-Qa_eaXl0NbWmh"&amp;"AOTbfQAs/edit?usp=sharing"",""ปัตตานี!N180"")+IMPORTRANGE(""https://docs.google.com/spreadsheets/d/16JDLGguT8s5DsGCND1KcwHP_AWR_zDMTqLHPLJUKhaU/edit?usp=sharing"",""พังงา!N180"")+IMPORTRANGE(""https://docs.google.com/spreadsheets/d/17ht0gPKzzT3PObBL1XJkeR"&amp;"mntBXI7wGjpLV7QorqlTk/edit?usp=sharing"",""พัทลุง!N180"")+IMPORTRANGE(""https://docs.google.com/spreadsheets/d/1rd4qoM1q_hsgaolqNGfrim9gbsoLxQsda4-vOz5x_BM/edit?usp=sharing"",""ภูเก็ต!N180"")+IMPORTRANGE(""https://docs.google.com/spreadsheets/d/1woKwKjgoL"&amp;"ssDvPcPeVyezB5izizAn4X1JDrys69n6xI/edit?usp=sharing"",""ยะลา!N180"")+IMPORTRANGE(""https://docs.google.com/spreadsheets/d/1qfrKjzMhm2HJfxQ-qVlJlJQ25Hne1d0khsySbZyGtPA/edit?usp=sharing"",""ระนอง!N180"")+IMPORTRANGE(""https://docs.google.com/spreadsheets/d/"&amp;"1IbSCnFOKpZsnFogBHJnL_isstZVaOMnFiIN0fGTPZZw/edit?usp=sharing"",""สงขลา!N180"")+IMPORTRANGE(""https://docs.google.com/spreadsheets/d/1q9nWasZJ-K8bFGvbE9n0qSRuKGA4Toe3Y89cKCiVtCU/edit?usp=sharing"",""สตูล!N180"")+IMPORTRANGE(""https://docs.google.com/sprea"&amp;"dsheets/d/18T20gbkS_WBjdscyTOV05cvq_JqvqQ17C81mpxf7Ncs/edit?usp=sharing"",""สุราษฎร์ธานี!N180"")"),0)</f>
        <v>0</v>
      </c>
      <c r="O180" s="47">
        <f t="shared" ca="1" si="142"/>
        <v>0</v>
      </c>
      <c r="P180" s="47">
        <f t="shared" ca="1" si="143"/>
        <v>0</v>
      </c>
      <c r="Q180" s="47">
        <f ca="1">IFERROR(__xludf.DUMMYFUNCTION("IMPORTRANGE(""https://docs.google.com/spreadsheets/d/1kKUcYdkIfrgTSj8iHHHB2MD2FAtwyyocFgqGQn6ADyI/edit?usp=sharing"",""กระบี่!Q180"")+IMPORTRANGE(""https://docs.google.com/spreadsheets/d/1GwtLaSlNZkLk7iDqcyZz22giiy40b_usZZBXYciEN1U/edit?usp=sharing"",""ชุ"&amp;"มพร!Q180"")+IMPORTRANGE(""https://docs.google.com/spreadsheets/d/16pAz3pOhQEZBhvFNMa5KGgZS6iKWpsKX0pg6tQmwFpo/edit?usp=sharing"",""ตรัง!Q180"")+IMPORTRANGE(""https://docs.google.com/spreadsheets/d/1Dj4jcHCTV9JXKCaMoheSXS52JE63kDKyG7bPXnFogHk/edit?usp=shar"&amp;"ing"",""นครศรีธรรมราช!Q180"")+IMPORTRANGE(""https://docs.google.com/spreadsheets/d/1iodCdmuK2GR3jzUwk8tpccY2JHQQA-87DLOtJP-ooyU/edit?usp=sharing"",""นราธิวาส!Q180"")+IMPORTRANGE(""https://docs.google.com/spreadsheets/d/1SDNX3JhDdYRuIOsj0Wh2M-Qa_eaXl0NbWmh"&amp;"AOTbfQAs/edit?usp=sharing"",""ปัตตานี!Q180"")+IMPORTRANGE(""https://docs.google.com/spreadsheets/d/16JDLGguT8s5DsGCND1KcwHP_AWR_zDMTqLHPLJUKhaU/edit?usp=sharing"",""พังงา!Q180"")+IMPORTRANGE(""https://docs.google.com/spreadsheets/d/17ht0gPKzzT3PObBL1XJkeR"&amp;"mntBXI7wGjpLV7QorqlTk/edit?usp=sharing"",""พัทลุง!Q180"")+IMPORTRANGE(""https://docs.google.com/spreadsheets/d/1rd4qoM1q_hsgaolqNGfrim9gbsoLxQsda4-vOz5x_BM/edit?usp=sharing"",""ภูเก็ต!Q180"")+IMPORTRANGE(""https://docs.google.com/spreadsheets/d/1woKwKjgoL"&amp;"ssDvPcPeVyezB5izizAn4X1JDrys69n6xI/edit?usp=sharing"",""ยะลา!Q180"")+IMPORTRANGE(""https://docs.google.com/spreadsheets/d/1qfrKjzMhm2HJfxQ-qVlJlJQ25Hne1d0khsySbZyGtPA/edit?usp=sharing"",""ระนอง!Q180"")+IMPORTRANGE(""https://docs.google.com/spreadsheets/d/"&amp;"1IbSCnFOKpZsnFogBHJnL_isstZVaOMnFiIN0fGTPZZw/edit?usp=sharing"",""สงขลา!Q180"")+IMPORTRANGE(""https://docs.google.com/spreadsheets/d/1q9nWasZJ-K8bFGvbE9n0qSRuKGA4Toe3Y89cKCiVtCU/edit?usp=sharing"",""สตูล!Q180"")+IMPORTRANGE(""https://docs.google.com/sprea"&amp;"dsheets/d/18T20gbkS_WBjdscyTOV05cvq_JqvqQ17C81mpxf7Ncs/edit?usp=sharing"",""สุราษฎร์ธานี!Q180"")"),0)</f>
        <v>0</v>
      </c>
      <c r="R180" s="47">
        <f ca="1">IFERROR(__xludf.DUMMYFUNCTION("IMPORTRANGE(""https://docs.google.com/spreadsheets/d/1kKUcYdkIfrgTSj8iHHHB2MD2FAtwyyocFgqGQn6ADyI/edit?usp=sharing"",""กระบี่!R180"")+IMPORTRANGE(""https://docs.google.com/spreadsheets/d/1GwtLaSlNZkLk7iDqcyZz22giiy40b_usZZBXYciEN1U/edit?usp=sharing"",""ชุ"&amp;"มพร!R180"")+IMPORTRANGE(""https://docs.google.com/spreadsheets/d/16pAz3pOhQEZBhvFNMa5KGgZS6iKWpsKX0pg6tQmwFpo/edit?usp=sharing"",""ตรัง!R180"")+IMPORTRANGE(""https://docs.google.com/spreadsheets/d/1Dj4jcHCTV9JXKCaMoheSXS52JE63kDKyG7bPXnFogHk/edit?usp=shar"&amp;"ing"",""นครศรีธรรมราช!R180"")+IMPORTRANGE(""https://docs.google.com/spreadsheets/d/1iodCdmuK2GR3jzUwk8tpccY2JHQQA-87DLOtJP-ooyU/edit?usp=sharing"",""นราธิวาส!R180"")+IMPORTRANGE(""https://docs.google.com/spreadsheets/d/1SDNX3JhDdYRuIOsj0Wh2M-Qa_eaXl0NbWmh"&amp;"AOTbfQAs/edit?usp=sharing"",""ปัตตานี!R180"")+IMPORTRANGE(""https://docs.google.com/spreadsheets/d/16JDLGguT8s5DsGCND1KcwHP_AWR_zDMTqLHPLJUKhaU/edit?usp=sharing"",""พังงา!R180"")+IMPORTRANGE(""https://docs.google.com/spreadsheets/d/17ht0gPKzzT3PObBL1XJkeR"&amp;"mntBXI7wGjpLV7QorqlTk/edit?usp=sharing"",""พัทลุง!R180"")+IMPORTRANGE(""https://docs.google.com/spreadsheets/d/1rd4qoM1q_hsgaolqNGfrim9gbsoLxQsda4-vOz5x_BM/edit?usp=sharing"",""ภูเก็ต!R180"")+IMPORTRANGE(""https://docs.google.com/spreadsheets/d/1woKwKjgoL"&amp;"ssDvPcPeVyezB5izizAn4X1JDrys69n6xI/edit?usp=sharing"",""ยะลา!R180"")+IMPORTRANGE(""https://docs.google.com/spreadsheets/d/1qfrKjzMhm2HJfxQ-qVlJlJQ25Hne1d0khsySbZyGtPA/edit?usp=sharing"",""ระนอง!R180"")+IMPORTRANGE(""https://docs.google.com/spreadsheets/d/"&amp;"1IbSCnFOKpZsnFogBHJnL_isstZVaOMnFiIN0fGTPZZw/edit?usp=sharing"",""สงขลา!R180"")+IMPORTRANGE(""https://docs.google.com/spreadsheets/d/1q9nWasZJ-K8bFGvbE9n0qSRuKGA4Toe3Y89cKCiVtCU/edit?usp=sharing"",""สตูล!R180"")+IMPORTRANGE(""https://docs.google.com/sprea"&amp;"dsheets/d/18T20gbkS_WBjdscyTOV05cvq_JqvqQ17C81mpxf7Ncs/edit?usp=sharing"",""สุราษฎร์ธานี!R180"")"),0)</f>
        <v>0</v>
      </c>
      <c r="S180" s="47">
        <f ca="1">IFERROR(__xludf.DUMMYFUNCTION("IMPORTRANGE(""https://docs.google.com/spreadsheets/d/1kKUcYdkIfrgTSj8iHHHB2MD2FAtwyyocFgqGQn6ADyI/edit?usp=sharing"",""กระบี่!S180"")+IMPORTRANGE(""https://docs.google.com/spreadsheets/d/1GwtLaSlNZkLk7iDqcyZz22giiy40b_usZZBXYciEN1U/edit?usp=sharing"",""ชุ"&amp;"มพร!S180"")+IMPORTRANGE(""https://docs.google.com/spreadsheets/d/16pAz3pOhQEZBhvFNMa5KGgZS6iKWpsKX0pg6tQmwFpo/edit?usp=sharing"",""ตรัง!S180"")+IMPORTRANGE(""https://docs.google.com/spreadsheets/d/1Dj4jcHCTV9JXKCaMoheSXS52JE63kDKyG7bPXnFogHk/edit?usp=shar"&amp;"ing"",""นครศรีธรรมราช!S180"")+IMPORTRANGE(""https://docs.google.com/spreadsheets/d/1iodCdmuK2GR3jzUwk8tpccY2JHQQA-87DLOtJP-ooyU/edit?usp=sharing"",""นราธิวาส!S180"")+IMPORTRANGE(""https://docs.google.com/spreadsheets/d/1SDNX3JhDdYRuIOsj0Wh2M-Qa_eaXl0NbWmh"&amp;"AOTbfQAs/edit?usp=sharing"",""ปัตตานี!S180"")+IMPORTRANGE(""https://docs.google.com/spreadsheets/d/16JDLGguT8s5DsGCND1KcwHP_AWR_zDMTqLHPLJUKhaU/edit?usp=sharing"",""พังงา!S180"")+IMPORTRANGE(""https://docs.google.com/spreadsheets/d/17ht0gPKzzT3PObBL1XJkeR"&amp;"mntBXI7wGjpLV7QorqlTk/edit?usp=sharing"",""พัทลุง!S180"")+IMPORTRANGE(""https://docs.google.com/spreadsheets/d/1rd4qoM1q_hsgaolqNGfrim9gbsoLxQsda4-vOz5x_BM/edit?usp=sharing"",""ภูเก็ต!S180"")+IMPORTRANGE(""https://docs.google.com/spreadsheets/d/1woKwKjgoL"&amp;"ssDvPcPeVyezB5izizAn4X1JDrys69n6xI/edit?usp=sharing"",""ยะลา!S180"")+IMPORTRANGE(""https://docs.google.com/spreadsheets/d/1qfrKjzMhm2HJfxQ-qVlJlJQ25Hne1d0khsySbZyGtPA/edit?usp=sharing"",""ระนอง!S180"")+IMPORTRANGE(""https://docs.google.com/spreadsheets/d/"&amp;"1IbSCnFOKpZsnFogBHJnL_isstZVaOMnFiIN0fGTPZZw/edit?usp=sharing"",""สงขลา!S180"")+IMPORTRANGE(""https://docs.google.com/spreadsheets/d/1q9nWasZJ-K8bFGvbE9n0qSRuKGA4Toe3Y89cKCiVtCU/edit?usp=sharing"",""สตูล!S180"")+IMPORTRANGE(""https://docs.google.com/sprea"&amp;"dsheets/d/18T20gbkS_WBjdscyTOV05cvq_JqvqQ17C81mpxf7Ncs/edit?usp=sharing"",""สุราษฎร์ธานี!S180"")"),0)</f>
        <v>0</v>
      </c>
      <c r="T180" s="49">
        <f t="shared" ca="1" si="145"/>
        <v>0</v>
      </c>
      <c r="U180" s="49">
        <f t="shared" ca="1" si="146"/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47">
        <f ca="1">IFERROR(__xludf.DUMMYFUNCTION("IMPORTRANGE(""https://docs.google.com/spreadsheets/d/1kKUcYdkIfrgTSj8iHHHB2MD2FAtwyyocFgqGQn6ADyI/edit?usp=sharing"",""กระบี่!L181"")+IMPORTRANGE(""https://docs.google.com/spreadsheets/d/1GwtLaSlNZkLk7iDqcyZz22giiy40b_usZZBXYciEN1U/edit?usp=sharing"",""ชุ"&amp;"มพร!L181"")+IMPORTRANGE(""https://docs.google.com/spreadsheets/d/16pAz3pOhQEZBhvFNMa5KGgZS6iKWpsKX0pg6tQmwFpo/edit?usp=sharing"",""ตรัง!L181"")+IMPORTRANGE(""https://docs.google.com/spreadsheets/d/1Dj4jcHCTV9JXKCaMoheSXS52JE63kDKyG7bPXnFogHk/edit?usp=shar"&amp;"ing"",""นครศรีธรรมราช!L181"")+IMPORTRANGE(""https://docs.google.com/spreadsheets/d/1iodCdmuK2GR3jzUwk8tpccY2JHQQA-87DLOtJP-ooyU/edit?usp=sharing"",""นราธิวาส!L181"")+IMPORTRANGE(""https://docs.google.com/spreadsheets/d/1SDNX3JhDdYRuIOsj0Wh2M-Qa_eaXl0NbWmh"&amp;"AOTbfQAs/edit?usp=sharing"",""ปัตตานี!L181"")+IMPORTRANGE(""https://docs.google.com/spreadsheets/d/16JDLGguT8s5DsGCND1KcwHP_AWR_zDMTqLHPLJUKhaU/edit?usp=sharing"",""พังงา!L181"")+IMPORTRANGE(""https://docs.google.com/spreadsheets/d/17ht0gPKzzT3PObBL1XJkeR"&amp;"mntBXI7wGjpLV7QorqlTk/edit?usp=sharing"",""พัทลุง!L181"")+IMPORTRANGE(""https://docs.google.com/spreadsheets/d/1rd4qoM1q_hsgaolqNGfrim9gbsoLxQsda4-vOz5x_BM/edit?usp=sharing"",""ภูเก็ต!L181"")+IMPORTRANGE(""https://docs.google.com/spreadsheets/d/1woKwKjgoL"&amp;"ssDvPcPeVyezB5izizAn4X1JDrys69n6xI/edit?usp=sharing"",""ยะลา!L181"")+IMPORTRANGE(""https://docs.google.com/spreadsheets/d/1qfrKjzMhm2HJfxQ-qVlJlJQ25Hne1d0khsySbZyGtPA/edit?usp=sharing"",""ระนอง!L181"")+IMPORTRANGE(""https://docs.google.com/spreadsheets/d/"&amp;"1IbSCnFOKpZsnFogBHJnL_isstZVaOMnFiIN0fGTPZZw/edit?usp=sharing"",""สงขลา!L181"")+IMPORTRANGE(""https://docs.google.com/spreadsheets/d/1q9nWasZJ-K8bFGvbE9n0qSRuKGA4Toe3Y89cKCiVtCU/edit?usp=sharing"",""สตูล!L181"")+IMPORTRANGE(""https://docs.google.com/sprea"&amp;"dsheets/d/18T20gbkS_WBjdscyTOV05cvq_JqvqQ17C81mpxf7Ncs/edit?usp=sharing"",""สุราษฎร์ธานี!L181"")"),0)</f>
        <v>0</v>
      </c>
      <c r="M181" s="47">
        <f ca="1">IFERROR(__xludf.DUMMYFUNCTION("IMPORTRANGE(""https://docs.google.com/spreadsheets/d/1kKUcYdkIfrgTSj8iHHHB2MD2FAtwyyocFgqGQn6ADyI/edit?usp=sharing"",""กระบี่!M181"")+IMPORTRANGE(""https://docs.google.com/spreadsheets/d/1GwtLaSlNZkLk7iDqcyZz22giiy40b_usZZBXYciEN1U/edit?usp=sharing"",""ชุ"&amp;"มพร!M181"")+IMPORTRANGE(""https://docs.google.com/spreadsheets/d/16pAz3pOhQEZBhvFNMa5KGgZS6iKWpsKX0pg6tQmwFpo/edit?usp=sharing"",""ตรัง!M181"")+IMPORTRANGE(""https://docs.google.com/spreadsheets/d/1Dj4jcHCTV9JXKCaMoheSXS52JE63kDKyG7bPXnFogHk/edit?usp=shar"&amp;"ing"",""นครศรีธรรมราช!M181"")+IMPORTRANGE(""https://docs.google.com/spreadsheets/d/1iodCdmuK2GR3jzUwk8tpccY2JHQQA-87DLOtJP-ooyU/edit?usp=sharing"",""นราธิวาส!M181"")+IMPORTRANGE(""https://docs.google.com/spreadsheets/d/1SDNX3JhDdYRuIOsj0Wh2M-Qa_eaXl0NbWmh"&amp;"AOTbfQAs/edit?usp=sharing"",""ปัตตานี!M181"")+IMPORTRANGE(""https://docs.google.com/spreadsheets/d/16JDLGguT8s5DsGCND1KcwHP_AWR_zDMTqLHPLJUKhaU/edit?usp=sharing"",""พังงา!M181"")+IMPORTRANGE(""https://docs.google.com/spreadsheets/d/17ht0gPKzzT3PObBL1XJkeR"&amp;"mntBXI7wGjpLV7QorqlTk/edit?usp=sharing"",""พัทลุง!M181"")+IMPORTRANGE(""https://docs.google.com/spreadsheets/d/1rd4qoM1q_hsgaolqNGfrim9gbsoLxQsda4-vOz5x_BM/edit?usp=sharing"",""ภูเก็ต!M181"")+IMPORTRANGE(""https://docs.google.com/spreadsheets/d/1woKwKjgoL"&amp;"ssDvPcPeVyezB5izizAn4X1JDrys69n6xI/edit?usp=sharing"",""ยะลา!M181"")+IMPORTRANGE(""https://docs.google.com/spreadsheets/d/1qfrKjzMhm2HJfxQ-qVlJlJQ25Hne1d0khsySbZyGtPA/edit?usp=sharing"",""ระนอง!M181"")+IMPORTRANGE(""https://docs.google.com/spreadsheets/d/"&amp;"1IbSCnFOKpZsnFogBHJnL_isstZVaOMnFiIN0fGTPZZw/edit?usp=sharing"",""สงขลา!M181"")+IMPORTRANGE(""https://docs.google.com/spreadsheets/d/1q9nWasZJ-K8bFGvbE9n0qSRuKGA4Toe3Y89cKCiVtCU/edit?usp=sharing"",""สตูล!M181"")+IMPORTRANGE(""https://docs.google.com/sprea"&amp;"dsheets/d/18T20gbkS_WBjdscyTOV05cvq_JqvqQ17C81mpxf7Ncs/edit?usp=sharing"",""สุราษฎร์ธานี!M181"")"),0)</f>
        <v>0</v>
      </c>
      <c r="N181" s="47">
        <f ca="1">IFERROR(__xludf.DUMMYFUNCTION("IMPORTRANGE(""https://docs.google.com/spreadsheets/d/1kKUcYdkIfrgTSj8iHHHB2MD2FAtwyyocFgqGQn6ADyI/edit?usp=sharing"",""กระบี่!N181"")+IMPORTRANGE(""https://docs.google.com/spreadsheets/d/1GwtLaSlNZkLk7iDqcyZz22giiy40b_usZZBXYciEN1U/edit?usp=sharing"",""ชุ"&amp;"มพร!N181"")+IMPORTRANGE(""https://docs.google.com/spreadsheets/d/16pAz3pOhQEZBhvFNMa5KGgZS6iKWpsKX0pg6tQmwFpo/edit?usp=sharing"",""ตรัง!N181"")+IMPORTRANGE(""https://docs.google.com/spreadsheets/d/1Dj4jcHCTV9JXKCaMoheSXS52JE63kDKyG7bPXnFogHk/edit?usp=shar"&amp;"ing"",""นครศรีธรรมราช!N181"")+IMPORTRANGE(""https://docs.google.com/spreadsheets/d/1iodCdmuK2GR3jzUwk8tpccY2JHQQA-87DLOtJP-ooyU/edit?usp=sharing"",""นราธิวาส!N181"")+IMPORTRANGE(""https://docs.google.com/spreadsheets/d/1SDNX3JhDdYRuIOsj0Wh2M-Qa_eaXl0NbWmh"&amp;"AOTbfQAs/edit?usp=sharing"",""ปัตตานี!N181"")+IMPORTRANGE(""https://docs.google.com/spreadsheets/d/16JDLGguT8s5DsGCND1KcwHP_AWR_zDMTqLHPLJUKhaU/edit?usp=sharing"",""พังงา!N181"")+IMPORTRANGE(""https://docs.google.com/spreadsheets/d/17ht0gPKzzT3PObBL1XJkeR"&amp;"mntBXI7wGjpLV7QorqlTk/edit?usp=sharing"",""พัทลุง!N181"")+IMPORTRANGE(""https://docs.google.com/spreadsheets/d/1rd4qoM1q_hsgaolqNGfrim9gbsoLxQsda4-vOz5x_BM/edit?usp=sharing"",""ภูเก็ต!N181"")+IMPORTRANGE(""https://docs.google.com/spreadsheets/d/1woKwKjgoL"&amp;"ssDvPcPeVyezB5izizAn4X1JDrys69n6xI/edit?usp=sharing"",""ยะลา!N181"")+IMPORTRANGE(""https://docs.google.com/spreadsheets/d/1qfrKjzMhm2HJfxQ-qVlJlJQ25Hne1d0khsySbZyGtPA/edit?usp=sharing"",""ระนอง!N181"")+IMPORTRANGE(""https://docs.google.com/spreadsheets/d/"&amp;"1IbSCnFOKpZsnFogBHJnL_isstZVaOMnFiIN0fGTPZZw/edit?usp=sharing"",""สงขลา!N181"")+IMPORTRANGE(""https://docs.google.com/spreadsheets/d/1q9nWasZJ-K8bFGvbE9n0qSRuKGA4Toe3Y89cKCiVtCU/edit?usp=sharing"",""สตูล!N181"")+IMPORTRANGE(""https://docs.google.com/sprea"&amp;"dsheets/d/18T20gbkS_WBjdscyTOV05cvq_JqvqQ17C81mpxf7Ncs/edit?usp=sharing"",""สุราษฎร์ธานี!N181"")"),0)</f>
        <v>0</v>
      </c>
      <c r="O181" s="47">
        <f t="shared" ca="1" si="142"/>
        <v>0</v>
      </c>
      <c r="P181" s="47">
        <f t="shared" ca="1" si="143"/>
        <v>0</v>
      </c>
      <c r="Q181" s="47">
        <f ca="1">IFERROR(__xludf.DUMMYFUNCTION("IMPORTRANGE(""https://docs.google.com/spreadsheets/d/1kKUcYdkIfrgTSj8iHHHB2MD2FAtwyyocFgqGQn6ADyI/edit?usp=sharing"",""กระบี่!Q181"")+IMPORTRANGE(""https://docs.google.com/spreadsheets/d/1GwtLaSlNZkLk7iDqcyZz22giiy40b_usZZBXYciEN1U/edit?usp=sharing"",""ชุ"&amp;"มพร!Q181"")+IMPORTRANGE(""https://docs.google.com/spreadsheets/d/16pAz3pOhQEZBhvFNMa5KGgZS6iKWpsKX0pg6tQmwFpo/edit?usp=sharing"",""ตรัง!Q181"")+IMPORTRANGE(""https://docs.google.com/spreadsheets/d/1Dj4jcHCTV9JXKCaMoheSXS52JE63kDKyG7bPXnFogHk/edit?usp=shar"&amp;"ing"",""นครศรีธรรมราช!Q181"")+IMPORTRANGE(""https://docs.google.com/spreadsheets/d/1iodCdmuK2GR3jzUwk8tpccY2JHQQA-87DLOtJP-ooyU/edit?usp=sharing"",""นราธิวาส!Q181"")+IMPORTRANGE(""https://docs.google.com/spreadsheets/d/1SDNX3JhDdYRuIOsj0Wh2M-Qa_eaXl0NbWmh"&amp;"AOTbfQAs/edit?usp=sharing"",""ปัตตานี!Q181"")+IMPORTRANGE(""https://docs.google.com/spreadsheets/d/16JDLGguT8s5DsGCND1KcwHP_AWR_zDMTqLHPLJUKhaU/edit?usp=sharing"",""พังงา!Q181"")+IMPORTRANGE(""https://docs.google.com/spreadsheets/d/17ht0gPKzzT3PObBL1XJkeR"&amp;"mntBXI7wGjpLV7QorqlTk/edit?usp=sharing"",""พัทลุง!Q181"")+IMPORTRANGE(""https://docs.google.com/spreadsheets/d/1rd4qoM1q_hsgaolqNGfrim9gbsoLxQsda4-vOz5x_BM/edit?usp=sharing"",""ภูเก็ต!Q181"")+IMPORTRANGE(""https://docs.google.com/spreadsheets/d/1woKwKjgoL"&amp;"ssDvPcPeVyezB5izizAn4X1JDrys69n6xI/edit?usp=sharing"",""ยะลา!Q181"")+IMPORTRANGE(""https://docs.google.com/spreadsheets/d/1qfrKjzMhm2HJfxQ-qVlJlJQ25Hne1d0khsySbZyGtPA/edit?usp=sharing"",""ระนอง!Q181"")+IMPORTRANGE(""https://docs.google.com/spreadsheets/d/"&amp;"1IbSCnFOKpZsnFogBHJnL_isstZVaOMnFiIN0fGTPZZw/edit?usp=sharing"",""สงขลา!Q181"")+IMPORTRANGE(""https://docs.google.com/spreadsheets/d/1q9nWasZJ-K8bFGvbE9n0qSRuKGA4Toe3Y89cKCiVtCU/edit?usp=sharing"",""สตูล!Q181"")+IMPORTRANGE(""https://docs.google.com/sprea"&amp;"dsheets/d/18T20gbkS_WBjdscyTOV05cvq_JqvqQ17C81mpxf7Ncs/edit?usp=sharing"",""สุราษฎร์ธานี!Q181"")"),0)</f>
        <v>0</v>
      </c>
      <c r="R181" s="47">
        <f ca="1">IFERROR(__xludf.DUMMYFUNCTION("IMPORTRANGE(""https://docs.google.com/spreadsheets/d/1kKUcYdkIfrgTSj8iHHHB2MD2FAtwyyocFgqGQn6ADyI/edit?usp=sharing"",""กระบี่!R181"")+IMPORTRANGE(""https://docs.google.com/spreadsheets/d/1GwtLaSlNZkLk7iDqcyZz22giiy40b_usZZBXYciEN1U/edit?usp=sharing"",""ชุ"&amp;"มพร!R181"")+IMPORTRANGE(""https://docs.google.com/spreadsheets/d/16pAz3pOhQEZBhvFNMa5KGgZS6iKWpsKX0pg6tQmwFpo/edit?usp=sharing"",""ตรัง!R181"")+IMPORTRANGE(""https://docs.google.com/spreadsheets/d/1Dj4jcHCTV9JXKCaMoheSXS52JE63kDKyG7bPXnFogHk/edit?usp=shar"&amp;"ing"",""นครศรีธรรมราช!R181"")+IMPORTRANGE(""https://docs.google.com/spreadsheets/d/1iodCdmuK2GR3jzUwk8tpccY2JHQQA-87DLOtJP-ooyU/edit?usp=sharing"",""นราธิวาส!R181"")+IMPORTRANGE(""https://docs.google.com/spreadsheets/d/1SDNX3JhDdYRuIOsj0Wh2M-Qa_eaXl0NbWmh"&amp;"AOTbfQAs/edit?usp=sharing"",""ปัตตานี!R181"")+IMPORTRANGE(""https://docs.google.com/spreadsheets/d/16JDLGguT8s5DsGCND1KcwHP_AWR_zDMTqLHPLJUKhaU/edit?usp=sharing"",""พังงา!R181"")+IMPORTRANGE(""https://docs.google.com/spreadsheets/d/17ht0gPKzzT3PObBL1XJkeR"&amp;"mntBXI7wGjpLV7QorqlTk/edit?usp=sharing"",""พัทลุง!R181"")+IMPORTRANGE(""https://docs.google.com/spreadsheets/d/1rd4qoM1q_hsgaolqNGfrim9gbsoLxQsda4-vOz5x_BM/edit?usp=sharing"",""ภูเก็ต!R181"")+IMPORTRANGE(""https://docs.google.com/spreadsheets/d/1woKwKjgoL"&amp;"ssDvPcPeVyezB5izizAn4X1JDrys69n6xI/edit?usp=sharing"",""ยะลา!R181"")+IMPORTRANGE(""https://docs.google.com/spreadsheets/d/1qfrKjzMhm2HJfxQ-qVlJlJQ25Hne1d0khsySbZyGtPA/edit?usp=sharing"",""ระนอง!R181"")+IMPORTRANGE(""https://docs.google.com/spreadsheets/d/"&amp;"1IbSCnFOKpZsnFogBHJnL_isstZVaOMnFiIN0fGTPZZw/edit?usp=sharing"",""สงขลา!R181"")+IMPORTRANGE(""https://docs.google.com/spreadsheets/d/1q9nWasZJ-K8bFGvbE9n0qSRuKGA4Toe3Y89cKCiVtCU/edit?usp=sharing"",""สตูล!R181"")+IMPORTRANGE(""https://docs.google.com/sprea"&amp;"dsheets/d/18T20gbkS_WBjdscyTOV05cvq_JqvqQ17C81mpxf7Ncs/edit?usp=sharing"",""สุราษฎร์ธานี!R181"")"),0)</f>
        <v>0</v>
      </c>
      <c r="S181" s="47">
        <f ca="1">IFERROR(__xludf.DUMMYFUNCTION("IMPORTRANGE(""https://docs.google.com/spreadsheets/d/1kKUcYdkIfrgTSj8iHHHB2MD2FAtwyyocFgqGQn6ADyI/edit?usp=sharing"",""กระบี่!S181"")+IMPORTRANGE(""https://docs.google.com/spreadsheets/d/1GwtLaSlNZkLk7iDqcyZz22giiy40b_usZZBXYciEN1U/edit?usp=sharing"",""ชุ"&amp;"มพร!S181"")+IMPORTRANGE(""https://docs.google.com/spreadsheets/d/16pAz3pOhQEZBhvFNMa5KGgZS6iKWpsKX0pg6tQmwFpo/edit?usp=sharing"",""ตรัง!S181"")+IMPORTRANGE(""https://docs.google.com/spreadsheets/d/1Dj4jcHCTV9JXKCaMoheSXS52JE63kDKyG7bPXnFogHk/edit?usp=shar"&amp;"ing"",""นครศรีธรรมราช!S181"")+IMPORTRANGE(""https://docs.google.com/spreadsheets/d/1iodCdmuK2GR3jzUwk8tpccY2JHQQA-87DLOtJP-ooyU/edit?usp=sharing"",""นราธิวาส!S181"")+IMPORTRANGE(""https://docs.google.com/spreadsheets/d/1SDNX3JhDdYRuIOsj0Wh2M-Qa_eaXl0NbWmh"&amp;"AOTbfQAs/edit?usp=sharing"",""ปัตตานี!S181"")+IMPORTRANGE(""https://docs.google.com/spreadsheets/d/16JDLGguT8s5DsGCND1KcwHP_AWR_zDMTqLHPLJUKhaU/edit?usp=sharing"",""พังงา!S181"")+IMPORTRANGE(""https://docs.google.com/spreadsheets/d/17ht0gPKzzT3PObBL1XJkeR"&amp;"mntBXI7wGjpLV7QorqlTk/edit?usp=sharing"",""พัทลุง!S181"")+IMPORTRANGE(""https://docs.google.com/spreadsheets/d/1rd4qoM1q_hsgaolqNGfrim9gbsoLxQsda4-vOz5x_BM/edit?usp=sharing"",""ภูเก็ต!S181"")+IMPORTRANGE(""https://docs.google.com/spreadsheets/d/1woKwKjgoL"&amp;"ssDvPcPeVyezB5izizAn4X1JDrys69n6xI/edit?usp=sharing"",""ยะลา!S181"")+IMPORTRANGE(""https://docs.google.com/spreadsheets/d/1qfrKjzMhm2HJfxQ-qVlJlJQ25Hne1d0khsySbZyGtPA/edit?usp=sharing"",""ระนอง!S181"")+IMPORTRANGE(""https://docs.google.com/spreadsheets/d/"&amp;"1IbSCnFOKpZsnFogBHJnL_isstZVaOMnFiIN0fGTPZZw/edit?usp=sharing"",""สงขลา!S181"")+IMPORTRANGE(""https://docs.google.com/spreadsheets/d/1q9nWasZJ-K8bFGvbE9n0qSRuKGA4Toe3Y89cKCiVtCU/edit?usp=sharing"",""สตูล!S181"")+IMPORTRANGE(""https://docs.google.com/sprea"&amp;"dsheets/d/18T20gbkS_WBjdscyTOV05cvq_JqvqQ17C81mpxf7Ncs/edit?usp=sharing"",""สุราษฎร์ธานี!S181"")"),0)</f>
        <v>0</v>
      </c>
      <c r="T181" s="47">
        <f t="shared" ca="1" si="145"/>
        <v>0</v>
      </c>
      <c r="U181" s="47">
        <f t="shared" ca="1" si="146"/>
        <v>0</v>
      </c>
    </row>
    <row r="182" spans="1:21" ht="19.5" x14ac:dyDescent="0.3">
      <c r="A182" s="138"/>
      <c r="B182" s="139"/>
      <c r="C182" s="129" t="s">
        <v>18</v>
      </c>
      <c r="D182" s="140" t="s">
        <v>38</v>
      </c>
      <c r="E182" s="141"/>
      <c r="F182" s="141"/>
      <c r="G182" s="142"/>
      <c r="H182" s="189"/>
      <c r="I182" s="45"/>
      <c r="J182" s="45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kKUcYdkIfrgTSj8iHHHB2MD2FAtwyyocFgqGQn6ADyI/edit?usp=sharing"",""กระบี่!I183"")+IMPORTRANGE(""https://docs.google.com/spreadsheets/d/1GwtLaSlNZkLk7iDqcyZz22giiy40b_usZZBXYciEN1U/edit?usp=sharing"",""ชุ"&amp;"มพร!I183"")+IMPORTRANGE(""https://docs.google.com/spreadsheets/d/16pAz3pOhQEZBhvFNMa5KGgZS6iKWpsKX0pg6tQmwFpo/edit?usp=sharing"",""ตรัง!I183"")+IMPORTRANGE(""https://docs.google.com/spreadsheets/d/1Dj4jcHCTV9JXKCaMoheSXS52JE63kDKyG7bPXnFogHk/edit?usp=shar"&amp;"ing"",""นครศรีธรรมราช!I183"")+IMPORTRANGE(""https://docs.google.com/spreadsheets/d/1iodCdmuK2GR3jzUwk8tpccY2JHQQA-87DLOtJP-ooyU/edit?usp=sharing"",""นราธิวาส!I183"")+IMPORTRANGE(""https://docs.google.com/spreadsheets/d/1SDNX3JhDdYRuIOsj0Wh2M-Qa_eaXl0NbWmh"&amp;"AOTbfQAs/edit?usp=sharing"",""ปัตตานี!I183"")+IMPORTRANGE(""https://docs.google.com/spreadsheets/d/16JDLGguT8s5DsGCND1KcwHP_AWR_zDMTqLHPLJUKhaU/edit?usp=sharing"",""พังงา!I183"")+IMPORTRANGE(""https://docs.google.com/spreadsheets/d/17ht0gPKzzT3PObBL1XJkeR"&amp;"mntBXI7wGjpLV7QorqlTk/edit?usp=sharing"",""พัทลุง!I183"")+IMPORTRANGE(""https://docs.google.com/spreadsheets/d/1rd4qoM1q_hsgaolqNGfrim9gbsoLxQsda4-vOz5x_BM/edit?usp=sharing"",""ภูเก็ต!I183"")+IMPORTRANGE(""https://docs.google.com/spreadsheets/d/1woKwKjgoL"&amp;"ssDvPcPeVyezB5izizAn4X1JDrys69n6xI/edit?usp=sharing"",""ยะลา!I183"")+IMPORTRANGE(""https://docs.google.com/spreadsheets/d/1qfrKjzMhm2HJfxQ-qVlJlJQ25Hne1d0khsySbZyGtPA/edit?usp=sharing"",""ระนอง!I183"")+IMPORTRANGE(""https://docs.google.com/spreadsheets/d/"&amp;"1IbSCnFOKpZsnFogBHJnL_isstZVaOMnFiIN0fGTPZZw/edit?usp=sharing"",""สงขลา!I183"")+IMPORTRANGE(""https://docs.google.com/spreadsheets/d/1q9nWasZJ-K8bFGvbE9n0qSRuKGA4Toe3Y89cKCiVtCU/edit?usp=sharing"",""สตูล!I183"")+IMPORTRANGE(""https://docs.google.com/sprea"&amp;"dsheets/d/18T20gbkS_WBjdscyTOV05cvq_JqvqQ17C81mpxf7Ncs/edit?usp=sharing"",""สุราษฎร์ธานี!I183"")"),102)</f>
        <v>102</v>
      </c>
      <c r="J183" s="152">
        <f ca="1">IFERROR(__xludf.DUMMYFUNCTION("IMPORTRANGE(""https://docs.google.com/spreadsheets/d/1kKUcYdkIfrgTSj8iHHHB2MD2FAtwyyocFgqGQn6ADyI/edit?usp=sharing"",""กระบี่!J183"")+IMPORTRANGE(""https://docs.google.com/spreadsheets/d/1GwtLaSlNZkLk7iDqcyZz22giiy40b_usZZBXYciEN1U/edit?usp=sharing"",""ชุ"&amp;"มพร!J183"")+IMPORTRANGE(""https://docs.google.com/spreadsheets/d/16pAz3pOhQEZBhvFNMa5KGgZS6iKWpsKX0pg6tQmwFpo/edit?usp=sharing"",""ตรัง!J183"")+IMPORTRANGE(""https://docs.google.com/spreadsheets/d/1Dj4jcHCTV9JXKCaMoheSXS52JE63kDKyG7bPXnFogHk/edit?usp=shar"&amp;"ing"",""นครศรีธรรมราช!J183"")+IMPORTRANGE(""https://docs.google.com/spreadsheets/d/1iodCdmuK2GR3jzUwk8tpccY2JHQQA-87DLOtJP-ooyU/edit?usp=sharing"",""นราธิวาส!J183"")+IMPORTRANGE(""https://docs.google.com/spreadsheets/d/1SDNX3JhDdYRuIOsj0Wh2M-Qa_eaXl0NbWmh"&amp;"AOTbfQAs/edit?usp=sharing"",""ปัตตานี!J183"")+IMPORTRANGE(""https://docs.google.com/spreadsheets/d/16JDLGguT8s5DsGCND1KcwHP_AWR_zDMTqLHPLJUKhaU/edit?usp=sharing"",""พังงา!J183"")+IMPORTRANGE(""https://docs.google.com/spreadsheets/d/17ht0gPKzzT3PObBL1XJkeR"&amp;"mntBXI7wGjpLV7QorqlTk/edit?usp=sharing"",""พัทลุง!J183"")+IMPORTRANGE(""https://docs.google.com/spreadsheets/d/1rd4qoM1q_hsgaolqNGfrim9gbsoLxQsda4-vOz5x_BM/edit?usp=sharing"",""ภูเก็ต!J183"")+IMPORTRANGE(""https://docs.google.com/spreadsheets/d/1woKwKjgoL"&amp;"ssDvPcPeVyezB5izizAn4X1JDrys69n6xI/edit?usp=sharing"",""ยะลา!J183"")+IMPORTRANGE(""https://docs.google.com/spreadsheets/d/1qfrKjzMhm2HJfxQ-qVlJlJQ25Hne1d0khsySbZyGtPA/edit?usp=sharing"",""ระนอง!J183"")+IMPORTRANGE(""https://docs.google.com/spreadsheets/d/"&amp;"1IbSCnFOKpZsnFogBHJnL_isstZVaOMnFiIN0fGTPZZw/edit?usp=sharing"",""สงขลา!J183"")+IMPORTRANGE(""https://docs.google.com/spreadsheets/d/1q9nWasZJ-K8bFGvbE9n0qSRuKGA4Toe3Y89cKCiVtCU/edit?usp=sharing"",""สตูล!J183"")+IMPORTRANGE(""https://docs.google.com/sprea"&amp;"dsheets/d/18T20gbkS_WBjdscyTOV05cvq_JqvqQ17C81mpxf7Ncs/edit?usp=sharing"",""สุราษฎร์ธานี!J183"")"),77)</f>
        <v>77</v>
      </c>
      <c r="K183" s="47">
        <f t="shared" ref="K183:K185" ca="1" si="155">IF(I183&gt;0,J183*100/I183,0)</f>
        <v>75.490196078431367</v>
      </c>
      <c r="L183" s="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x14ac:dyDescent="0.25">
      <c r="A184" s="217"/>
      <c r="B184" s="159"/>
      <c r="C184" s="159"/>
      <c r="D184" s="218" t="s">
        <v>76</v>
      </c>
      <c r="E184" s="41"/>
      <c r="F184" s="41"/>
      <c r="G184" s="43"/>
      <c r="H184" s="219" t="s">
        <v>35</v>
      </c>
      <c r="I184" s="152">
        <v>70</v>
      </c>
      <c r="J184" s="152">
        <v>0</v>
      </c>
      <c r="K184" s="47">
        <f t="shared" si="155"/>
        <v>0</v>
      </c>
      <c r="L184" s="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20">
        <f t="shared" ref="I185:J185" ca="1" si="156">I230+I231</f>
        <v>0</v>
      </c>
      <c r="J185" s="220">
        <f t="shared" ca="1" si="156"/>
        <v>0</v>
      </c>
      <c r="K185" s="221">
        <f t="shared" ca="1" si="155"/>
        <v>0</v>
      </c>
      <c r="L185" s="216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129" t="s">
        <v>18</v>
      </c>
      <c r="D186" s="130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132">
        <f t="shared" ref="L186:N186" ca="1" si="157">L187+L188</f>
        <v>2562900</v>
      </c>
      <c r="M186" s="132">
        <f t="shared" ca="1" si="157"/>
        <v>2625500</v>
      </c>
      <c r="N186" s="132">
        <f t="shared" ca="1" si="157"/>
        <v>1573922.04</v>
      </c>
      <c r="O186" s="132">
        <f t="shared" ref="O186:O194" ca="1" si="158">IF(L186&gt;0,N186*100/L186,0)</f>
        <v>61.411761676226149</v>
      </c>
      <c r="P186" s="132">
        <f t="shared" ref="P186:P194" ca="1" si="159">IF(M186&gt;0,N186*100/M186,0)</f>
        <v>59.947516282612838</v>
      </c>
      <c r="Q186" s="132">
        <f t="shared" ref="Q186:S186" ca="1" si="160">Q187+Q188</f>
        <v>903000</v>
      </c>
      <c r="R186" s="132">
        <f t="shared" ca="1" si="160"/>
        <v>903000</v>
      </c>
      <c r="S186" s="132">
        <f t="shared" ca="1" si="160"/>
        <v>236285</v>
      </c>
      <c r="T186" s="132">
        <f t="shared" ref="T186:T194" ca="1" si="161">IF(Q186&gt;0,S186*100/Q186,0)</f>
        <v>26.166666666666668</v>
      </c>
      <c r="U186" s="132">
        <f t="shared" ref="U186:U194" ca="1" si="162">IF(R186&gt;0,S186*100/R186,0)</f>
        <v>26.166666666666668</v>
      </c>
    </row>
    <row r="187" spans="1:21" ht="18.75" hidden="1" x14ac:dyDescent="0.25">
      <c r="A187" s="128"/>
      <c r="B187" s="41"/>
      <c r="C187" s="41"/>
      <c r="D187" s="41"/>
      <c r="E187" s="48" t="s">
        <v>20</v>
      </c>
      <c r="F187" s="41"/>
      <c r="G187" s="43"/>
      <c r="H187" s="133" t="s">
        <v>14</v>
      </c>
      <c r="I187" s="45"/>
      <c r="J187" s="45"/>
      <c r="K187" s="46"/>
      <c r="L187" s="47">
        <f t="shared" ref="L187:N187" ca="1" si="163">L190+L193</f>
        <v>0</v>
      </c>
      <c r="M187" s="47">
        <f t="shared" ca="1" si="163"/>
        <v>0</v>
      </c>
      <c r="N187" s="47">
        <f t="shared" ca="1" si="163"/>
        <v>0</v>
      </c>
      <c r="O187" s="47">
        <f t="shared" ca="1" si="158"/>
        <v>0</v>
      </c>
      <c r="P187" s="47">
        <f t="shared" ca="1" si="159"/>
        <v>0</v>
      </c>
      <c r="Q187" s="47">
        <f t="shared" ref="Q187:S187" ca="1" si="164">Q190+Q193</f>
        <v>0</v>
      </c>
      <c r="R187" s="47">
        <f t="shared" ca="1" si="164"/>
        <v>0</v>
      </c>
      <c r="S187" s="47">
        <f t="shared" ca="1" si="164"/>
        <v>0</v>
      </c>
      <c r="T187" s="49">
        <f t="shared" ca="1" si="161"/>
        <v>0</v>
      </c>
      <c r="U187" s="49">
        <f t="shared" ca="1" si="162"/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47">
        <f t="shared" ref="L188:N188" ca="1" si="165">L191+L194</f>
        <v>2562900</v>
      </c>
      <c r="M188" s="47">
        <f t="shared" ca="1" si="165"/>
        <v>2625500</v>
      </c>
      <c r="N188" s="47">
        <f t="shared" ca="1" si="165"/>
        <v>1573922.04</v>
      </c>
      <c r="O188" s="47">
        <f t="shared" ca="1" si="158"/>
        <v>61.411761676226149</v>
      </c>
      <c r="P188" s="47">
        <f t="shared" ca="1" si="159"/>
        <v>59.947516282612838</v>
      </c>
      <c r="Q188" s="47">
        <f t="shared" ref="Q188:S188" ca="1" si="166">Q191+Q194</f>
        <v>903000</v>
      </c>
      <c r="R188" s="47">
        <f t="shared" ca="1" si="166"/>
        <v>903000</v>
      </c>
      <c r="S188" s="47">
        <f t="shared" ca="1" si="166"/>
        <v>236285</v>
      </c>
      <c r="T188" s="47">
        <f t="shared" ca="1" si="161"/>
        <v>26.166666666666668</v>
      </c>
      <c r="U188" s="47">
        <f t="shared" ca="1" si="162"/>
        <v>26.166666666666668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47">
        <f t="shared" ref="L189:N189" ca="1" si="167">L190+L191</f>
        <v>2562900</v>
      </c>
      <c r="M189" s="47">
        <f t="shared" ca="1" si="167"/>
        <v>2625500</v>
      </c>
      <c r="N189" s="47">
        <f t="shared" ca="1" si="167"/>
        <v>1573922.04</v>
      </c>
      <c r="O189" s="47">
        <f t="shared" ca="1" si="158"/>
        <v>61.411761676226149</v>
      </c>
      <c r="P189" s="47">
        <f t="shared" ca="1" si="159"/>
        <v>59.947516282612838</v>
      </c>
      <c r="Q189" s="47">
        <f t="shared" ref="Q189:S189" ca="1" si="168">Q190+Q191</f>
        <v>903000</v>
      </c>
      <c r="R189" s="47">
        <f t="shared" ca="1" si="168"/>
        <v>903000</v>
      </c>
      <c r="S189" s="47">
        <f t="shared" ca="1" si="168"/>
        <v>236285</v>
      </c>
      <c r="T189" s="47">
        <f t="shared" ca="1" si="161"/>
        <v>26.166666666666668</v>
      </c>
      <c r="U189" s="47">
        <f t="shared" ca="1" si="162"/>
        <v>26.166666666666668</v>
      </c>
    </row>
    <row r="190" spans="1:21" ht="18.75" hidden="1" x14ac:dyDescent="0.25">
      <c r="A190" s="128"/>
      <c r="B190" s="41"/>
      <c r="C190" s="41"/>
      <c r="D190" s="41"/>
      <c r="E190" s="48" t="s">
        <v>36</v>
      </c>
      <c r="F190" s="41"/>
      <c r="G190" s="43"/>
      <c r="H190" s="134" t="s">
        <v>14</v>
      </c>
      <c r="I190" s="135"/>
      <c r="J190" s="135"/>
      <c r="K190" s="136"/>
      <c r="L190" s="47">
        <f ca="1">IFERROR(__xludf.DUMMYFUNCTION("IMPORTRANGE(""https://docs.google.com/spreadsheets/d/1kKUcYdkIfrgTSj8iHHHB2MD2FAtwyyocFgqGQn6ADyI/edit?usp=sharing"",""กระบี่!L190"")+IMPORTRANGE(""https://docs.google.com/spreadsheets/d/1GwtLaSlNZkLk7iDqcyZz22giiy40b_usZZBXYciEN1U/edit?usp=sharing"",""ชุ"&amp;"มพร!L190"")+IMPORTRANGE(""https://docs.google.com/spreadsheets/d/16pAz3pOhQEZBhvFNMa5KGgZS6iKWpsKX0pg6tQmwFpo/edit?usp=sharing"",""ตรัง!L190"")+IMPORTRANGE(""https://docs.google.com/spreadsheets/d/1Dj4jcHCTV9JXKCaMoheSXS52JE63kDKyG7bPXnFogHk/edit?usp=shar"&amp;"ing"",""นครศรีธรรมราช!L190"")+IMPORTRANGE(""https://docs.google.com/spreadsheets/d/1iodCdmuK2GR3jzUwk8tpccY2JHQQA-87DLOtJP-ooyU/edit?usp=sharing"",""นราธิวาส!L190"")+IMPORTRANGE(""https://docs.google.com/spreadsheets/d/1SDNX3JhDdYRuIOsj0Wh2M-Qa_eaXl0NbWmh"&amp;"AOTbfQAs/edit?usp=sharing"",""ปัตตานี!L190"")+IMPORTRANGE(""https://docs.google.com/spreadsheets/d/16JDLGguT8s5DsGCND1KcwHP_AWR_zDMTqLHPLJUKhaU/edit?usp=sharing"",""พังงา!L190"")+IMPORTRANGE(""https://docs.google.com/spreadsheets/d/17ht0gPKzzT3PObBL1XJkeR"&amp;"mntBXI7wGjpLV7QorqlTk/edit?usp=sharing"",""พัทลุง!L190"")+IMPORTRANGE(""https://docs.google.com/spreadsheets/d/1rd4qoM1q_hsgaolqNGfrim9gbsoLxQsda4-vOz5x_BM/edit?usp=sharing"",""ภูเก็ต!L190"")+IMPORTRANGE(""https://docs.google.com/spreadsheets/d/1woKwKjgoL"&amp;"ssDvPcPeVyezB5izizAn4X1JDrys69n6xI/edit?usp=sharing"",""ยะลา!L190"")+IMPORTRANGE(""https://docs.google.com/spreadsheets/d/1qfrKjzMhm2HJfxQ-qVlJlJQ25Hne1d0khsySbZyGtPA/edit?usp=sharing"",""ระนอง!L190"")+IMPORTRANGE(""https://docs.google.com/spreadsheets/d/"&amp;"1IbSCnFOKpZsnFogBHJnL_isstZVaOMnFiIN0fGTPZZw/edit?usp=sharing"",""สงขลา!L190"")+IMPORTRANGE(""https://docs.google.com/spreadsheets/d/1q9nWasZJ-K8bFGvbE9n0qSRuKGA4Toe3Y89cKCiVtCU/edit?usp=sharing"",""สตูล!L190"")+IMPORTRANGE(""https://docs.google.com/sprea"&amp;"dsheets/d/18T20gbkS_WBjdscyTOV05cvq_JqvqQ17C81mpxf7Ncs/edit?usp=sharing"",""สุราษฎร์ธานี!L190"")"),0)</f>
        <v>0</v>
      </c>
      <c r="M190" s="47">
        <f ca="1">IFERROR(__xludf.DUMMYFUNCTION("IMPORTRANGE(""https://docs.google.com/spreadsheets/d/1kKUcYdkIfrgTSj8iHHHB2MD2FAtwyyocFgqGQn6ADyI/edit?usp=sharing"",""กระบี่!M190"")+IMPORTRANGE(""https://docs.google.com/spreadsheets/d/1GwtLaSlNZkLk7iDqcyZz22giiy40b_usZZBXYciEN1U/edit?usp=sharing"",""ชุ"&amp;"มพร!M190"")+IMPORTRANGE(""https://docs.google.com/spreadsheets/d/16pAz3pOhQEZBhvFNMa5KGgZS6iKWpsKX0pg6tQmwFpo/edit?usp=sharing"",""ตรัง!M190"")+IMPORTRANGE(""https://docs.google.com/spreadsheets/d/1Dj4jcHCTV9JXKCaMoheSXS52JE63kDKyG7bPXnFogHk/edit?usp=shar"&amp;"ing"",""นครศรีธรรมราช!M190"")+IMPORTRANGE(""https://docs.google.com/spreadsheets/d/1iodCdmuK2GR3jzUwk8tpccY2JHQQA-87DLOtJP-ooyU/edit?usp=sharing"",""นราธิวาส!M190"")+IMPORTRANGE(""https://docs.google.com/spreadsheets/d/1SDNX3JhDdYRuIOsj0Wh2M-Qa_eaXl0NbWmh"&amp;"AOTbfQAs/edit?usp=sharing"",""ปัตตานี!M190"")+IMPORTRANGE(""https://docs.google.com/spreadsheets/d/16JDLGguT8s5DsGCND1KcwHP_AWR_zDMTqLHPLJUKhaU/edit?usp=sharing"",""พังงา!M190"")+IMPORTRANGE(""https://docs.google.com/spreadsheets/d/17ht0gPKzzT3PObBL1XJkeR"&amp;"mntBXI7wGjpLV7QorqlTk/edit?usp=sharing"",""พัทลุง!M190"")+IMPORTRANGE(""https://docs.google.com/spreadsheets/d/1rd4qoM1q_hsgaolqNGfrim9gbsoLxQsda4-vOz5x_BM/edit?usp=sharing"",""ภูเก็ต!M190"")+IMPORTRANGE(""https://docs.google.com/spreadsheets/d/1woKwKjgoL"&amp;"ssDvPcPeVyezB5izizAn4X1JDrys69n6xI/edit?usp=sharing"",""ยะลา!M190"")+IMPORTRANGE(""https://docs.google.com/spreadsheets/d/1qfrKjzMhm2HJfxQ-qVlJlJQ25Hne1d0khsySbZyGtPA/edit?usp=sharing"",""ระนอง!M190"")+IMPORTRANGE(""https://docs.google.com/spreadsheets/d/"&amp;"1IbSCnFOKpZsnFogBHJnL_isstZVaOMnFiIN0fGTPZZw/edit?usp=sharing"",""สงขลา!M190"")+IMPORTRANGE(""https://docs.google.com/spreadsheets/d/1q9nWasZJ-K8bFGvbE9n0qSRuKGA4Toe3Y89cKCiVtCU/edit?usp=sharing"",""สตูล!M190"")+IMPORTRANGE(""https://docs.google.com/sprea"&amp;"dsheets/d/18T20gbkS_WBjdscyTOV05cvq_JqvqQ17C81mpxf7Ncs/edit?usp=sharing"",""สุราษฎร์ธานี!M190"")"),0)</f>
        <v>0</v>
      </c>
      <c r="N190" s="47">
        <f ca="1">IFERROR(__xludf.DUMMYFUNCTION("IMPORTRANGE(""https://docs.google.com/spreadsheets/d/1kKUcYdkIfrgTSj8iHHHB2MD2FAtwyyocFgqGQn6ADyI/edit?usp=sharing"",""กระบี่!N190"")+IMPORTRANGE(""https://docs.google.com/spreadsheets/d/1GwtLaSlNZkLk7iDqcyZz22giiy40b_usZZBXYciEN1U/edit?usp=sharing"",""ชุ"&amp;"มพร!N190"")+IMPORTRANGE(""https://docs.google.com/spreadsheets/d/16pAz3pOhQEZBhvFNMa5KGgZS6iKWpsKX0pg6tQmwFpo/edit?usp=sharing"",""ตรัง!N190"")+IMPORTRANGE(""https://docs.google.com/spreadsheets/d/1Dj4jcHCTV9JXKCaMoheSXS52JE63kDKyG7bPXnFogHk/edit?usp=shar"&amp;"ing"",""นครศรีธรรมราช!N190"")+IMPORTRANGE(""https://docs.google.com/spreadsheets/d/1iodCdmuK2GR3jzUwk8tpccY2JHQQA-87DLOtJP-ooyU/edit?usp=sharing"",""นราธิวาส!N190"")+IMPORTRANGE(""https://docs.google.com/spreadsheets/d/1SDNX3JhDdYRuIOsj0Wh2M-Qa_eaXl0NbWmh"&amp;"AOTbfQAs/edit?usp=sharing"",""ปัตตานี!N190"")+IMPORTRANGE(""https://docs.google.com/spreadsheets/d/16JDLGguT8s5DsGCND1KcwHP_AWR_zDMTqLHPLJUKhaU/edit?usp=sharing"",""พังงา!N190"")+IMPORTRANGE(""https://docs.google.com/spreadsheets/d/17ht0gPKzzT3PObBL1XJkeR"&amp;"mntBXI7wGjpLV7QorqlTk/edit?usp=sharing"",""พัทลุง!N190"")+IMPORTRANGE(""https://docs.google.com/spreadsheets/d/1rd4qoM1q_hsgaolqNGfrim9gbsoLxQsda4-vOz5x_BM/edit?usp=sharing"",""ภูเก็ต!N190"")+IMPORTRANGE(""https://docs.google.com/spreadsheets/d/1woKwKjgoL"&amp;"ssDvPcPeVyezB5izizAn4X1JDrys69n6xI/edit?usp=sharing"",""ยะลา!N190"")+IMPORTRANGE(""https://docs.google.com/spreadsheets/d/1qfrKjzMhm2HJfxQ-qVlJlJQ25Hne1d0khsySbZyGtPA/edit?usp=sharing"",""ระนอง!N190"")+IMPORTRANGE(""https://docs.google.com/spreadsheets/d/"&amp;"1IbSCnFOKpZsnFogBHJnL_isstZVaOMnFiIN0fGTPZZw/edit?usp=sharing"",""สงขลา!N190"")+IMPORTRANGE(""https://docs.google.com/spreadsheets/d/1q9nWasZJ-K8bFGvbE9n0qSRuKGA4Toe3Y89cKCiVtCU/edit?usp=sharing"",""สตูล!N190"")+IMPORTRANGE(""https://docs.google.com/sprea"&amp;"dsheets/d/18T20gbkS_WBjdscyTOV05cvq_JqvqQ17C81mpxf7Ncs/edit?usp=sharing"",""สุราษฎร์ธานี!N190"")"),0)</f>
        <v>0</v>
      </c>
      <c r="O190" s="47">
        <f t="shared" ca="1" si="158"/>
        <v>0</v>
      </c>
      <c r="P190" s="47">
        <f t="shared" ca="1" si="159"/>
        <v>0</v>
      </c>
      <c r="Q190" s="47">
        <f ca="1">IFERROR(__xludf.DUMMYFUNCTION("IMPORTRANGE(""https://docs.google.com/spreadsheets/d/1kKUcYdkIfrgTSj8iHHHB2MD2FAtwyyocFgqGQn6ADyI/edit?usp=sharing"",""กระบี่!Q190"")+IMPORTRANGE(""https://docs.google.com/spreadsheets/d/1GwtLaSlNZkLk7iDqcyZz22giiy40b_usZZBXYciEN1U/edit?usp=sharing"",""ชุ"&amp;"มพร!Q190"")+IMPORTRANGE(""https://docs.google.com/spreadsheets/d/16pAz3pOhQEZBhvFNMa5KGgZS6iKWpsKX0pg6tQmwFpo/edit?usp=sharing"",""ตรัง!Q190"")+IMPORTRANGE(""https://docs.google.com/spreadsheets/d/1Dj4jcHCTV9JXKCaMoheSXS52JE63kDKyG7bPXnFogHk/edit?usp=shar"&amp;"ing"",""นครศรีธรรมราช!Q190"")+IMPORTRANGE(""https://docs.google.com/spreadsheets/d/1iodCdmuK2GR3jzUwk8tpccY2JHQQA-87DLOtJP-ooyU/edit?usp=sharing"",""นราธิวาส!Q190"")+IMPORTRANGE(""https://docs.google.com/spreadsheets/d/1SDNX3JhDdYRuIOsj0Wh2M-Qa_eaXl0NbWmh"&amp;"AOTbfQAs/edit?usp=sharing"",""ปัตตานี!Q190"")+IMPORTRANGE(""https://docs.google.com/spreadsheets/d/16JDLGguT8s5DsGCND1KcwHP_AWR_zDMTqLHPLJUKhaU/edit?usp=sharing"",""พังงา!Q190"")+IMPORTRANGE(""https://docs.google.com/spreadsheets/d/17ht0gPKzzT3PObBL1XJkeR"&amp;"mntBXI7wGjpLV7QorqlTk/edit?usp=sharing"",""พัทลุง!Q190"")+IMPORTRANGE(""https://docs.google.com/spreadsheets/d/1rd4qoM1q_hsgaolqNGfrim9gbsoLxQsda4-vOz5x_BM/edit?usp=sharing"",""ภูเก็ต!Q190"")+IMPORTRANGE(""https://docs.google.com/spreadsheets/d/1woKwKjgoL"&amp;"ssDvPcPeVyezB5izizAn4X1JDrys69n6xI/edit?usp=sharing"",""ยะลา!Q190"")+IMPORTRANGE(""https://docs.google.com/spreadsheets/d/1qfrKjzMhm2HJfxQ-qVlJlJQ25Hne1d0khsySbZyGtPA/edit?usp=sharing"",""ระนอง!Q190"")+IMPORTRANGE(""https://docs.google.com/spreadsheets/d/"&amp;"1IbSCnFOKpZsnFogBHJnL_isstZVaOMnFiIN0fGTPZZw/edit?usp=sharing"",""สงขลา!Q190"")+IMPORTRANGE(""https://docs.google.com/spreadsheets/d/1q9nWasZJ-K8bFGvbE9n0qSRuKGA4Toe3Y89cKCiVtCU/edit?usp=sharing"",""สตูล!Q190"")+IMPORTRANGE(""https://docs.google.com/sprea"&amp;"dsheets/d/18T20gbkS_WBjdscyTOV05cvq_JqvqQ17C81mpxf7Ncs/edit?usp=sharing"",""สุราษฎร์ธานี!Q190"")"),0)</f>
        <v>0</v>
      </c>
      <c r="R190" s="47">
        <f ca="1">IFERROR(__xludf.DUMMYFUNCTION("IMPORTRANGE(""https://docs.google.com/spreadsheets/d/1kKUcYdkIfrgTSj8iHHHB2MD2FAtwyyocFgqGQn6ADyI/edit?usp=sharing"",""กระบี่!R190"")+IMPORTRANGE(""https://docs.google.com/spreadsheets/d/1GwtLaSlNZkLk7iDqcyZz22giiy40b_usZZBXYciEN1U/edit?usp=sharing"",""ชุ"&amp;"มพร!R190"")+IMPORTRANGE(""https://docs.google.com/spreadsheets/d/16pAz3pOhQEZBhvFNMa5KGgZS6iKWpsKX0pg6tQmwFpo/edit?usp=sharing"",""ตรัง!R190"")+IMPORTRANGE(""https://docs.google.com/spreadsheets/d/1Dj4jcHCTV9JXKCaMoheSXS52JE63kDKyG7bPXnFogHk/edit?usp=shar"&amp;"ing"",""นครศรีธรรมราช!R190"")+IMPORTRANGE(""https://docs.google.com/spreadsheets/d/1iodCdmuK2GR3jzUwk8tpccY2JHQQA-87DLOtJP-ooyU/edit?usp=sharing"",""นราธิวาส!R190"")+IMPORTRANGE(""https://docs.google.com/spreadsheets/d/1SDNX3JhDdYRuIOsj0Wh2M-Qa_eaXl0NbWmh"&amp;"AOTbfQAs/edit?usp=sharing"",""ปัตตานี!R190"")+IMPORTRANGE(""https://docs.google.com/spreadsheets/d/16JDLGguT8s5DsGCND1KcwHP_AWR_zDMTqLHPLJUKhaU/edit?usp=sharing"",""พังงา!R190"")+IMPORTRANGE(""https://docs.google.com/spreadsheets/d/17ht0gPKzzT3PObBL1XJkeR"&amp;"mntBXI7wGjpLV7QorqlTk/edit?usp=sharing"",""พัทลุง!R190"")+IMPORTRANGE(""https://docs.google.com/spreadsheets/d/1rd4qoM1q_hsgaolqNGfrim9gbsoLxQsda4-vOz5x_BM/edit?usp=sharing"",""ภูเก็ต!R190"")+IMPORTRANGE(""https://docs.google.com/spreadsheets/d/1woKwKjgoL"&amp;"ssDvPcPeVyezB5izizAn4X1JDrys69n6xI/edit?usp=sharing"",""ยะลา!R190"")+IMPORTRANGE(""https://docs.google.com/spreadsheets/d/1qfrKjzMhm2HJfxQ-qVlJlJQ25Hne1d0khsySbZyGtPA/edit?usp=sharing"",""ระนอง!R190"")+IMPORTRANGE(""https://docs.google.com/spreadsheets/d/"&amp;"1IbSCnFOKpZsnFogBHJnL_isstZVaOMnFiIN0fGTPZZw/edit?usp=sharing"",""สงขลา!R190"")+IMPORTRANGE(""https://docs.google.com/spreadsheets/d/1q9nWasZJ-K8bFGvbE9n0qSRuKGA4Toe3Y89cKCiVtCU/edit?usp=sharing"",""สตูล!R190"")+IMPORTRANGE(""https://docs.google.com/sprea"&amp;"dsheets/d/18T20gbkS_WBjdscyTOV05cvq_JqvqQ17C81mpxf7Ncs/edit?usp=sharing"",""สุราษฎร์ธานี!R190"")"),0)</f>
        <v>0</v>
      </c>
      <c r="S190" s="47">
        <f ca="1">IFERROR(__xludf.DUMMYFUNCTION("IMPORTRANGE(""https://docs.google.com/spreadsheets/d/1kKUcYdkIfrgTSj8iHHHB2MD2FAtwyyocFgqGQn6ADyI/edit?usp=sharing"",""กระบี่!S190"")+IMPORTRANGE(""https://docs.google.com/spreadsheets/d/1GwtLaSlNZkLk7iDqcyZz22giiy40b_usZZBXYciEN1U/edit?usp=sharing"",""ชุ"&amp;"มพร!S190"")+IMPORTRANGE(""https://docs.google.com/spreadsheets/d/16pAz3pOhQEZBhvFNMa5KGgZS6iKWpsKX0pg6tQmwFpo/edit?usp=sharing"",""ตรัง!S190"")+IMPORTRANGE(""https://docs.google.com/spreadsheets/d/1Dj4jcHCTV9JXKCaMoheSXS52JE63kDKyG7bPXnFogHk/edit?usp=shar"&amp;"ing"",""นครศรีธรรมราช!S190"")+IMPORTRANGE(""https://docs.google.com/spreadsheets/d/1iodCdmuK2GR3jzUwk8tpccY2JHQQA-87DLOtJP-ooyU/edit?usp=sharing"",""นราธิวาส!S190"")+IMPORTRANGE(""https://docs.google.com/spreadsheets/d/1SDNX3JhDdYRuIOsj0Wh2M-Qa_eaXl0NbWmh"&amp;"AOTbfQAs/edit?usp=sharing"",""ปัตตานี!S190"")+IMPORTRANGE(""https://docs.google.com/spreadsheets/d/16JDLGguT8s5DsGCND1KcwHP_AWR_zDMTqLHPLJUKhaU/edit?usp=sharing"",""พังงา!S190"")+IMPORTRANGE(""https://docs.google.com/spreadsheets/d/17ht0gPKzzT3PObBL1XJkeR"&amp;"mntBXI7wGjpLV7QorqlTk/edit?usp=sharing"",""พัทลุง!S190"")+IMPORTRANGE(""https://docs.google.com/spreadsheets/d/1rd4qoM1q_hsgaolqNGfrim9gbsoLxQsda4-vOz5x_BM/edit?usp=sharing"",""ภูเก็ต!S190"")+IMPORTRANGE(""https://docs.google.com/spreadsheets/d/1woKwKjgoL"&amp;"ssDvPcPeVyezB5izizAn4X1JDrys69n6xI/edit?usp=sharing"",""ยะลา!S190"")+IMPORTRANGE(""https://docs.google.com/spreadsheets/d/1qfrKjzMhm2HJfxQ-qVlJlJQ25Hne1d0khsySbZyGtPA/edit?usp=sharing"",""ระนอง!S190"")+IMPORTRANGE(""https://docs.google.com/spreadsheets/d/"&amp;"1IbSCnFOKpZsnFogBHJnL_isstZVaOMnFiIN0fGTPZZw/edit?usp=sharing"",""สงขลา!S190"")+IMPORTRANGE(""https://docs.google.com/spreadsheets/d/1q9nWasZJ-K8bFGvbE9n0qSRuKGA4Toe3Y89cKCiVtCU/edit?usp=sharing"",""สตูล!S190"")+IMPORTRANGE(""https://docs.google.com/sprea"&amp;"dsheets/d/18T20gbkS_WBjdscyTOV05cvq_JqvqQ17C81mpxf7Ncs/edit?usp=sharing"",""สุราษฎร์ธานี!S190"")"),0)</f>
        <v>0</v>
      </c>
      <c r="T190" s="49">
        <f t="shared" ca="1" si="161"/>
        <v>0</v>
      </c>
      <c r="U190" s="49">
        <f t="shared" ca="1" si="162"/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47">
        <f ca="1">IFERROR(__xludf.DUMMYFUNCTION("IMPORTRANGE(""https://docs.google.com/spreadsheets/d/1kKUcYdkIfrgTSj8iHHHB2MD2FAtwyyocFgqGQn6ADyI/edit?usp=sharing"",""กระบี่!L191"")+IMPORTRANGE(""https://docs.google.com/spreadsheets/d/1GwtLaSlNZkLk7iDqcyZz22giiy40b_usZZBXYciEN1U/edit?usp=sharing"",""ชุ"&amp;"มพร!L191"")+IMPORTRANGE(""https://docs.google.com/spreadsheets/d/16pAz3pOhQEZBhvFNMa5KGgZS6iKWpsKX0pg6tQmwFpo/edit?usp=sharing"",""ตรัง!L191"")+IMPORTRANGE(""https://docs.google.com/spreadsheets/d/1Dj4jcHCTV9JXKCaMoheSXS52JE63kDKyG7bPXnFogHk/edit?usp=shar"&amp;"ing"",""นครศรีธรรมราช!L191"")+IMPORTRANGE(""https://docs.google.com/spreadsheets/d/1iodCdmuK2GR3jzUwk8tpccY2JHQQA-87DLOtJP-ooyU/edit?usp=sharing"",""นราธิวาส!L191"")+IMPORTRANGE(""https://docs.google.com/spreadsheets/d/1SDNX3JhDdYRuIOsj0Wh2M-Qa_eaXl0NbWmh"&amp;"AOTbfQAs/edit?usp=sharing"",""ปัตตานี!L191"")+IMPORTRANGE(""https://docs.google.com/spreadsheets/d/16JDLGguT8s5DsGCND1KcwHP_AWR_zDMTqLHPLJUKhaU/edit?usp=sharing"",""พังงา!L191"")+IMPORTRANGE(""https://docs.google.com/spreadsheets/d/17ht0gPKzzT3PObBL1XJkeR"&amp;"mntBXI7wGjpLV7QorqlTk/edit?usp=sharing"",""พัทลุง!L191"")+IMPORTRANGE(""https://docs.google.com/spreadsheets/d/1rd4qoM1q_hsgaolqNGfrim9gbsoLxQsda4-vOz5x_BM/edit?usp=sharing"",""ภูเก็ต!L191"")+IMPORTRANGE(""https://docs.google.com/spreadsheets/d/1woKwKjgoL"&amp;"ssDvPcPeVyezB5izizAn4X1JDrys69n6xI/edit?usp=sharing"",""ยะลา!L191"")+IMPORTRANGE(""https://docs.google.com/spreadsheets/d/1qfrKjzMhm2HJfxQ-qVlJlJQ25Hne1d0khsySbZyGtPA/edit?usp=sharing"",""ระนอง!L191"")+IMPORTRANGE(""https://docs.google.com/spreadsheets/d/"&amp;"1IbSCnFOKpZsnFogBHJnL_isstZVaOMnFiIN0fGTPZZw/edit?usp=sharing"",""สงขลา!L191"")+IMPORTRANGE(""https://docs.google.com/spreadsheets/d/1q9nWasZJ-K8bFGvbE9n0qSRuKGA4Toe3Y89cKCiVtCU/edit?usp=sharing"",""สตูล!L191"")+IMPORTRANGE(""https://docs.google.com/sprea"&amp;"dsheets/d/18T20gbkS_WBjdscyTOV05cvq_JqvqQ17C81mpxf7Ncs/edit?usp=sharing"",""สุราษฎร์ธานี!L191"")"),2562900)</f>
        <v>2562900</v>
      </c>
      <c r="M191" s="47">
        <f ca="1">IFERROR(__xludf.DUMMYFUNCTION("IMPORTRANGE(""https://docs.google.com/spreadsheets/d/1kKUcYdkIfrgTSj8iHHHB2MD2FAtwyyocFgqGQn6ADyI/edit?usp=sharing"",""กระบี่!M191"")+IMPORTRANGE(""https://docs.google.com/spreadsheets/d/1GwtLaSlNZkLk7iDqcyZz22giiy40b_usZZBXYciEN1U/edit?usp=sharing"",""ชุ"&amp;"มพร!M191"")+IMPORTRANGE(""https://docs.google.com/spreadsheets/d/16pAz3pOhQEZBhvFNMa5KGgZS6iKWpsKX0pg6tQmwFpo/edit?usp=sharing"",""ตรัง!M191"")+IMPORTRANGE(""https://docs.google.com/spreadsheets/d/1Dj4jcHCTV9JXKCaMoheSXS52JE63kDKyG7bPXnFogHk/edit?usp=shar"&amp;"ing"",""นครศรีธรรมราช!M191"")+IMPORTRANGE(""https://docs.google.com/spreadsheets/d/1iodCdmuK2GR3jzUwk8tpccY2JHQQA-87DLOtJP-ooyU/edit?usp=sharing"",""นราธิวาส!M191"")+IMPORTRANGE(""https://docs.google.com/spreadsheets/d/1SDNX3JhDdYRuIOsj0Wh2M-Qa_eaXl0NbWmh"&amp;"AOTbfQAs/edit?usp=sharing"",""ปัตตานี!M191"")+IMPORTRANGE(""https://docs.google.com/spreadsheets/d/16JDLGguT8s5DsGCND1KcwHP_AWR_zDMTqLHPLJUKhaU/edit?usp=sharing"",""พังงา!M191"")+IMPORTRANGE(""https://docs.google.com/spreadsheets/d/17ht0gPKzzT3PObBL1XJkeR"&amp;"mntBXI7wGjpLV7QorqlTk/edit?usp=sharing"",""พัทลุง!M191"")+IMPORTRANGE(""https://docs.google.com/spreadsheets/d/1rd4qoM1q_hsgaolqNGfrim9gbsoLxQsda4-vOz5x_BM/edit?usp=sharing"",""ภูเก็ต!M191"")+IMPORTRANGE(""https://docs.google.com/spreadsheets/d/1woKwKjgoL"&amp;"ssDvPcPeVyezB5izizAn4X1JDrys69n6xI/edit?usp=sharing"",""ยะลา!M191"")+IMPORTRANGE(""https://docs.google.com/spreadsheets/d/1qfrKjzMhm2HJfxQ-qVlJlJQ25Hne1d0khsySbZyGtPA/edit?usp=sharing"",""ระนอง!M191"")+IMPORTRANGE(""https://docs.google.com/spreadsheets/d/"&amp;"1IbSCnFOKpZsnFogBHJnL_isstZVaOMnFiIN0fGTPZZw/edit?usp=sharing"",""สงขลา!M191"")+IMPORTRANGE(""https://docs.google.com/spreadsheets/d/1q9nWasZJ-K8bFGvbE9n0qSRuKGA4Toe3Y89cKCiVtCU/edit?usp=sharing"",""สตูล!M191"")+IMPORTRANGE(""https://docs.google.com/sprea"&amp;"dsheets/d/18T20gbkS_WBjdscyTOV05cvq_JqvqQ17C81mpxf7Ncs/edit?usp=sharing"",""สุราษฎร์ธานี!M191"")"),2625500)</f>
        <v>2625500</v>
      </c>
      <c r="N191" s="47">
        <f ca="1">IFERROR(__xludf.DUMMYFUNCTION("IMPORTRANGE(""https://docs.google.com/spreadsheets/d/1kKUcYdkIfrgTSj8iHHHB2MD2FAtwyyocFgqGQn6ADyI/edit?usp=sharing"",""กระบี่!N191"")+IMPORTRANGE(""https://docs.google.com/spreadsheets/d/1GwtLaSlNZkLk7iDqcyZz22giiy40b_usZZBXYciEN1U/edit?usp=sharing"",""ชุ"&amp;"มพร!N191"")+IMPORTRANGE(""https://docs.google.com/spreadsheets/d/16pAz3pOhQEZBhvFNMa5KGgZS6iKWpsKX0pg6tQmwFpo/edit?usp=sharing"",""ตรัง!N191"")+IMPORTRANGE(""https://docs.google.com/spreadsheets/d/1Dj4jcHCTV9JXKCaMoheSXS52JE63kDKyG7bPXnFogHk/edit?usp=shar"&amp;"ing"",""นครศรีธรรมราช!N191"")+IMPORTRANGE(""https://docs.google.com/spreadsheets/d/1iodCdmuK2GR3jzUwk8tpccY2JHQQA-87DLOtJP-ooyU/edit?usp=sharing"",""นราธิวาส!N191"")+IMPORTRANGE(""https://docs.google.com/spreadsheets/d/1SDNX3JhDdYRuIOsj0Wh2M-Qa_eaXl0NbWmh"&amp;"AOTbfQAs/edit?usp=sharing"",""ปัตตานี!N191"")+IMPORTRANGE(""https://docs.google.com/spreadsheets/d/16JDLGguT8s5DsGCND1KcwHP_AWR_zDMTqLHPLJUKhaU/edit?usp=sharing"",""พังงา!N191"")+IMPORTRANGE(""https://docs.google.com/spreadsheets/d/17ht0gPKzzT3PObBL1XJkeR"&amp;"mntBXI7wGjpLV7QorqlTk/edit?usp=sharing"",""พัทลุง!N191"")+IMPORTRANGE(""https://docs.google.com/spreadsheets/d/1rd4qoM1q_hsgaolqNGfrim9gbsoLxQsda4-vOz5x_BM/edit?usp=sharing"",""ภูเก็ต!N191"")+IMPORTRANGE(""https://docs.google.com/spreadsheets/d/1woKwKjgoL"&amp;"ssDvPcPeVyezB5izizAn4X1JDrys69n6xI/edit?usp=sharing"",""ยะลา!N191"")+IMPORTRANGE(""https://docs.google.com/spreadsheets/d/1qfrKjzMhm2HJfxQ-qVlJlJQ25Hne1d0khsySbZyGtPA/edit?usp=sharing"",""ระนอง!N191"")+IMPORTRANGE(""https://docs.google.com/spreadsheets/d/"&amp;"1IbSCnFOKpZsnFogBHJnL_isstZVaOMnFiIN0fGTPZZw/edit?usp=sharing"",""สงขลา!N191"")+IMPORTRANGE(""https://docs.google.com/spreadsheets/d/1q9nWasZJ-K8bFGvbE9n0qSRuKGA4Toe3Y89cKCiVtCU/edit?usp=sharing"",""สตูล!N191"")+IMPORTRANGE(""https://docs.google.com/sprea"&amp;"dsheets/d/18T20gbkS_WBjdscyTOV05cvq_JqvqQ17C81mpxf7Ncs/edit?usp=sharing"",""สุราษฎร์ธานี!N191"")"),1573922.04)</f>
        <v>1573922.04</v>
      </c>
      <c r="O191" s="47">
        <f t="shared" ca="1" si="158"/>
        <v>61.411761676226149</v>
      </c>
      <c r="P191" s="47">
        <f t="shared" ca="1" si="159"/>
        <v>59.947516282612838</v>
      </c>
      <c r="Q191" s="47">
        <f ca="1">IFERROR(__xludf.DUMMYFUNCTION("IMPORTRANGE(""https://docs.google.com/spreadsheets/d/1kKUcYdkIfrgTSj8iHHHB2MD2FAtwyyocFgqGQn6ADyI/edit?usp=sharing"",""กระบี่!Q191"")+IMPORTRANGE(""https://docs.google.com/spreadsheets/d/1GwtLaSlNZkLk7iDqcyZz22giiy40b_usZZBXYciEN1U/edit?usp=sharing"",""ชุ"&amp;"มพร!Q191"")+IMPORTRANGE(""https://docs.google.com/spreadsheets/d/16pAz3pOhQEZBhvFNMa5KGgZS6iKWpsKX0pg6tQmwFpo/edit?usp=sharing"",""ตรัง!Q191"")+IMPORTRANGE(""https://docs.google.com/spreadsheets/d/1Dj4jcHCTV9JXKCaMoheSXS52JE63kDKyG7bPXnFogHk/edit?usp=shar"&amp;"ing"",""นครศรีธรรมราช!Q191"")+IMPORTRANGE(""https://docs.google.com/spreadsheets/d/1iodCdmuK2GR3jzUwk8tpccY2JHQQA-87DLOtJP-ooyU/edit?usp=sharing"",""นราธิวาส!Q191"")+IMPORTRANGE(""https://docs.google.com/spreadsheets/d/1SDNX3JhDdYRuIOsj0Wh2M-Qa_eaXl0NbWmh"&amp;"AOTbfQAs/edit?usp=sharing"",""ปัตตานี!Q191"")+IMPORTRANGE(""https://docs.google.com/spreadsheets/d/16JDLGguT8s5DsGCND1KcwHP_AWR_zDMTqLHPLJUKhaU/edit?usp=sharing"",""พังงา!Q191"")+IMPORTRANGE(""https://docs.google.com/spreadsheets/d/17ht0gPKzzT3PObBL1XJkeR"&amp;"mntBXI7wGjpLV7QorqlTk/edit?usp=sharing"",""พัทลุง!Q191"")+IMPORTRANGE(""https://docs.google.com/spreadsheets/d/1rd4qoM1q_hsgaolqNGfrim9gbsoLxQsda4-vOz5x_BM/edit?usp=sharing"",""ภูเก็ต!Q191"")+IMPORTRANGE(""https://docs.google.com/spreadsheets/d/1woKwKjgoL"&amp;"ssDvPcPeVyezB5izizAn4X1JDrys69n6xI/edit?usp=sharing"",""ยะลา!Q191"")+IMPORTRANGE(""https://docs.google.com/spreadsheets/d/1qfrKjzMhm2HJfxQ-qVlJlJQ25Hne1d0khsySbZyGtPA/edit?usp=sharing"",""ระนอง!Q191"")+IMPORTRANGE(""https://docs.google.com/spreadsheets/d/"&amp;"1IbSCnFOKpZsnFogBHJnL_isstZVaOMnFiIN0fGTPZZw/edit?usp=sharing"",""สงขลา!Q191"")+IMPORTRANGE(""https://docs.google.com/spreadsheets/d/1q9nWasZJ-K8bFGvbE9n0qSRuKGA4Toe3Y89cKCiVtCU/edit?usp=sharing"",""สตูล!Q191"")+IMPORTRANGE(""https://docs.google.com/sprea"&amp;"dsheets/d/18T20gbkS_WBjdscyTOV05cvq_JqvqQ17C81mpxf7Ncs/edit?usp=sharing"",""สุราษฎร์ธานี!Q191"")"),903000)</f>
        <v>903000</v>
      </c>
      <c r="R191" s="47">
        <f ca="1">IFERROR(__xludf.DUMMYFUNCTION("IMPORTRANGE(""https://docs.google.com/spreadsheets/d/1kKUcYdkIfrgTSj8iHHHB2MD2FAtwyyocFgqGQn6ADyI/edit?usp=sharing"",""กระบี่!R191"")+IMPORTRANGE(""https://docs.google.com/spreadsheets/d/1GwtLaSlNZkLk7iDqcyZz22giiy40b_usZZBXYciEN1U/edit?usp=sharing"",""ชุ"&amp;"มพร!R191"")+IMPORTRANGE(""https://docs.google.com/spreadsheets/d/16pAz3pOhQEZBhvFNMa5KGgZS6iKWpsKX0pg6tQmwFpo/edit?usp=sharing"",""ตรัง!R191"")+IMPORTRANGE(""https://docs.google.com/spreadsheets/d/1Dj4jcHCTV9JXKCaMoheSXS52JE63kDKyG7bPXnFogHk/edit?usp=shar"&amp;"ing"",""นครศรีธรรมราช!R191"")+IMPORTRANGE(""https://docs.google.com/spreadsheets/d/1iodCdmuK2GR3jzUwk8tpccY2JHQQA-87DLOtJP-ooyU/edit?usp=sharing"",""นราธิวาส!R191"")+IMPORTRANGE(""https://docs.google.com/spreadsheets/d/1SDNX3JhDdYRuIOsj0Wh2M-Qa_eaXl0NbWmh"&amp;"AOTbfQAs/edit?usp=sharing"",""ปัตตานี!R191"")+IMPORTRANGE(""https://docs.google.com/spreadsheets/d/16JDLGguT8s5DsGCND1KcwHP_AWR_zDMTqLHPLJUKhaU/edit?usp=sharing"",""พังงา!R191"")+IMPORTRANGE(""https://docs.google.com/spreadsheets/d/17ht0gPKzzT3PObBL1XJkeR"&amp;"mntBXI7wGjpLV7QorqlTk/edit?usp=sharing"",""พัทลุง!R191"")+IMPORTRANGE(""https://docs.google.com/spreadsheets/d/1rd4qoM1q_hsgaolqNGfrim9gbsoLxQsda4-vOz5x_BM/edit?usp=sharing"",""ภูเก็ต!R191"")+IMPORTRANGE(""https://docs.google.com/spreadsheets/d/1woKwKjgoL"&amp;"ssDvPcPeVyezB5izizAn4X1JDrys69n6xI/edit?usp=sharing"",""ยะลา!R191"")+IMPORTRANGE(""https://docs.google.com/spreadsheets/d/1qfrKjzMhm2HJfxQ-qVlJlJQ25Hne1d0khsySbZyGtPA/edit?usp=sharing"",""ระนอง!R191"")+IMPORTRANGE(""https://docs.google.com/spreadsheets/d/"&amp;"1IbSCnFOKpZsnFogBHJnL_isstZVaOMnFiIN0fGTPZZw/edit?usp=sharing"",""สงขลา!R191"")+IMPORTRANGE(""https://docs.google.com/spreadsheets/d/1q9nWasZJ-K8bFGvbE9n0qSRuKGA4Toe3Y89cKCiVtCU/edit?usp=sharing"",""สตูล!R191"")+IMPORTRANGE(""https://docs.google.com/sprea"&amp;"dsheets/d/18T20gbkS_WBjdscyTOV05cvq_JqvqQ17C81mpxf7Ncs/edit?usp=sharing"",""สุราษฎร์ธานี!R191"")"),903000)</f>
        <v>903000</v>
      </c>
      <c r="S191" s="47">
        <f ca="1">IFERROR(__xludf.DUMMYFUNCTION("IMPORTRANGE(""https://docs.google.com/spreadsheets/d/1kKUcYdkIfrgTSj8iHHHB2MD2FAtwyyocFgqGQn6ADyI/edit?usp=sharing"",""กระบี่!S191"")+IMPORTRANGE(""https://docs.google.com/spreadsheets/d/1GwtLaSlNZkLk7iDqcyZz22giiy40b_usZZBXYciEN1U/edit?usp=sharing"",""ชุ"&amp;"มพร!S191"")+IMPORTRANGE(""https://docs.google.com/spreadsheets/d/16pAz3pOhQEZBhvFNMa5KGgZS6iKWpsKX0pg6tQmwFpo/edit?usp=sharing"",""ตรัง!S191"")+IMPORTRANGE(""https://docs.google.com/spreadsheets/d/1Dj4jcHCTV9JXKCaMoheSXS52JE63kDKyG7bPXnFogHk/edit?usp=shar"&amp;"ing"",""นครศรีธรรมราช!S191"")+IMPORTRANGE(""https://docs.google.com/spreadsheets/d/1iodCdmuK2GR3jzUwk8tpccY2JHQQA-87DLOtJP-ooyU/edit?usp=sharing"",""นราธิวาส!S191"")+IMPORTRANGE(""https://docs.google.com/spreadsheets/d/1SDNX3JhDdYRuIOsj0Wh2M-Qa_eaXl0NbWmh"&amp;"AOTbfQAs/edit?usp=sharing"",""ปัตตานี!S191"")+IMPORTRANGE(""https://docs.google.com/spreadsheets/d/16JDLGguT8s5DsGCND1KcwHP_AWR_zDMTqLHPLJUKhaU/edit?usp=sharing"",""พังงา!S191"")+IMPORTRANGE(""https://docs.google.com/spreadsheets/d/17ht0gPKzzT3PObBL1XJkeR"&amp;"mntBXI7wGjpLV7QorqlTk/edit?usp=sharing"",""พัทลุง!S191"")+IMPORTRANGE(""https://docs.google.com/spreadsheets/d/1rd4qoM1q_hsgaolqNGfrim9gbsoLxQsda4-vOz5x_BM/edit?usp=sharing"",""ภูเก็ต!S191"")+IMPORTRANGE(""https://docs.google.com/spreadsheets/d/1woKwKjgoL"&amp;"ssDvPcPeVyezB5izizAn4X1JDrys69n6xI/edit?usp=sharing"",""ยะลา!S191"")+IMPORTRANGE(""https://docs.google.com/spreadsheets/d/1qfrKjzMhm2HJfxQ-qVlJlJQ25Hne1d0khsySbZyGtPA/edit?usp=sharing"",""ระนอง!S191"")+IMPORTRANGE(""https://docs.google.com/spreadsheets/d/"&amp;"1IbSCnFOKpZsnFogBHJnL_isstZVaOMnFiIN0fGTPZZw/edit?usp=sharing"",""สงขลา!S191"")+IMPORTRANGE(""https://docs.google.com/spreadsheets/d/1q9nWasZJ-K8bFGvbE9n0qSRuKGA4Toe3Y89cKCiVtCU/edit?usp=sharing"",""สตูล!S191"")+IMPORTRANGE(""https://docs.google.com/sprea"&amp;"dsheets/d/18T20gbkS_WBjdscyTOV05cvq_JqvqQ17C81mpxf7Ncs/edit?usp=sharing"",""สุราษฎร์ธานี!S191"")"),236285)</f>
        <v>236285</v>
      </c>
      <c r="T191" s="47">
        <f t="shared" ca="1" si="161"/>
        <v>26.166666666666668</v>
      </c>
      <c r="U191" s="47">
        <f t="shared" ca="1" si="162"/>
        <v>26.166666666666668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47">
        <f t="shared" ref="L192:N192" ca="1" si="169">L193+L194</f>
        <v>0</v>
      </c>
      <c r="M192" s="47">
        <f t="shared" ca="1" si="169"/>
        <v>0</v>
      </c>
      <c r="N192" s="47">
        <f t="shared" ca="1" si="169"/>
        <v>0</v>
      </c>
      <c r="O192" s="47">
        <f t="shared" ca="1" si="158"/>
        <v>0</v>
      </c>
      <c r="P192" s="47">
        <f t="shared" ca="1" si="159"/>
        <v>0</v>
      </c>
      <c r="Q192" s="47">
        <f t="shared" ref="Q192:S192" ca="1" si="170">Q193+Q194</f>
        <v>0</v>
      </c>
      <c r="R192" s="47">
        <f t="shared" ca="1" si="170"/>
        <v>0</v>
      </c>
      <c r="S192" s="47">
        <f t="shared" ca="1" si="170"/>
        <v>0</v>
      </c>
      <c r="T192" s="47">
        <f t="shared" ca="1" si="161"/>
        <v>0</v>
      </c>
      <c r="U192" s="47">
        <f t="shared" ca="1" si="162"/>
        <v>0</v>
      </c>
    </row>
    <row r="193" spans="1:21" ht="18.75" hidden="1" x14ac:dyDescent="0.25">
      <c r="A193" s="128"/>
      <c r="B193" s="41"/>
      <c r="C193" s="41"/>
      <c r="D193" s="41"/>
      <c r="E193" s="48" t="s">
        <v>20</v>
      </c>
      <c r="F193" s="41"/>
      <c r="G193" s="43"/>
      <c r="H193" s="134" t="s">
        <v>14</v>
      </c>
      <c r="I193" s="135"/>
      <c r="J193" s="135"/>
      <c r="K193" s="136"/>
      <c r="L193" s="47">
        <f ca="1">IFERROR(__xludf.DUMMYFUNCTION("IMPORTRANGE(""https://docs.google.com/spreadsheets/d/1kKUcYdkIfrgTSj8iHHHB2MD2FAtwyyocFgqGQn6ADyI/edit?usp=sharing"",""กระบี่!L193"")+IMPORTRANGE(""https://docs.google.com/spreadsheets/d/1GwtLaSlNZkLk7iDqcyZz22giiy40b_usZZBXYciEN1U/edit?usp=sharing"",""ชุ"&amp;"มพร!L193"")+IMPORTRANGE(""https://docs.google.com/spreadsheets/d/16pAz3pOhQEZBhvFNMa5KGgZS6iKWpsKX0pg6tQmwFpo/edit?usp=sharing"",""ตรัง!L193"")+IMPORTRANGE(""https://docs.google.com/spreadsheets/d/1Dj4jcHCTV9JXKCaMoheSXS52JE63kDKyG7bPXnFogHk/edit?usp=shar"&amp;"ing"",""นครศรีธรรมราช!L193"")+IMPORTRANGE(""https://docs.google.com/spreadsheets/d/1iodCdmuK2GR3jzUwk8tpccY2JHQQA-87DLOtJP-ooyU/edit?usp=sharing"",""นราธิวาส!L193"")+IMPORTRANGE(""https://docs.google.com/spreadsheets/d/1SDNX3JhDdYRuIOsj0Wh2M-Qa_eaXl0NbWmh"&amp;"AOTbfQAs/edit?usp=sharing"",""ปัตตานี!L193"")+IMPORTRANGE(""https://docs.google.com/spreadsheets/d/16JDLGguT8s5DsGCND1KcwHP_AWR_zDMTqLHPLJUKhaU/edit?usp=sharing"",""พังงา!L193"")+IMPORTRANGE(""https://docs.google.com/spreadsheets/d/17ht0gPKzzT3PObBL1XJkeR"&amp;"mntBXI7wGjpLV7QorqlTk/edit?usp=sharing"",""พัทลุง!L193"")+IMPORTRANGE(""https://docs.google.com/spreadsheets/d/1rd4qoM1q_hsgaolqNGfrim9gbsoLxQsda4-vOz5x_BM/edit?usp=sharing"",""ภูเก็ต!L193"")+IMPORTRANGE(""https://docs.google.com/spreadsheets/d/1woKwKjgoL"&amp;"ssDvPcPeVyezB5izizAn4X1JDrys69n6xI/edit?usp=sharing"",""ยะลา!L193"")+IMPORTRANGE(""https://docs.google.com/spreadsheets/d/1qfrKjzMhm2HJfxQ-qVlJlJQ25Hne1d0khsySbZyGtPA/edit?usp=sharing"",""ระนอง!L193"")+IMPORTRANGE(""https://docs.google.com/spreadsheets/d/"&amp;"1IbSCnFOKpZsnFogBHJnL_isstZVaOMnFiIN0fGTPZZw/edit?usp=sharing"",""สงขลา!L193"")+IMPORTRANGE(""https://docs.google.com/spreadsheets/d/1q9nWasZJ-K8bFGvbE9n0qSRuKGA4Toe3Y89cKCiVtCU/edit?usp=sharing"",""สตูล!L193"")+IMPORTRANGE(""https://docs.google.com/sprea"&amp;"dsheets/d/18T20gbkS_WBjdscyTOV05cvq_JqvqQ17C81mpxf7Ncs/edit?usp=sharing"",""สุราษฎร์ธานี!L193"")"),0)</f>
        <v>0</v>
      </c>
      <c r="M193" s="47">
        <f ca="1">IFERROR(__xludf.DUMMYFUNCTION("IMPORTRANGE(""https://docs.google.com/spreadsheets/d/1kKUcYdkIfrgTSj8iHHHB2MD2FAtwyyocFgqGQn6ADyI/edit?usp=sharing"",""กระบี่!M193"")+IMPORTRANGE(""https://docs.google.com/spreadsheets/d/1GwtLaSlNZkLk7iDqcyZz22giiy40b_usZZBXYciEN1U/edit?usp=sharing"",""ชุ"&amp;"มพร!M193"")+IMPORTRANGE(""https://docs.google.com/spreadsheets/d/16pAz3pOhQEZBhvFNMa5KGgZS6iKWpsKX0pg6tQmwFpo/edit?usp=sharing"",""ตรัง!M193"")+IMPORTRANGE(""https://docs.google.com/spreadsheets/d/1Dj4jcHCTV9JXKCaMoheSXS52JE63kDKyG7bPXnFogHk/edit?usp=shar"&amp;"ing"",""นครศรีธรรมราช!M193"")+IMPORTRANGE(""https://docs.google.com/spreadsheets/d/1iodCdmuK2GR3jzUwk8tpccY2JHQQA-87DLOtJP-ooyU/edit?usp=sharing"",""นราธิวาส!M193"")+IMPORTRANGE(""https://docs.google.com/spreadsheets/d/1SDNX3JhDdYRuIOsj0Wh2M-Qa_eaXl0NbWmh"&amp;"AOTbfQAs/edit?usp=sharing"",""ปัตตานี!M193"")+IMPORTRANGE(""https://docs.google.com/spreadsheets/d/16JDLGguT8s5DsGCND1KcwHP_AWR_zDMTqLHPLJUKhaU/edit?usp=sharing"",""พังงา!M193"")+IMPORTRANGE(""https://docs.google.com/spreadsheets/d/17ht0gPKzzT3PObBL1XJkeR"&amp;"mntBXI7wGjpLV7QorqlTk/edit?usp=sharing"",""พัทลุง!M193"")+IMPORTRANGE(""https://docs.google.com/spreadsheets/d/1rd4qoM1q_hsgaolqNGfrim9gbsoLxQsda4-vOz5x_BM/edit?usp=sharing"",""ภูเก็ต!M193"")+IMPORTRANGE(""https://docs.google.com/spreadsheets/d/1woKwKjgoL"&amp;"ssDvPcPeVyezB5izizAn4X1JDrys69n6xI/edit?usp=sharing"",""ยะลา!M193"")+IMPORTRANGE(""https://docs.google.com/spreadsheets/d/1qfrKjzMhm2HJfxQ-qVlJlJQ25Hne1d0khsySbZyGtPA/edit?usp=sharing"",""ระนอง!M193"")+IMPORTRANGE(""https://docs.google.com/spreadsheets/d/"&amp;"1IbSCnFOKpZsnFogBHJnL_isstZVaOMnFiIN0fGTPZZw/edit?usp=sharing"",""สงขลา!M193"")+IMPORTRANGE(""https://docs.google.com/spreadsheets/d/1q9nWasZJ-K8bFGvbE9n0qSRuKGA4Toe3Y89cKCiVtCU/edit?usp=sharing"",""สตูล!M193"")+IMPORTRANGE(""https://docs.google.com/sprea"&amp;"dsheets/d/18T20gbkS_WBjdscyTOV05cvq_JqvqQ17C81mpxf7Ncs/edit?usp=sharing"",""สุราษฎร์ธานี!M193"")"),0)</f>
        <v>0</v>
      </c>
      <c r="N193" s="47">
        <f ca="1">IFERROR(__xludf.DUMMYFUNCTION("IMPORTRANGE(""https://docs.google.com/spreadsheets/d/1kKUcYdkIfrgTSj8iHHHB2MD2FAtwyyocFgqGQn6ADyI/edit?usp=sharing"",""กระบี่!N193"")+IMPORTRANGE(""https://docs.google.com/spreadsheets/d/1GwtLaSlNZkLk7iDqcyZz22giiy40b_usZZBXYciEN1U/edit?usp=sharing"",""ชุ"&amp;"มพร!N193"")+IMPORTRANGE(""https://docs.google.com/spreadsheets/d/16pAz3pOhQEZBhvFNMa5KGgZS6iKWpsKX0pg6tQmwFpo/edit?usp=sharing"",""ตรัง!N193"")+IMPORTRANGE(""https://docs.google.com/spreadsheets/d/1Dj4jcHCTV9JXKCaMoheSXS52JE63kDKyG7bPXnFogHk/edit?usp=shar"&amp;"ing"",""นครศรีธรรมราช!N193"")+IMPORTRANGE(""https://docs.google.com/spreadsheets/d/1iodCdmuK2GR3jzUwk8tpccY2JHQQA-87DLOtJP-ooyU/edit?usp=sharing"",""นราธิวาส!N193"")+IMPORTRANGE(""https://docs.google.com/spreadsheets/d/1SDNX3JhDdYRuIOsj0Wh2M-Qa_eaXl0NbWmh"&amp;"AOTbfQAs/edit?usp=sharing"",""ปัตตานี!N193"")+IMPORTRANGE(""https://docs.google.com/spreadsheets/d/16JDLGguT8s5DsGCND1KcwHP_AWR_zDMTqLHPLJUKhaU/edit?usp=sharing"",""พังงา!N193"")+IMPORTRANGE(""https://docs.google.com/spreadsheets/d/17ht0gPKzzT3PObBL1XJkeR"&amp;"mntBXI7wGjpLV7QorqlTk/edit?usp=sharing"",""พัทลุง!N193"")+IMPORTRANGE(""https://docs.google.com/spreadsheets/d/1rd4qoM1q_hsgaolqNGfrim9gbsoLxQsda4-vOz5x_BM/edit?usp=sharing"",""ภูเก็ต!N193"")+IMPORTRANGE(""https://docs.google.com/spreadsheets/d/1woKwKjgoL"&amp;"ssDvPcPeVyezB5izizAn4X1JDrys69n6xI/edit?usp=sharing"",""ยะลา!N193"")+IMPORTRANGE(""https://docs.google.com/spreadsheets/d/1qfrKjzMhm2HJfxQ-qVlJlJQ25Hne1d0khsySbZyGtPA/edit?usp=sharing"",""ระนอง!N193"")+IMPORTRANGE(""https://docs.google.com/spreadsheets/d/"&amp;"1IbSCnFOKpZsnFogBHJnL_isstZVaOMnFiIN0fGTPZZw/edit?usp=sharing"",""สงขลา!N193"")+IMPORTRANGE(""https://docs.google.com/spreadsheets/d/1q9nWasZJ-K8bFGvbE9n0qSRuKGA4Toe3Y89cKCiVtCU/edit?usp=sharing"",""สตูล!N193"")+IMPORTRANGE(""https://docs.google.com/sprea"&amp;"dsheets/d/18T20gbkS_WBjdscyTOV05cvq_JqvqQ17C81mpxf7Ncs/edit?usp=sharing"",""สุราษฎร์ธานี!N193"")"),0)</f>
        <v>0</v>
      </c>
      <c r="O193" s="47">
        <f t="shared" ca="1" si="158"/>
        <v>0</v>
      </c>
      <c r="P193" s="47">
        <f t="shared" ca="1" si="159"/>
        <v>0</v>
      </c>
      <c r="Q193" s="47">
        <f ca="1">IFERROR(__xludf.DUMMYFUNCTION("IMPORTRANGE(""https://docs.google.com/spreadsheets/d/1kKUcYdkIfrgTSj8iHHHB2MD2FAtwyyocFgqGQn6ADyI/edit?usp=sharing"",""กระบี่!Q193"")+IMPORTRANGE(""https://docs.google.com/spreadsheets/d/1GwtLaSlNZkLk7iDqcyZz22giiy40b_usZZBXYciEN1U/edit?usp=sharing"",""ชุ"&amp;"มพร!Q193"")+IMPORTRANGE(""https://docs.google.com/spreadsheets/d/16pAz3pOhQEZBhvFNMa5KGgZS6iKWpsKX0pg6tQmwFpo/edit?usp=sharing"",""ตรัง!Q193"")+IMPORTRANGE(""https://docs.google.com/spreadsheets/d/1Dj4jcHCTV9JXKCaMoheSXS52JE63kDKyG7bPXnFogHk/edit?usp=shar"&amp;"ing"",""นครศรีธรรมราช!Q193"")+IMPORTRANGE(""https://docs.google.com/spreadsheets/d/1iodCdmuK2GR3jzUwk8tpccY2JHQQA-87DLOtJP-ooyU/edit?usp=sharing"",""นราธิวาส!Q193"")+IMPORTRANGE(""https://docs.google.com/spreadsheets/d/1SDNX3JhDdYRuIOsj0Wh2M-Qa_eaXl0NbWmh"&amp;"AOTbfQAs/edit?usp=sharing"",""ปัตตานี!Q193"")+IMPORTRANGE(""https://docs.google.com/spreadsheets/d/16JDLGguT8s5DsGCND1KcwHP_AWR_zDMTqLHPLJUKhaU/edit?usp=sharing"",""พังงา!Q193"")+IMPORTRANGE(""https://docs.google.com/spreadsheets/d/17ht0gPKzzT3PObBL1XJkeR"&amp;"mntBXI7wGjpLV7QorqlTk/edit?usp=sharing"",""พัทลุง!Q193"")+IMPORTRANGE(""https://docs.google.com/spreadsheets/d/1rd4qoM1q_hsgaolqNGfrim9gbsoLxQsda4-vOz5x_BM/edit?usp=sharing"",""ภูเก็ต!Q193"")+IMPORTRANGE(""https://docs.google.com/spreadsheets/d/1woKwKjgoL"&amp;"ssDvPcPeVyezB5izizAn4X1JDrys69n6xI/edit?usp=sharing"",""ยะลา!Q193"")+IMPORTRANGE(""https://docs.google.com/spreadsheets/d/1qfrKjzMhm2HJfxQ-qVlJlJQ25Hne1d0khsySbZyGtPA/edit?usp=sharing"",""ระนอง!Q193"")+IMPORTRANGE(""https://docs.google.com/spreadsheets/d/"&amp;"1IbSCnFOKpZsnFogBHJnL_isstZVaOMnFiIN0fGTPZZw/edit?usp=sharing"",""สงขลา!Q193"")+IMPORTRANGE(""https://docs.google.com/spreadsheets/d/1q9nWasZJ-K8bFGvbE9n0qSRuKGA4Toe3Y89cKCiVtCU/edit?usp=sharing"",""สตูล!Q193"")+IMPORTRANGE(""https://docs.google.com/sprea"&amp;"dsheets/d/18T20gbkS_WBjdscyTOV05cvq_JqvqQ17C81mpxf7Ncs/edit?usp=sharing"",""สุราษฎร์ธานี!Q193"")"),0)</f>
        <v>0</v>
      </c>
      <c r="R193" s="47">
        <f ca="1">IFERROR(__xludf.DUMMYFUNCTION("IMPORTRANGE(""https://docs.google.com/spreadsheets/d/1kKUcYdkIfrgTSj8iHHHB2MD2FAtwyyocFgqGQn6ADyI/edit?usp=sharing"",""กระบี่!R193"")+IMPORTRANGE(""https://docs.google.com/spreadsheets/d/1GwtLaSlNZkLk7iDqcyZz22giiy40b_usZZBXYciEN1U/edit?usp=sharing"",""ชุ"&amp;"มพร!R193"")+IMPORTRANGE(""https://docs.google.com/spreadsheets/d/16pAz3pOhQEZBhvFNMa5KGgZS6iKWpsKX0pg6tQmwFpo/edit?usp=sharing"",""ตรัง!R193"")+IMPORTRANGE(""https://docs.google.com/spreadsheets/d/1Dj4jcHCTV9JXKCaMoheSXS52JE63kDKyG7bPXnFogHk/edit?usp=shar"&amp;"ing"",""นครศรีธรรมราช!R193"")+IMPORTRANGE(""https://docs.google.com/spreadsheets/d/1iodCdmuK2GR3jzUwk8tpccY2JHQQA-87DLOtJP-ooyU/edit?usp=sharing"",""นราธิวาส!R193"")+IMPORTRANGE(""https://docs.google.com/spreadsheets/d/1SDNX3JhDdYRuIOsj0Wh2M-Qa_eaXl0NbWmh"&amp;"AOTbfQAs/edit?usp=sharing"",""ปัตตานี!R193"")+IMPORTRANGE(""https://docs.google.com/spreadsheets/d/16JDLGguT8s5DsGCND1KcwHP_AWR_zDMTqLHPLJUKhaU/edit?usp=sharing"",""พังงา!R193"")+IMPORTRANGE(""https://docs.google.com/spreadsheets/d/17ht0gPKzzT3PObBL1XJkeR"&amp;"mntBXI7wGjpLV7QorqlTk/edit?usp=sharing"",""พัทลุง!R193"")+IMPORTRANGE(""https://docs.google.com/spreadsheets/d/1rd4qoM1q_hsgaolqNGfrim9gbsoLxQsda4-vOz5x_BM/edit?usp=sharing"",""ภูเก็ต!R193"")+IMPORTRANGE(""https://docs.google.com/spreadsheets/d/1woKwKjgoL"&amp;"ssDvPcPeVyezB5izizAn4X1JDrys69n6xI/edit?usp=sharing"",""ยะลา!R193"")+IMPORTRANGE(""https://docs.google.com/spreadsheets/d/1qfrKjzMhm2HJfxQ-qVlJlJQ25Hne1d0khsySbZyGtPA/edit?usp=sharing"",""ระนอง!R193"")+IMPORTRANGE(""https://docs.google.com/spreadsheets/d/"&amp;"1IbSCnFOKpZsnFogBHJnL_isstZVaOMnFiIN0fGTPZZw/edit?usp=sharing"",""สงขลา!R193"")+IMPORTRANGE(""https://docs.google.com/spreadsheets/d/1q9nWasZJ-K8bFGvbE9n0qSRuKGA4Toe3Y89cKCiVtCU/edit?usp=sharing"",""สตูล!R193"")+IMPORTRANGE(""https://docs.google.com/sprea"&amp;"dsheets/d/18T20gbkS_WBjdscyTOV05cvq_JqvqQ17C81mpxf7Ncs/edit?usp=sharing"",""สุราษฎร์ธานี!R193"")"),0)</f>
        <v>0</v>
      </c>
      <c r="S193" s="47">
        <f ca="1">IFERROR(__xludf.DUMMYFUNCTION("IMPORTRANGE(""https://docs.google.com/spreadsheets/d/1kKUcYdkIfrgTSj8iHHHB2MD2FAtwyyocFgqGQn6ADyI/edit?usp=sharing"",""กระบี่!S193"")+IMPORTRANGE(""https://docs.google.com/spreadsheets/d/1GwtLaSlNZkLk7iDqcyZz22giiy40b_usZZBXYciEN1U/edit?usp=sharing"",""ชุ"&amp;"มพร!S193"")+IMPORTRANGE(""https://docs.google.com/spreadsheets/d/16pAz3pOhQEZBhvFNMa5KGgZS6iKWpsKX0pg6tQmwFpo/edit?usp=sharing"",""ตรัง!S193"")+IMPORTRANGE(""https://docs.google.com/spreadsheets/d/1Dj4jcHCTV9JXKCaMoheSXS52JE63kDKyG7bPXnFogHk/edit?usp=shar"&amp;"ing"",""นครศรีธรรมราช!S193"")+IMPORTRANGE(""https://docs.google.com/spreadsheets/d/1iodCdmuK2GR3jzUwk8tpccY2JHQQA-87DLOtJP-ooyU/edit?usp=sharing"",""นราธิวาส!S193"")+IMPORTRANGE(""https://docs.google.com/spreadsheets/d/1SDNX3JhDdYRuIOsj0Wh2M-Qa_eaXl0NbWmh"&amp;"AOTbfQAs/edit?usp=sharing"",""ปัตตานี!S193"")+IMPORTRANGE(""https://docs.google.com/spreadsheets/d/16JDLGguT8s5DsGCND1KcwHP_AWR_zDMTqLHPLJUKhaU/edit?usp=sharing"",""พังงา!S193"")+IMPORTRANGE(""https://docs.google.com/spreadsheets/d/17ht0gPKzzT3PObBL1XJkeR"&amp;"mntBXI7wGjpLV7QorqlTk/edit?usp=sharing"",""พัทลุง!S193"")+IMPORTRANGE(""https://docs.google.com/spreadsheets/d/1rd4qoM1q_hsgaolqNGfrim9gbsoLxQsda4-vOz5x_BM/edit?usp=sharing"",""ภูเก็ต!S193"")+IMPORTRANGE(""https://docs.google.com/spreadsheets/d/1woKwKjgoL"&amp;"ssDvPcPeVyezB5izizAn4X1JDrys69n6xI/edit?usp=sharing"",""ยะลา!S193"")+IMPORTRANGE(""https://docs.google.com/spreadsheets/d/1qfrKjzMhm2HJfxQ-qVlJlJQ25Hne1d0khsySbZyGtPA/edit?usp=sharing"",""ระนอง!S193"")+IMPORTRANGE(""https://docs.google.com/spreadsheets/d/"&amp;"1IbSCnFOKpZsnFogBHJnL_isstZVaOMnFiIN0fGTPZZw/edit?usp=sharing"",""สงขลา!S193"")+IMPORTRANGE(""https://docs.google.com/spreadsheets/d/1q9nWasZJ-K8bFGvbE9n0qSRuKGA4Toe3Y89cKCiVtCU/edit?usp=sharing"",""สตูล!S193"")+IMPORTRANGE(""https://docs.google.com/sprea"&amp;"dsheets/d/18T20gbkS_WBjdscyTOV05cvq_JqvqQ17C81mpxf7Ncs/edit?usp=sharing"",""สุราษฎร์ธานี!S193"")"),0)</f>
        <v>0</v>
      </c>
      <c r="T193" s="49">
        <f t="shared" ca="1" si="161"/>
        <v>0</v>
      </c>
      <c r="U193" s="49">
        <f t="shared" ca="1" si="162"/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47">
        <f ca="1">IFERROR(__xludf.DUMMYFUNCTION("IMPORTRANGE(""https://docs.google.com/spreadsheets/d/1kKUcYdkIfrgTSj8iHHHB2MD2FAtwyyocFgqGQn6ADyI/edit?usp=sharing"",""กระบี่!L194"")+IMPORTRANGE(""https://docs.google.com/spreadsheets/d/1GwtLaSlNZkLk7iDqcyZz22giiy40b_usZZBXYciEN1U/edit?usp=sharing"",""ชุ"&amp;"มพร!L194"")+IMPORTRANGE(""https://docs.google.com/spreadsheets/d/16pAz3pOhQEZBhvFNMa5KGgZS6iKWpsKX0pg6tQmwFpo/edit?usp=sharing"",""ตรัง!L194"")+IMPORTRANGE(""https://docs.google.com/spreadsheets/d/1Dj4jcHCTV9JXKCaMoheSXS52JE63kDKyG7bPXnFogHk/edit?usp=shar"&amp;"ing"",""นครศรีธรรมราช!L194"")+IMPORTRANGE(""https://docs.google.com/spreadsheets/d/1iodCdmuK2GR3jzUwk8tpccY2JHQQA-87DLOtJP-ooyU/edit?usp=sharing"",""นราธิวาส!L194"")+IMPORTRANGE(""https://docs.google.com/spreadsheets/d/1SDNX3JhDdYRuIOsj0Wh2M-Qa_eaXl0NbWmh"&amp;"AOTbfQAs/edit?usp=sharing"",""ปัตตานี!L194"")+IMPORTRANGE(""https://docs.google.com/spreadsheets/d/16JDLGguT8s5DsGCND1KcwHP_AWR_zDMTqLHPLJUKhaU/edit?usp=sharing"",""พังงา!L194"")+IMPORTRANGE(""https://docs.google.com/spreadsheets/d/17ht0gPKzzT3PObBL1XJkeR"&amp;"mntBXI7wGjpLV7QorqlTk/edit?usp=sharing"",""พัทลุง!L194"")+IMPORTRANGE(""https://docs.google.com/spreadsheets/d/1rd4qoM1q_hsgaolqNGfrim9gbsoLxQsda4-vOz5x_BM/edit?usp=sharing"",""ภูเก็ต!L194"")+IMPORTRANGE(""https://docs.google.com/spreadsheets/d/1woKwKjgoL"&amp;"ssDvPcPeVyezB5izizAn4X1JDrys69n6xI/edit?usp=sharing"",""ยะลา!L194"")+IMPORTRANGE(""https://docs.google.com/spreadsheets/d/1qfrKjzMhm2HJfxQ-qVlJlJQ25Hne1d0khsySbZyGtPA/edit?usp=sharing"",""ระนอง!L194"")+IMPORTRANGE(""https://docs.google.com/spreadsheets/d/"&amp;"1IbSCnFOKpZsnFogBHJnL_isstZVaOMnFiIN0fGTPZZw/edit?usp=sharing"",""สงขลา!L194"")+IMPORTRANGE(""https://docs.google.com/spreadsheets/d/1q9nWasZJ-K8bFGvbE9n0qSRuKGA4Toe3Y89cKCiVtCU/edit?usp=sharing"",""สตูล!L194"")+IMPORTRANGE(""https://docs.google.com/sprea"&amp;"dsheets/d/18T20gbkS_WBjdscyTOV05cvq_JqvqQ17C81mpxf7Ncs/edit?usp=sharing"",""สุราษฎร์ธานี!L194"")"),0)</f>
        <v>0</v>
      </c>
      <c r="M194" s="47">
        <f ca="1">IFERROR(__xludf.DUMMYFUNCTION("IMPORTRANGE(""https://docs.google.com/spreadsheets/d/1kKUcYdkIfrgTSj8iHHHB2MD2FAtwyyocFgqGQn6ADyI/edit?usp=sharing"",""กระบี่!M194"")+IMPORTRANGE(""https://docs.google.com/spreadsheets/d/1GwtLaSlNZkLk7iDqcyZz22giiy40b_usZZBXYciEN1U/edit?usp=sharing"",""ชุ"&amp;"มพร!M194"")+IMPORTRANGE(""https://docs.google.com/spreadsheets/d/16pAz3pOhQEZBhvFNMa5KGgZS6iKWpsKX0pg6tQmwFpo/edit?usp=sharing"",""ตรัง!M194"")+IMPORTRANGE(""https://docs.google.com/spreadsheets/d/1Dj4jcHCTV9JXKCaMoheSXS52JE63kDKyG7bPXnFogHk/edit?usp=shar"&amp;"ing"",""นครศรีธรรมราช!M194"")+IMPORTRANGE(""https://docs.google.com/spreadsheets/d/1iodCdmuK2GR3jzUwk8tpccY2JHQQA-87DLOtJP-ooyU/edit?usp=sharing"",""นราธิวาส!M194"")+IMPORTRANGE(""https://docs.google.com/spreadsheets/d/1SDNX3JhDdYRuIOsj0Wh2M-Qa_eaXl0NbWmh"&amp;"AOTbfQAs/edit?usp=sharing"",""ปัตตานี!M194"")+IMPORTRANGE(""https://docs.google.com/spreadsheets/d/16JDLGguT8s5DsGCND1KcwHP_AWR_zDMTqLHPLJUKhaU/edit?usp=sharing"",""พังงา!M194"")+IMPORTRANGE(""https://docs.google.com/spreadsheets/d/17ht0gPKzzT3PObBL1XJkeR"&amp;"mntBXI7wGjpLV7QorqlTk/edit?usp=sharing"",""พัทลุง!M194"")+IMPORTRANGE(""https://docs.google.com/spreadsheets/d/1rd4qoM1q_hsgaolqNGfrim9gbsoLxQsda4-vOz5x_BM/edit?usp=sharing"",""ภูเก็ต!M194"")+IMPORTRANGE(""https://docs.google.com/spreadsheets/d/1woKwKjgoL"&amp;"ssDvPcPeVyezB5izizAn4X1JDrys69n6xI/edit?usp=sharing"",""ยะลา!M194"")+IMPORTRANGE(""https://docs.google.com/spreadsheets/d/1qfrKjzMhm2HJfxQ-qVlJlJQ25Hne1d0khsySbZyGtPA/edit?usp=sharing"",""ระนอง!M194"")+IMPORTRANGE(""https://docs.google.com/spreadsheets/d/"&amp;"1IbSCnFOKpZsnFogBHJnL_isstZVaOMnFiIN0fGTPZZw/edit?usp=sharing"",""สงขลา!M194"")+IMPORTRANGE(""https://docs.google.com/spreadsheets/d/1q9nWasZJ-K8bFGvbE9n0qSRuKGA4Toe3Y89cKCiVtCU/edit?usp=sharing"",""สตูล!M194"")+IMPORTRANGE(""https://docs.google.com/sprea"&amp;"dsheets/d/18T20gbkS_WBjdscyTOV05cvq_JqvqQ17C81mpxf7Ncs/edit?usp=sharing"",""สุราษฎร์ธานี!M194"")"),0)</f>
        <v>0</v>
      </c>
      <c r="N194" s="47">
        <f ca="1">IFERROR(__xludf.DUMMYFUNCTION("IMPORTRANGE(""https://docs.google.com/spreadsheets/d/1kKUcYdkIfrgTSj8iHHHB2MD2FAtwyyocFgqGQn6ADyI/edit?usp=sharing"",""กระบี่!N194"")+IMPORTRANGE(""https://docs.google.com/spreadsheets/d/1GwtLaSlNZkLk7iDqcyZz22giiy40b_usZZBXYciEN1U/edit?usp=sharing"",""ชุ"&amp;"มพร!N194"")+IMPORTRANGE(""https://docs.google.com/spreadsheets/d/16pAz3pOhQEZBhvFNMa5KGgZS6iKWpsKX0pg6tQmwFpo/edit?usp=sharing"",""ตรัง!N194"")+IMPORTRANGE(""https://docs.google.com/spreadsheets/d/1Dj4jcHCTV9JXKCaMoheSXS52JE63kDKyG7bPXnFogHk/edit?usp=shar"&amp;"ing"",""นครศรีธรรมราช!N194"")+IMPORTRANGE(""https://docs.google.com/spreadsheets/d/1iodCdmuK2GR3jzUwk8tpccY2JHQQA-87DLOtJP-ooyU/edit?usp=sharing"",""นราธิวาส!N194"")+IMPORTRANGE(""https://docs.google.com/spreadsheets/d/1SDNX3JhDdYRuIOsj0Wh2M-Qa_eaXl0NbWmh"&amp;"AOTbfQAs/edit?usp=sharing"",""ปัตตานี!N194"")+IMPORTRANGE(""https://docs.google.com/spreadsheets/d/16JDLGguT8s5DsGCND1KcwHP_AWR_zDMTqLHPLJUKhaU/edit?usp=sharing"",""พังงา!N194"")+IMPORTRANGE(""https://docs.google.com/spreadsheets/d/17ht0gPKzzT3PObBL1XJkeR"&amp;"mntBXI7wGjpLV7QorqlTk/edit?usp=sharing"",""พัทลุง!N194"")+IMPORTRANGE(""https://docs.google.com/spreadsheets/d/1rd4qoM1q_hsgaolqNGfrim9gbsoLxQsda4-vOz5x_BM/edit?usp=sharing"",""ภูเก็ต!N194"")+IMPORTRANGE(""https://docs.google.com/spreadsheets/d/1woKwKjgoL"&amp;"ssDvPcPeVyezB5izizAn4X1JDrys69n6xI/edit?usp=sharing"",""ยะลา!N194"")+IMPORTRANGE(""https://docs.google.com/spreadsheets/d/1qfrKjzMhm2HJfxQ-qVlJlJQ25Hne1d0khsySbZyGtPA/edit?usp=sharing"",""ระนอง!N194"")+IMPORTRANGE(""https://docs.google.com/spreadsheets/d/"&amp;"1IbSCnFOKpZsnFogBHJnL_isstZVaOMnFiIN0fGTPZZw/edit?usp=sharing"",""สงขลา!N194"")+IMPORTRANGE(""https://docs.google.com/spreadsheets/d/1q9nWasZJ-K8bFGvbE9n0qSRuKGA4Toe3Y89cKCiVtCU/edit?usp=sharing"",""สตูล!N194"")+IMPORTRANGE(""https://docs.google.com/sprea"&amp;"dsheets/d/18T20gbkS_WBjdscyTOV05cvq_JqvqQ17C81mpxf7Ncs/edit?usp=sharing"",""สุราษฎร์ธานี!N194"")"),0)</f>
        <v>0</v>
      </c>
      <c r="O194" s="47">
        <f t="shared" ca="1" si="158"/>
        <v>0</v>
      </c>
      <c r="P194" s="47">
        <f t="shared" ca="1" si="159"/>
        <v>0</v>
      </c>
      <c r="Q194" s="47">
        <f ca="1">IFERROR(__xludf.DUMMYFUNCTION("IMPORTRANGE(""https://docs.google.com/spreadsheets/d/1kKUcYdkIfrgTSj8iHHHB2MD2FAtwyyocFgqGQn6ADyI/edit?usp=sharing"",""กระบี่!Q194"")+IMPORTRANGE(""https://docs.google.com/spreadsheets/d/1GwtLaSlNZkLk7iDqcyZz22giiy40b_usZZBXYciEN1U/edit?usp=sharing"",""ชุ"&amp;"มพร!Q194"")+IMPORTRANGE(""https://docs.google.com/spreadsheets/d/16pAz3pOhQEZBhvFNMa5KGgZS6iKWpsKX0pg6tQmwFpo/edit?usp=sharing"",""ตรัง!Q194"")+IMPORTRANGE(""https://docs.google.com/spreadsheets/d/1Dj4jcHCTV9JXKCaMoheSXS52JE63kDKyG7bPXnFogHk/edit?usp=shar"&amp;"ing"",""นครศรีธรรมราช!Q194"")+IMPORTRANGE(""https://docs.google.com/spreadsheets/d/1iodCdmuK2GR3jzUwk8tpccY2JHQQA-87DLOtJP-ooyU/edit?usp=sharing"",""นราธิวาส!Q194"")+IMPORTRANGE(""https://docs.google.com/spreadsheets/d/1SDNX3JhDdYRuIOsj0Wh2M-Qa_eaXl0NbWmh"&amp;"AOTbfQAs/edit?usp=sharing"",""ปัตตานี!Q194"")+IMPORTRANGE(""https://docs.google.com/spreadsheets/d/16JDLGguT8s5DsGCND1KcwHP_AWR_zDMTqLHPLJUKhaU/edit?usp=sharing"",""พังงา!Q194"")+IMPORTRANGE(""https://docs.google.com/spreadsheets/d/17ht0gPKzzT3PObBL1XJkeR"&amp;"mntBXI7wGjpLV7QorqlTk/edit?usp=sharing"",""พัทลุง!Q194"")+IMPORTRANGE(""https://docs.google.com/spreadsheets/d/1rd4qoM1q_hsgaolqNGfrim9gbsoLxQsda4-vOz5x_BM/edit?usp=sharing"",""ภูเก็ต!Q194"")+IMPORTRANGE(""https://docs.google.com/spreadsheets/d/1woKwKjgoL"&amp;"ssDvPcPeVyezB5izizAn4X1JDrys69n6xI/edit?usp=sharing"",""ยะลา!Q194"")+IMPORTRANGE(""https://docs.google.com/spreadsheets/d/1qfrKjzMhm2HJfxQ-qVlJlJQ25Hne1d0khsySbZyGtPA/edit?usp=sharing"",""ระนอง!Q194"")+IMPORTRANGE(""https://docs.google.com/spreadsheets/d/"&amp;"1IbSCnFOKpZsnFogBHJnL_isstZVaOMnFiIN0fGTPZZw/edit?usp=sharing"",""สงขลา!Q194"")+IMPORTRANGE(""https://docs.google.com/spreadsheets/d/1q9nWasZJ-K8bFGvbE9n0qSRuKGA4Toe3Y89cKCiVtCU/edit?usp=sharing"",""สตูล!Q194"")+IMPORTRANGE(""https://docs.google.com/sprea"&amp;"dsheets/d/18T20gbkS_WBjdscyTOV05cvq_JqvqQ17C81mpxf7Ncs/edit?usp=sharing"",""สุราษฎร์ธานี!Q194"")"),0)</f>
        <v>0</v>
      </c>
      <c r="R194" s="47">
        <f ca="1">IFERROR(__xludf.DUMMYFUNCTION("IMPORTRANGE(""https://docs.google.com/spreadsheets/d/1kKUcYdkIfrgTSj8iHHHB2MD2FAtwyyocFgqGQn6ADyI/edit?usp=sharing"",""กระบี่!R194"")+IMPORTRANGE(""https://docs.google.com/spreadsheets/d/1GwtLaSlNZkLk7iDqcyZz22giiy40b_usZZBXYciEN1U/edit?usp=sharing"",""ชุ"&amp;"มพร!R194"")+IMPORTRANGE(""https://docs.google.com/spreadsheets/d/16pAz3pOhQEZBhvFNMa5KGgZS6iKWpsKX0pg6tQmwFpo/edit?usp=sharing"",""ตรัง!R194"")+IMPORTRANGE(""https://docs.google.com/spreadsheets/d/1Dj4jcHCTV9JXKCaMoheSXS52JE63kDKyG7bPXnFogHk/edit?usp=shar"&amp;"ing"",""นครศรีธรรมราช!R194"")+IMPORTRANGE(""https://docs.google.com/spreadsheets/d/1iodCdmuK2GR3jzUwk8tpccY2JHQQA-87DLOtJP-ooyU/edit?usp=sharing"",""นราธิวาส!R194"")+IMPORTRANGE(""https://docs.google.com/spreadsheets/d/1SDNX3JhDdYRuIOsj0Wh2M-Qa_eaXl0NbWmh"&amp;"AOTbfQAs/edit?usp=sharing"",""ปัตตานี!R194"")+IMPORTRANGE(""https://docs.google.com/spreadsheets/d/16JDLGguT8s5DsGCND1KcwHP_AWR_zDMTqLHPLJUKhaU/edit?usp=sharing"",""พังงา!R194"")+IMPORTRANGE(""https://docs.google.com/spreadsheets/d/17ht0gPKzzT3PObBL1XJkeR"&amp;"mntBXI7wGjpLV7QorqlTk/edit?usp=sharing"",""พัทลุง!R194"")+IMPORTRANGE(""https://docs.google.com/spreadsheets/d/1rd4qoM1q_hsgaolqNGfrim9gbsoLxQsda4-vOz5x_BM/edit?usp=sharing"",""ภูเก็ต!R194"")+IMPORTRANGE(""https://docs.google.com/spreadsheets/d/1woKwKjgoL"&amp;"ssDvPcPeVyezB5izizAn4X1JDrys69n6xI/edit?usp=sharing"",""ยะลา!R194"")+IMPORTRANGE(""https://docs.google.com/spreadsheets/d/1qfrKjzMhm2HJfxQ-qVlJlJQ25Hne1d0khsySbZyGtPA/edit?usp=sharing"",""ระนอง!R194"")+IMPORTRANGE(""https://docs.google.com/spreadsheets/d/"&amp;"1IbSCnFOKpZsnFogBHJnL_isstZVaOMnFiIN0fGTPZZw/edit?usp=sharing"",""สงขลา!R194"")+IMPORTRANGE(""https://docs.google.com/spreadsheets/d/1q9nWasZJ-K8bFGvbE9n0qSRuKGA4Toe3Y89cKCiVtCU/edit?usp=sharing"",""สตูล!R194"")+IMPORTRANGE(""https://docs.google.com/sprea"&amp;"dsheets/d/18T20gbkS_WBjdscyTOV05cvq_JqvqQ17C81mpxf7Ncs/edit?usp=sharing"",""สุราษฎร์ธานี!R194"")"),0)</f>
        <v>0</v>
      </c>
      <c r="S194" s="47">
        <f ca="1">IFERROR(__xludf.DUMMYFUNCTION("IMPORTRANGE(""https://docs.google.com/spreadsheets/d/1kKUcYdkIfrgTSj8iHHHB2MD2FAtwyyocFgqGQn6ADyI/edit?usp=sharing"",""กระบี่!S194"")+IMPORTRANGE(""https://docs.google.com/spreadsheets/d/1GwtLaSlNZkLk7iDqcyZz22giiy40b_usZZBXYciEN1U/edit?usp=sharing"",""ชุ"&amp;"มพร!S194"")+IMPORTRANGE(""https://docs.google.com/spreadsheets/d/16pAz3pOhQEZBhvFNMa5KGgZS6iKWpsKX0pg6tQmwFpo/edit?usp=sharing"",""ตรัง!S194"")+IMPORTRANGE(""https://docs.google.com/spreadsheets/d/1Dj4jcHCTV9JXKCaMoheSXS52JE63kDKyG7bPXnFogHk/edit?usp=shar"&amp;"ing"",""นครศรีธรรมราช!S194"")+IMPORTRANGE(""https://docs.google.com/spreadsheets/d/1iodCdmuK2GR3jzUwk8tpccY2JHQQA-87DLOtJP-ooyU/edit?usp=sharing"",""นราธิวาส!S194"")+IMPORTRANGE(""https://docs.google.com/spreadsheets/d/1SDNX3JhDdYRuIOsj0Wh2M-Qa_eaXl0NbWmh"&amp;"AOTbfQAs/edit?usp=sharing"",""ปัตตานี!S194"")+IMPORTRANGE(""https://docs.google.com/spreadsheets/d/16JDLGguT8s5DsGCND1KcwHP_AWR_zDMTqLHPLJUKhaU/edit?usp=sharing"",""พังงา!S194"")+IMPORTRANGE(""https://docs.google.com/spreadsheets/d/17ht0gPKzzT3PObBL1XJkeR"&amp;"mntBXI7wGjpLV7QorqlTk/edit?usp=sharing"",""พัทลุง!S194"")+IMPORTRANGE(""https://docs.google.com/spreadsheets/d/1rd4qoM1q_hsgaolqNGfrim9gbsoLxQsda4-vOz5x_BM/edit?usp=sharing"",""ภูเก็ต!S194"")+IMPORTRANGE(""https://docs.google.com/spreadsheets/d/1woKwKjgoL"&amp;"ssDvPcPeVyezB5izizAn4X1JDrys69n6xI/edit?usp=sharing"",""ยะลา!S194"")+IMPORTRANGE(""https://docs.google.com/spreadsheets/d/1qfrKjzMhm2HJfxQ-qVlJlJQ25Hne1d0khsySbZyGtPA/edit?usp=sharing"",""ระนอง!S194"")+IMPORTRANGE(""https://docs.google.com/spreadsheets/d/"&amp;"1IbSCnFOKpZsnFogBHJnL_isstZVaOMnFiIN0fGTPZZw/edit?usp=sharing"",""สงขลา!S194"")+IMPORTRANGE(""https://docs.google.com/spreadsheets/d/1q9nWasZJ-K8bFGvbE9n0qSRuKGA4Toe3Y89cKCiVtCU/edit?usp=sharing"",""สตูล!S194"")+IMPORTRANGE(""https://docs.google.com/sprea"&amp;"dsheets/d/18T20gbkS_WBjdscyTOV05cvq_JqvqQ17C81mpxf7Ncs/edit?usp=sharing"",""สุราษฎร์ธานี!S194"")"),0)</f>
        <v>0</v>
      </c>
      <c r="T194" s="47">
        <f t="shared" ca="1" si="161"/>
        <v>0</v>
      </c>
      <c r="U194" s="47">
        <f t="shared" ca="1" si="162"/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t="shared" ref="I195:J195" ca="1" si="171">I198</f>
        <v>56</v>
      </c>
      <c r="J195" s="228">
        <f t="shared" ca="1" si="171"/>
        <v>32</v>
      </c>
      <c r="K195" s="229">
        <f ca="1">IF(I195&gt;0,J195*100/I195,0)</f>
        <v>57.142857142857146</v>
      </c>
      <c r="L195" s="230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129" t="s">
        <v>18</v>
      </c>
      <c r="D196" s="231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132">
        <f ca="1">IFERROR(__xludf.DUMMYFUNCTION("IMPORTRANGE(""https://docs.google.com/spreadsheets/d/1kKUcYdkIfrgTSj8iHHHB2MD2FAtwyyocFgqGQn6ADyI/edit?usp=sharing"",""กระบี่!L196"")+IMPORTRANGE(""https://docs.google.com/spreadsheets/d/1GwtLaSlNZkLk7iDqcyZz22giiy40b_usZZBXYciEN1U/edit?usp=sharing"",""ชุ"&amp;"มพร!L196"")+IMPORTRANGE(""https://docs.google.com/spreadsheets/d/16pAz3pOhQEZBhvFNMa5KGgZS6iKWpsKX0pg6tQmwFpo/edit?usp=sharing"",""ตรัง!L196"")+IMPORTRANGE(""https://docs.google.com/spreadsheets/d/1Dj4jcHCTV9JXKCaMoheSXS52JE63kDKyG7bPXnFogHk/edit?usp=shar"&amp;"ing"",""นครศรีธรรมราช!L196"")+IMPORTRANGE(""https://docs.google.com/spreadsheets/d/1iodCdmuK2GR3jzUwk8tpccY2JHQQA-87DLOtJP-ooyU/edit?usp=sharing"",""นราธิวาส!L196"")+IMPORTRANGE(""https://docs.google.com/spreadsheets/d/1SDNX3JhDdYRuIOsj0Wh2M-Qa_eaXl0NbWmh"&amp;"AOTbfQAs/edit?usp=sharing"",""ปัตตานี!L196"")+IMPORTRANGE(""https://docs.google.com/spreadsheets/d/16JDLGguT8s5DsGCND1KcwHP_AWR_zDMTqLHPLJUKhaU/edit?usp=sharing"",""พังงา!L196"")+IMPORTRANGE(""https://docs.google.com/spreadsheets/d/17ht0gPKzzT3PObBL1XJkeR"&amp;"mntBXI7wGjpLV7QorqlTk/edit?usp=sharing"",""พัทลุง!L196"")+IMPORTRANGE(""https://docs.google.com/spreadsheets/d/1rd4qoM1q_hsgaolqNGfrim9gbsoLxQsda4-vOz5x_BM/edit?usp=sharing"",""ภูเก็ต!L196"")+IMPORTRANGE(""https://docs.google.com/spreadsheets/d/1woKwKjgoL"&amp;"ssDvPcPeVyezB5izizAn4X1JDrys69n6xI/edit?usp=sharing"",""ยะลา!L196"")+IMPORTRANGE(""https://docs.google.com/spreadsheets/d/1qfrKjzMhm2HJfxQ-qVlJlJQ25Hne1d0khsySbZyGtPA/edit?usp=sharing"",""ระนอง!L196"")+IMPORTRANGE(""https://docs.google.com/spreadsheets/d/"&amp;"1IbSCnFOKpZsnFogBHJnL_isstZVaOMnFiIN0fGTPZZw/edit?usp=sharing"",""สงขลา!L196"")+IMPORTRANGE(""https://docs.google.com/spreadsheets/d/1q9nWasZJ-K8bFGvbE9n0qSRuKGA4Toe3Y89cKCiVtCU/edit?usp=sharing"",""สตูล!L196"")+IMPORTRANGE(""https://docs.google.com/sprea"&amp;"dsheets/d/18T20gbkS_WBjdscyTOV05cvq_JqvqQ17C81mpxf7Ncs/edit?usp=sharing"",""สุราษฎร์ธานี!L196"")"),84000)</f>
        <v>84000</v>
      </c>
      <c r="M196" s="132">
        <f ca="1">IFERROR(__xludf.DUMMYFUNCTION("IMPORTRANGE(""https://docs.google.com/spreadsheets/d/1kKUcYdkIfrgTSj8iHHHB2MD2FAtwyyocFgqGQn6ADyI/edit?usp=sharing"",""กระบี่!M196"")+IMPORTRANGE(""https://docs.google.com/spreadsheets/d/1GwtLaSlNZkLk7iDqcyZz22giiy40b_usZZBXYciEN1U/edit?usp=sharing"",""ชุ"&amp;"มพร!M196"")+IMPORTRANGE(""https://docs.google.com/spreadsheets/d/16pAz3pOhQEZBhvFNMa5KGgZS6iKWpsKX0pg6tQmwFpo/edit?usp=sharing"",""ตรัง!M196"")+IMPORTRANGE(""https://docs.google.com/spreadsheets/d/1Dj4jcHCTV9JXKCaMoheSXS52JE63kDKyG7bPXnFogHk/edit?usp=shar"&amp;"ing"",""นครศรีธรรมราช!M196"")+IMPORTRANGE(""https://docs.google.com/spreadsheets/d/1iodCdmuK2GR3jzUwk8tpccY2JHQQA-87DLOtJP-ooyU/edit?usp=sharing"",""นราธิวาส!M196"")+IMPORTRANGE(""https://docs.google.com/spreadsheets/d/1SDNX3JhDdYRuIOsj0Wh2M-Qa_eaXl0NbWmh"&amp;"AOTbfQAs/edit?usp=sharing"",""ปัตตานี!M196"")+IMPORTRANGE(""https://docs.google.com/spreadsheets/d/16JDLGguT8s5DsGCND1KcwHP_AWR_zDMTqLHPLJUKhaU/edit?usp=sharing"",""พังงา!M196"")+IMPORTRANGE(""https://docs.google.com/spreadsheets/d/17ht0gPKzzT3PObBL1XJkeR"&amp;"mntBXI7wGjpLV7QorqlTk/edit?usp=sharing"",""พัทลุง!M196"")+IMPORTRANGE(""https://docs.google.com/spreadsheets/d/1rd4qoM1q_hsgaolqNGfrim9gbsoLxQsda4-vOz5x_BM/edit?usp=sharing"",""ภูเก็ต!M196"")+IMPORTRANGE(""https://docs.google.com/spreadsheets/d/1woKwKjgoL"&amp;"ssDvPcPeVyezB5izizAn4X1JDrys69n6xI/edit?usp=sharing"",""ยะลา!M196"")+IMPORTRANGE(""https://docs.google.com/spreadsheets/d/1qfrKjzMhm2HJfxQ-qVlJlJQ25Hne1d0khsySbZyGtPA/edit?usp=sharing"",""ระนอง!M196"")+IMPORTRANGE(""https://docs.google.com/spreadsheets/d/"&amp;"1IbSCnFOKpZsnFogBHJnL_isstZVaOMnFiIN0fGTPZZw/edit?usp=sharing"",""สงขลา!M196"")+IMPORTRANGE(""https://docs.google.com/spreadsheets/d/1q9nWasZJ-K8bFGvbE9n0qSRuKGA4Toe3Y89cKCiVtCU/edit?usp=sharing"",""สตูล!M196"")+IMPORTRANGE(""https://docs.google.com/sprea"&amp;"dsheets/d/18T20gbkS_WBjdscyTOV05cvq_JqvqQ17C81mpxf7Ncs/edit?usp=sharing"",""สุราษฎร์ธานี!M196"")"),0)</f>
        <v>0</v>
      </c>
      <c r="N196" s="132">
        <f ca="1">IFERROR(__xludf.DUMMYFUNCTION("IMPORTRANGE(""https://docs.google.com/spreadsheets/d/1kKUcYdkIfrgTSj8iHHHB2MD2FAtwyyocFgqGQn6ADyI/edit?usp=sharing"",""กระบี่!N196"")+IMPORTRANGE(""https://docs.google.com/spreadsheets/d/1GwtLaSlNZkLk7iDqcyZz22giiy40b_usZZBXYciEN1U/edit?usp=sharing"",""ชุ"&amp;"มพร!N196"")+IMPORTRANGE(""https://docs.google.com/spreadsheets/d/16pAz3pOhQEZBhvFNMa5KGgZS6iKWpsKX0pg6tQmwFpo/edit?usp=sharing"",""ตรัง!N196"")+IMPORTRANGE(""https://docs.google.com/spreadsheets/d/1Dj4jcHCTV9JXKCaMoheSXS52JE63kDKyG7bPXnFogHk/edit?usp=shar"&amp;"ing"",""นครศรีธรรมราช!N196"")+IMPORTRANGE(""https://docs.google.com/spreadsheets/d/1iodCdmuK2GR3jzUwk8tpccY2JHQQA-87DLOtJP-ooyU/edit?usp=sharing"",""นราธิวาส!N196"")+IMPORTRANGE(""https://docs.google.com/spreadsheets/d/1SDNX3JhDdYRuIOsj0Wh2M-Qa_eaXl0NbWmh"&amp;"AOTbfQAs/edit?usp=sharing"",""ปัตตานี!N196"")+IMPORTRANGE(""https://docs.google.com/spreadsheets/d/16JDLGguT8s5DsGCND1KcwHP_AWR_zDMTqLHPLJUKhaU/edit?usp=sharing"",""พังงา!N196"")+IMPORTRANGE(""https://docs.google.com/spreadsheets/d/17ht0gPKzzT3PObBL1XJkeR"&amp;"mntBXI7wGjpLV7QorqlTk/edit?usp=sharing"",""พัทลุง!N196"")+IMPORTRANGE(""https://docs.google.com/spreadsheets/d/1rd4qoM1q_hsgaolqNGfrim9gbsoLxQsda4-vOz5x_BM/edit?usp=sharing"",""ภูเก็ต!N196"")+IMPORTRANGE(""https://docs.google.com/spreadsheets/d/1woKwKjgoL"&amp;"ssDvPcPeVyezB5izizAn4X1JDrys69n6xI/edit?usp=sharing"",""ยะลา!N196"")+IMPORTRANGE(""https://docs.google.com/spreadsheets/d/1qfrKjzMhm2HJfxQ-qVlJlJQ25Hne1d0khsySbZyGtPA/edit?usp=sharing"",""ระนอง!N196"")+IMPORTRANGE(""https://docs.google.com/spreadsheets/d/"&amp;"1IbSCnFOKpZsnFogBHJnL_isstZVaOMnFiIN0fGTPZZw/edit?usp=sharing"",""สงขลา!N196"")+IMPORTRANGE(""https://docs.google.com/spreadsheets/d/1q9nWasZJ-K8bFGvbE9n0qSRuKGA4Toe3Y89cKCiVtCU/edit?usp=sharing"",""สตูล!N196"")+IMPORTRANGE(""https://docs.google.com/sprea"&amp;"dsheets/d/18T20gbkS_WBjdscyTOV05cvq_JqvqQ17C81mpxf7Ncs/edit?usp=sharing"",""สุราษฎร์ธานี!N196"")"),23560)</f>
        <v>23560</v>
      </c>
      <c r="O196" s="132">
        <f ca="1">IF(L196&gt;0,N196*100/L196,0)</f>
        <v>28.047619047619047</v>
      </c>
      <c r="P196" s="46"/>
      <c r="Q196" s="132">
        <f ca="1">IFERROR(__xludf.DUMMYFUNCTION("IMPORTRANGE(""https://docs.google.com/spreadsheets/d/1kKUcYdkIfrgTSj8iHHHB2MD2FAtwyyocFgqGQn6ADyI/edit?usp=sharing"",""กระบี่!Q196"")+IMPORTRANGE(""https://docs.google.com/spreadsheets/d/1GwtLaSlNZkLk7iDqcyZz22giiy40b_usZZBXYciEN1U/edit?usp=sharing"",""ชุ"&amp;"มพร!Q196"")+IMPORTRANGE(""https://docs.google.com/spreadsheets/d/16pAz3pOhQEZBhvFNMa5KGgZS6iKWpsKX0pg6tQmwFpo/edit?usp=sharing"",""ตรัง!Q196"")+IMPORTRANGE(""https://docs.google.com/spreadsheets/d/1Dj4jcHCTV9JXKCaMoheSXS52JE63kDKyG7bPXnFogHk/edit?usp=shar"&amp;"ing"",""นครศรีธรรมราช!Q196"")+IMPORTRANGE(""https://docs.google.com/spreadsheets/d/1iodCdmuK2GR3jzUwk8tpccY2JHQQA-87DLOtJP-ooyU/edit?usp=sharing"",""นราธิวาส!Q196"")+IMPORTRANGE(""https://docs.google.com/spreadsheets/d/1SDNX3JhDdYRuIOsj0Wh2M-Qa_eaXl0NbWmh"&amp;"AOTbfQAs/edit?usp=sharing"",""ปัตตานี!Q196"")+IMPORTRANGE(""https://docs.google.com/spreadsheets/d/16JDLGguT8s5DsGCND1KcwHP_AWR_zDMTqLHPLJUKhaU/edit?usp=sharing"",""พังงา!Q196"")+IMPORTRANGE(""https://docs.google.com/spreadsheets/d/17ht0gPKzzT3PObBL1XJkeR"&amp;"mntBXI7wGjpLV7QorqlTk/edit?usp=sharing"",""พัทลุง!Q196"")+IMPORTRANGE(""https://docs.google.com/spreadsheets/d/1rd4qoM1q_hsgaolqNGfrim9gbsoLxQsda4-vOz5x_BM/edit?usp=sharing"",""ภูเก็ต!Q196"")+IMPORTRANGE(""https://docs.google.com/spreadsheets/d/1woKwKjgoL"&amp;"ssDvPcPeVyezB5izizAn4X1JDrys69n6xI/edit?usp=sharing"",""ยะลา!Q196"")+IMPORTRANGE(""https://docs.google.com/spreadsheets/d/1qfrKjzMhm2HJfxQ-qVlJlJQ25Hne1d0khsySbZyGtPA/edit?usp=sharing"",""ระนอง!Q196"")+IMPORTRANGE(""https://docs.google.com/spreadsheets/d/"&amp;"1IbSCnFOKpZsnFogBHJnL_isstZVaOMnFiIN0fGTPZZw/edit?usp=sharing"",""สงขลา!Q196"")+IMPORTRANGE(""https://docs.google.com/spreadsheets/d/1q9nWasZJ-K8bFGvbE9n0qSRuKGA4Toe3Y89cKCiVtCU/edit?usp=sharing"",""สตูล!Q196"")+IMPORTRANGE(""https://docs.google.com/sprea"&amp;"dsheets/d/18T20gbkS_WBjdscyTOV05cvq_JqvqQ17C81mpxf7Ncs/edit?usp=sharing"",""สุราษฎร์ธานี!Q196"")"),0)</f>
        <v>0</v>
      </c>
      <c r="R196" s="132">
        <f ca="1">IFERROR(__xludf.DUMMYFUNCTION("IMPORTRANGE(""https://docs.google.com/spreadsheets/d/1kKUcYdkIfrgTSj8iHHHB2MD2FAtwyyocFgqGQn6ADyI/edit?usp=sharing"",""กระบี่!R196"")+IMPORTRANGE(""https://docs.google.com/spreadsheets/d/1GwtLaSlNZkLk7iDqcyZz22giiy40b_usZZBXYciEN1U/edit?usp=sharing"",""ชุ"&amp;"มพร!R196"")+IMPORTRANGE(""https://docs.google.com/spreadsheets/d/16pAz3pOhQEZBhvFNMa5KGgZS6iKWpsKX0pg6tQmwFpo/edit?usp=sharing"",""ตรัง!R196"")+IMPORTRANGE(""https://docs.google.com/spreadsheets/d/1Dj4jcHCTV9JXKCaMoheSXS52JE63kDKyG7bPXnFogHk/edit?usp=shar"&amp;"ing"",""นครศรีธรรมราช!R196"")+IMPORTRANGE(""https://docs.google.com/spreadsheets/d/1iodCdmuK2GR3jzUwk8tpccY2JHQQA-87DLOtJP-ooyU/edit?usp=sharing"",""นราธิวาส!R196"")+IMPORTRANGE(""https://docs.google.com/spreadsheets/d/1SDNX3JhDdYRuIOsj0Wh2M-Qa_eaXl0NbWmh"&amp;"AOTbfQAs/edit?usp=sharing"",""ปัตตานี!R196"")+IMPORTRANGE(""https://docs.google.com/spreadsheets/d/16JDLGguT8s5DsGCND1KcwHP_AWR_zDMTqLHPLJUKhaU/edit?usp=sharing"",""พังงา!R196"")+IMPORTRANGE(""https://docs.google.com/spreadsheets/d/17ht0gPKzzT3PObBL1XJkeR"&amp;"mntBXI7wGjpLV7QorqlTk/edit?usp=sharing"",""พัทลุง!R196"")+IMPORTRANGE(""https://docs.google.com/spreadsheets/d/1rd4qoM1q_hsgaolqNGfrim9gbsoLxQsda4-vOz5x_BM/edit?usp=sharing"",""ภูเก็ต!R196"")+IMPORTRANGE(""https://docs.google.com/spreadsheets/d/1woKwKjgoL"&amp;"ssDvPcPeVyezB5izizAn4X1JDrys69n6xI/edit?usp=sharing"",""ยะลา!R196"")+IMPORTRANGE(""https://docs.google.com/spreadsheets/d/1qfrKjzMhm2HJfxQ-qVlJlJQ25Hne1d0khsySbZyGtPA/edit?usp=sharing"",""ระนอง!R196"")+IMPORTRANGE(""https://docs.google.com/spreadsheets/d/"&amp;"1IbSCnFOKpZsnFogBHJnL_isstZVaOMnFiIN0fGTPZZw/edit?usp=sharing"",""สงขลา!R196"")+IMPORTRANGE(""https://docs.google.com/spreadsheets/d/1q9nWasZJ-K8bFGvbE9n0qSRuKGA4Toe3Y89cKCiVtCU/edit?usp=sharing"",""สตูล!R196"")+IMPORTRANGE(""https://docs.google.com/sprea"&amp;"dsheets/d/18T20gbkS_WBjdscyTOV05cvq_JqvqQ17C81mpxf7Ncs/edit?usp=sharing"",""สุราษฎร์ธานี!R196"")"),0)</f>
        <v>0</v>
      </c>
      <c r="S196" s="132">
        <f ca="1">IFERROR(__xludf.DUMMYFUNCTION("IMPORTRANGE(""https://docs.google.com/spreadsheets/d/1kKUcYdkIfrgTSj8iHHHB2MD2FAtwyyocFgqGQn6ADyI/edit?usp=sharing"",""กระบี่!S196"")+IMPORTRANGE(""https://docs.google.com/spreadsheets/d/1GwtLaSlNZkLk7iDqcyZz22giiy40b_usZZBXYciEN1U/edit?usp=sharing"",""ชุ"&amp;"มพร!S196"")+IMPORTRANGE(""https://docs.google.com/spreadsheets/d/16pAz3pOhQEZBhvFNMa5KGgZS6iKWpsKX0pg6tQmwFpo/edit?usp=sharing"",""ตรัง!S196"")+IMPORTRANGE(""https://docs.google.com/spreadsheets/d/1Dj4jcHCTV9JXKCaMoheSXS52JE63kDKyG7bPXnFogHk/edit?usp=shar"&amp;"ing"",""นครศรีธรรมราช!S196"")+IMPORTRANGE(""https://docs.google.com/spreadsheets/d/1iodCdmuK2GR3jzUwk8tpccY2JHQQA-87DLOtJP-ooyU/edit?usp=sharing"",""นราธิวาส!S196"")+IMPORTRANGE(""https://docs.google.com/spreadsheets/d/1SDNX3JhDdYRuIOsj0Wh2M-Qa_eaXl0NbWmh"&amp;"AOTbfQAs/edit?usp=sharing"",""ปัตตานี!S196"")+IMPORTRANGE(""https://docs.google.com/spreadsheets/d/16JDLGguT8s5DsGCND1KcwHP_AWR_zDMTqLHPLJUKhaU/edit?usp=sharing"",""พังงา!S196"")+IMPORTRANGE(""https://docs.google.com/spreadsheets/d/17ht0gPKzzT3PObBL1XJkeR"&amp;"mntBXI7wGjpLV7QorqlTk/edit?usp=sharing"",""พัทลุง!S196"")+IMPORTRANGE(""https://docs.google.com/spreadsheets/d/1rd4qoM1q_hsgaolqNGfrim9gbsoLxQsda4-vOz5x_BM/edit?usp=sharing"",""ภูเก็ต!S196"")+IMPORTRANGE(""https://docs.google.com/spreadsheets/d/1woKwKjgoL"&amp;"ssDvPcPeVyezB5izizAn4X1JDrys69n6xI/edit?usp=sharing"",""ยะลา!S196"")+IMPORTRANGE(""https://docs.google.com/spreadsheets/d/1qfrKjzMhm2HJfxQ-qVlJlJQ25Hne1d0khsySbZyGtPA/edit?usp=sharing"",""ระนอง!S196"")+IMPORTRANGE(""https://docs.google.com/spreadsheets/d/"&amp;"1IbSCnFOKpZsnFogBHJnL_isstZVaOMnFiIN0fGTPZZw/edit?usp=sharing"",""สงขลา!S196"")+IMPORTRANGE(""https://docs.google.com/spreadsheets/d/1q9nWasZJ-K8bFGvbE9n0qSRuKGA4Toe3Y89cKCiVtCU/edit?usp=sharing"",""สตูล!S196"")+IMPORTRANGE(""https://docs.google.com/sprea"&amp;"dsheets/d/18T20gbkS_WBjdscyTOV05cvq_JqvqQ17C81mpxf7Ncs/edit?usp=sharing"",""สุราษฎร์ธานี!S196"")"),0)</f>
        <v>0</v>
      </c>
      <c r="T196" s="46"/>
      <c r="U196" s="46"/>
    </row>
    <row r="197" spans="1:21" ht="19.5" x14ac:dyDescent="0.3">
      <c r="A197" s="138"/>
      <c r="B197" s="139"/>
      <c r="C197" s="129" t="s">
        <v>18</v>
      </c>
      <c r="D197" s="140" t="s">
        <v>38</v>
      </c>
      <c r="E197" s="141"/>
      <c r="F197" s="141"/>
      <c r="G197" s="142"/>
      <c r="H197" s="143"/>
      <c r="I197" s="45"/>
      <c r="J197" s="45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kKUcYdkIfrgTSj8iHHHB2MD2FAtwyyocFgqGQn6ADyI/edit?usp=sharing"",""กระบี่!I198"")+IMPORTRANGE(""https://docs.google.com/spreadsheets/d/1GwtLaSlNZkLk7iDqcyZz22giiy40b_usZZBXYciEN1U/edit?usp=sharing"",""ชุ"&amp;"มพร!I198"")+IMPORTRANGE(""https://docs.google.com/spreadsheets/d/16pAz3pOhQEZBhvFNMa5KGgZS6iKWpsKX0pg6tQmwFpo/edit?usp=sharing"",""ตรัง!I198"")+IMPORTRANGE(""https://docs.google.com/spreadsheets/d/1Dj4jcHCTV9JXKCaMoheSXS52JE63kDKyG7bPXnFogHk/edit?usp=shar"&amp;"ing"",""นครศรีธรรมราช!I198"")+IMPORTRANGE(""https://docs.google.com/spreadsheets/d/1iodCdmuK2GR3jzUwk8tpccY2JHQQA-87DLOtJP-ooyU/edit?usp=sharing"",""นราธิวาส!I198"")+IMPORTRANGE(""https://docs.google.com/spreadsheets/d/1SDNX3JhDdYRuIOsj0Wh2M-Qa_eaXl0NbWmh"&amp;"AOTbfQAs/edit?usp=sharing"",""ปัตตานี!I198"")+IMPORTRANGE(""https://docs.google.com/spreadsheets/d/16JDLGguT8s5DsGCND1KcwHP_AWR_zDMTqLHPLJUKhaU/edit?usp=sharing"",""พังงา!I198"")+IMPORTRANGE(""https://docs.google.com/spreadsheets/d/17ht0gPKzzT3PObBL1XJkeR"&amp;"mntBXI7wGjpLV7QorqlTk/edit?usp=sharing"",""พัทลุง!I198"")+IMPORTRANGE(""https://docs.google.com/spreadsheets/d/1rd4qoM1q_hsgaolqNGfrim9gbsoLxQsda4-vOz5x_BM/edit?usp=sharing"",""ภูเก็ต!I198"")+IMPORTRANGE(""https://docs.google.com/spreadsheets/d/1woKwKjgoL"&amp;"ssDvPcPeVyezB5izizAn4X1JDrys69n6xI/edit?usp=sharing"",""ยะลา!I198"")+IMPORTRANGE(""https://docs.google.com/spreadsheets/d/1qfrKjzMhm2HJfxQ-qVlJlJQ25Hne1d0khsySbZyGtPA/edit?usp=sharing"",""ระนอง!I198"")+IMPORTRANGE(""https://docs.google.com/spreadsheets/d/"&amp;"1IbSCnFOKpZsnFogBHJnL_isstZVaOMnFiIN0fGTPZZw/edit?usp=sharing"",""สงขลา!I198"")+IMPORTRANGE(""https://docs.google.com/spreadsheets/d/1q9nWasZJ-K8bFGvbE9n0qSRuKGA4Toe3Y89cKCiVtCU/edit?usp=sharing"",""สตูล!I198"")+IMPORTRANGE(""https://docs.google.com/sprea"&amp;"dsheets/d/18T20gbkS_WBjdscyTOV05cvq_JqvqQ17C81mpxf7Ncs/edit?usp=sharing"",""สุราษฎร์ธานี!I198"")"),56)</f>
        <v>56</v>
      </c>
      <c r="J198" s="152">
        <f ca="1">IFERROR(__xludf.DUMMYFUNCTION("IMPORTRANGE(""https://docs.google.com/spreadsheets/d/1kKUcYdkIfrgTSj8iHHHB2MD2FAtwyyocFgqGQn6ADyI/edit?usp=sharing"",""กระบี่!J198"")+IMPORTRANGE(""https://docs.google.com/spreadsheets/d/1GwtLaSlNZkLk7iDqcyZz22giiy40b_usZZBXYciEN1U/edit?usp=sharing"",""ชุ"&amp;"มพร!J198"")+IMPORTRANGE(""https://docs.google.com/spreadsheets/d/16pAz3pOhQEZBhvFNMa5KGgZS6iKWpsKX0pg6tQmwFpo/edit?usp=sharing"",""ตรัง!J198"")+IMPORTRANGE(""https://docs.google.com/spreadsheets/d/1Dj4jcHCTV9JXKCaMoheSXS52JE63kDKyG7bPXnFogHk/edit?usp=shar"&amp;"ing"",""นครศรีธรรมราช!J198"")+IMPORTRANGE(""https://docs.google.com/spreadsheets/d/1iodCdmuK2GR3jzUwk8tpccY2JHQQA-87DLOtJP-ooyU/edit?usp=sharing"",""นราธิวาส!J198"")+IMPORTRANGE(""https://docs.google.com/spreadsheets/d/1SDNX3JhDdYRuIOsj0Wh2M-Qa_eaXl0NbWmh"&amp;"AOTbfQAs/edit?usp=sharing"",""ปัตตานี!J198"")+IMPORTRANGE(""https://docs.google.com/spreadsheets/d/16JDLGguT8s5DsGCND1KcwHP_AWR_zDMTqLHPLJUKhaU/edit?usp=sharing"",""พังงา!J198"")+IMPORTRANGE(""https://docs.google.com/spreadsheets/d/17ht0gPKzzT3PObBL1XJkeR"&amp;"mntBXI7wGjpLV7QorqlTk/edit?usp=sharing"",""พัทลุง!J198"")+IMPORTRANGE(""https://docs.google.com/spreadsheets/d/1rd4qoM1q_hsgaolqNGfrim9gbsoLxQsda4-vOz5x_BM/edit?usp=sharing"",""ภูเก็ต!J198"")+IMPORTRANGE(""https://docs.google.com/spreadsheets/d/1woKwKjgoL"&amp;"ssDvPcPeVyezB5izizAn4X1JDrys69n6xI/edit?usp=sharing"",""ยะลา!J198"")+IMPORTRANGE(""https://docs.google.com/spreadsheets/d/1qfrKjzMhm2HJfxQ-qVlJlJQ25Hne1d0khsySbZyGtPA/edit?usp=sharing"",""ระนอง!J198"")+IMPORTRANGE(""https://docs.google.com/spreadsheets/d/"&amp;"1IbSCnFOKpZsnFogBHJnL_isstZVaOMnFiIN0fGTPZZw/edit?usp=sharing"",""สงขลา!J198"")+IMPORTRANGE(""https://docs.google.com/spreadsheets/d/1q9nWasZJ-K8bFGvbE9n0qSRuKGA4Toe3Y89cKCiVtCU/edit?usp=sharing"",""สตูล!J198"")+IMPORTRANGE(""https://docs.google.com/sprea"&amp;"dsheets/d/18T20gbkS_WBjdscyTOV05cvq_JqvqQ17C81mpxf7Ncs/edit?usp=sharing"",""สุราษฎร์ธานี!J198"")"),32)</f>
        <v>32</v>
      </c>
      <c r="K198" s="47">
        <f ca="1">IF(I198&gt;0,J198*100/I198,0)</f>
        <v>57.142857142857146</v>
      </c>
      <c r="L198" s="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9.5" x14ac:dyDescent="0.3">
      <c r="A199" s="138"/>
      <c r="B199" s="139"/>
      <c r="C199" s="139"/>
      <c r="D199" s="149" t="s">
        <v>81</v>
      </c>
      <c r="E199" s="145"/>
      <c r="F199" s="145"/>
      <c r="G199" s="143"/>
      <c r="H199" s="233" t="s">
        <v>35</v>
      </c>
      <c r="I199" s="45"/>
      <c r="J199" s="147">
        <f ca="1">J200+J201</f>
        <v>1096</v>
      </c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52">
        <f ca="1">IFERROR(__xludf.DUMMYFUNCTION("IMPORTRANGE(""https://docs.google.com/spreadsheets/d/1kKUcYdkIfrgTSj8iHHHB2MD2FAtwyyocFgqGQn6ADyI/edit?usp=sharing"",""กระบี่!J200"")+IMPORTRANGE(""https://docs.google.com/spreadsheets/d/1GwtLaSlNZkLk7iDqcyZz22giiy40b_usZZBXYciEN1U/edit?usp=sharing"",""ชุ"&amp;"มพร!J200"")+IMPORTRANGE(""https://docs.google.com/spreadsheets/d/16pAz3pOhQEZBhvFNMa5KGgZS6iKWpsKX0pg6tQmwFpo/edit?usp=sharing"",""ตรัง!J200"")+IMPORTRANGE(""https://docs.google.com/spreadsheets/d/1Dj4jcHCTV9JXKCaMoheSXS52JE63kDKyG7bPXnFogHk/edit?usp=shar"&amp;"ing"",""นครศรีธรรมราช!J200"")+IMPORTRANGE(""https://docs.google.com/spreadsheets/d/1iodCdmuK2GR3jzUwk8tpccY2JHQQA-87DLOtJP-ooyU/edit?usp=sharing"",""นราธิวาส!J200"")+IMPORTRANGE(""https://docs.google.com/spreadsheets/d/1SDNX3JhDdYRuIOsj0Wh2M-Qa_eaXl0NbWmh"&amp;"AOTbfQAs/edit?usp=sharing"",""ปัตตานี!J200"")+IMPORTRANGE(""https://docs.google.com/spreadsheets/d/16JDLGguT8s5DsGCND1KcwHP_AWR_zDMTqLHPLJUKhaU/edit?usp=sharing"",""พังงา!J200"")+IMPORTRANGE(""https://docs.google.com/spreadsheets/d/17ht0gPKzzT3PObBL1XJkeR"&amp;"mntBXI7wGjpLV7QorqlTk/edit?usp=sharing"",""พัทลุง!J200"")+IMPORTRANGE(""https://docs.google.com/spreadsheets/d/1rd4qoM1q_hsgaolqNGfrim9gbsoLxQsda4-vOz5x_BM/edit?usp=sharing"",""ภูเก็ต!J200"")+IMPORTRANGE(""https://docs.google.com/spreadsheets/d/1woKwKjgoL"&amp;"ssDvPcPeVyezB5izizAn4X1JDrys69n6xI/edit?usp=sharing"",""ยะลา!J200"")+IMPORTRANGE(""https://docs.google.com/spreadsheets/d/1qfrKjzMhm2HJfxQ-qVlJlJQ25Hne1d0khsySbZyGtPA/edit?usp=sharing"",""ระนอง!J200"")+IMPORTRANGE(""https://docs.google.com/spreadsheets/d/"&amp;"1IbSCnFOKpZsnFogBHJnL_isstZVaOMnFiIN0fGTPZZw/edit?usp=sharing"",""สงขลา!J200"")+IMPORTRANGE(""https://docs.google.com/spreadsheets/d/1q9nWasZJ-K8bFGvbE9n0qSRuKGA4Toe3Y89cKCiVtCU/edit?usp=sharing"",""สตูล!J200"")+IMPORTRANGE(""https://docs.google.com/sprea"&amp;"dsheets/d/18T20gbkS_WBjdscyTOV05cvq_JqvqQ17C81mpxf7Ncs/edit?usp=sharing"",""สุราษฎร์ธานี!J200"")"),1096)</f>
        <v>1096</v>
      </c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52">
        <f ca="1">IFERROR(__xludf.DUMMYFUNCTION("IMPORTRANGE(""https://docs.google.com/spreadsheets/d/1kKUcYdkIfrgTSj8iHHHB2MD2FAtwyyocFgqGQn6ADyI/edit?usp=sharing"",""กระบี่!J201"")+IMPORTRANGE(""https://docs.google.com/spreadsheets/d/1GwtLaSlNZkLk7iDqcyZz22giiy40b_usZZBXYciEN1U/edit?usp=sharing"",""ชุ"&amp;"มพร!J201"")+IMPORTRANGE(""https://docs.google.com/spreadsheets/d/16pAz3pOhQEZBhvFNMa5KGgZS6iKWpsKX0pg6tQmwFpo/edit?usp=sharing"",""ตรัง!J201"")+IMPORTRANGE(""https://docs.google.com/spreadsheets/d/1Dj4jcHCTV9JXKCaMoheSXS52JE63kDKyG7bPXnFogHk/edit?usp=shar"&amp;"ing"",""นครศรีธรรมราช!J201"")+IMPORTRANGE(""https://docs.google.com/spreadsheets/d/1iodCdmuK2GR3jzUwk8tpccY2JHQQA-87DLOtJP-ooyU/edit?usp=sharing"",""นราธิวาส!J201"")+IMPORTRANGE(""https://docs.google.com/spreadsheets/d/1SDNX3JhDdYRuIOsj0Wh2M-Qa_eaXl0NbWmh"&amp;"AOTbfQAs/edit?usp=sharing"",""ปัตตานี!J201"")+IMPORTRANGE(""https://docs.google.com/spreadsheets/d/16JDLGguT8s5DsGCND1KcwHP_AWR_zDMTqLHPLJUKhaU/edit?usp=sharing"",""พังงา!J201"")+IMPORTRANGE(""https://docs.google.com/spreadsheets/d/17ht0gPKzzT3PObBL1XJkeR"&amp;"mntBXI7wGjpLV7QorqlTk/edit?usp=sharing"",""พัทลุง!J201"")+IMPORTRANGE(""https://docs.google.com/spreadsheets/d/1rd4qoM1q_hsgaolqNGfrim9gbsoLxQsda4-vOz5x_BM/edit?usp=sharing"",""ภูเก็ต!J201"")+IMPORTRANGE(""https://docs.google.com/spreadsheets/d/1woKwKjgoL"&amp;"ssDvPcPeVyezB5izizAn4X1JDrys69n6xI/edit?usp=sharing"",""ยะลา!J201"")+IMPORTRANGE(""https://docs.google.com/spreadsheets/d/1qfrKjzMhm2HJfxQ-qVlJlJQ25Hne1d0khsySbZyGtPA/edit?usp=sharing"",""ระนอง!J201"")+IMPORTRANGE(""https://docs.google.com/spreadsheets/d/"&amp;"1IbSCnFOKpZsnFogBHJnL_isstZVaOMnFiIN0fGTPZZw/edit?usp=sharing"",""สงขลา!J201"")+IMPORTRANGE(""https://docs.google.com/spreadsheets/d/1q9nWasZJ-K8bFGvbE9n0qSRuKGA4Toe3Y89cKCiVtCU/edit?usp=sharing"",""สตูล!J201"")+IMPORTRANGE(""https://docs.google.com/sprea"&amp;"dsheets/d/18T20gbkS_WBjdscyTOV05cvq_JqvqQ17C81mpxf7Ncs/edit?usp=sharing"",""สุราษฎร์ธานี!J201"")"),0)</f>
        <v>0</v>
      </c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35">
        <f t="shared" ref="I202:J202" ca="1" si="172">I209</f>
        <v>30</v>
      </c>
      <c r="J202" s="235">
        <f t="shared" ca="1" si="172"/>
        <v>9</v>
      </c>
      <c r="K202" s="236">
        <f ca="1">IF(I202&gt;0,J202*100/I202,0)</f>
        <v>30</v>
      </c>
      <c r="L202" s="230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129" t="s">
        <v>18</v>
      </c>
      <c r="D203" s="231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132">
        <f t="shared" ref="L203:N203" ca="1" si="173">L204+L205+L206+L207</f>
        <v>176000</v>
      </c>
      <c r="M203" s="132">
        <f t="shared" ca="1" si="173"/>
        <v>0</v>
      </c>
      <c r="N203" s="132">
        <f t="shared" ca="1" si="173"/>
        <v>47000</v>
      </c>
      <c r="O203" s="132">
        <f ca="1">IF(L203&gt;0,N203*100/L203,0)</f>
        <v>26.704545454545453</v>
      </c>
      <c r="P203" s="46"/>
      <c r="Q203" s="132">
        <f t="shared" ref="Q203:S203" ca="1" si="174">Q204+Q205+Q206+Q207</f>
        <v>406000</v>
      </c>
      <c r="R203" s="132">
        <f t="shared" ca="1" si="174"/>
        <v>0</v>
      </c>
      <c r="S203" s="132">
        <f t="shared" ca="1" si="174"/>
        <v>112000</v>
      </c>
      <c r="T203" s="46"/>
      <c r="U203" s="46"/>
    </row>
    <row r="204" spans="1:21" ht="18.75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47">
        <f ca="1">IFERROR(__xludf.DUMMYFUNCTION("IMPORTRANGE(""https://docs.google.com/spreadsheets/d/1kKUcYdkIfrgTSj8iHHHB2MD2FAtwyyocFgqGQn6ADyI/edit?usp=sharing"",""กระบี่!L204"")+IMPORTRANGE(""https://docs.google.com/spreadsheets/d/1GwtLaSlNZkLk7iDqcyZz22giiy40b_usZZBXYciEN1U/edit?usp=sharing"",""ชุ"&amp;"มพร!L204"")+IMPORTRANGE(""https://docs.google.com/spreadsheets/d/16pAz3pOhQEZBhvFNMa5KGgZS6iKWpsKX0pg6tQmwFpo/edit?usp=sharing"",""ตรัง!L204"")+IMPORTRANGE(""https://docs.google.com/spreadsheets/d/1Dj4jcHCTV9JXKCaMoheSXS52JE63kDKyG7bPXnFogHk/edit?usp=shar"&amp;"ing"",""นครศรีธรรมราช!L204"")+IMPORTRANGE(""https://docs.google.com/spreadsheets/d/1iodCdmuK2GR3jzUwk8tpccY2JHQQA-87DLOtJP-ooyU/edit?usp=sharing"",""นราธิวาส!L204"")+IMPORTRANGE(""https://docs.google.com/spreadsheets/d/1SDNX3JhDdYRuIOsj0Wh2M-Qa_eaXl0NbWmh"&amp;"AOTbfQAs/edit?usp=sharing"",""ปัตตานี!L204"")+IMPORTRANGE(""https://docs.google.com/spreadsheets/d/16JDLGguT8s5DsGCND1KcwHP_AWR_zDMTqLHPLJUKhaU/edit?usp=sharing"",""พังงา!L204"")+IMPORTRANGE(""https://docs.google.com/spreadsheets/d/17ht0gPKzzT3PObBL1XJkeR"&amp;"mntBXI7wGjpLV7QorqlTk/edit?usp=sharing"",""พัทลุง!L204"")+IMPORTRANGE(""https://docs.google.com/spreadsheets/d/1rd4qoM1q_hsgaolqNGfrim9gbsoLxQsda4-vOz5x_BM/edit?usp=sharing"",""ภูเก็ต!L204"")+IMPORTRANGE(""https://docs.google.com/spreadsheets/d/1woKwKjgoL"&amp;"ssDvPcPeVyezB5izizAn4X1JDrys69n6xI/edit?usp=sharing"",""ยะลา!L204"")+IMPORTRANGE(""https://docs.google.com/spreadsheets/d/1qfrKjzMhm2HJfxQ-qVlJlJQ25Hne1d0khsySbZyGtPA/edit?usp=sharing"",""ระนอง!L204"")+IMPORTRANGE(""https://docs.google.com/spreadsheets/d/"&amp;"1IbSCnFOKpZsnFogBHJnL_isstZVaOMnFiIN0fGTPZZw/edit?usp=sharing"",""สงขลา!L204"")+IMPORTRANGE(""https://docs.google.com/spreadsheets/d/1q9nWasZJ-K8bFGvbE9n0qSRuKGA4Toe3Y89cKCiVtCU/edit?usp=sharing"",""สตูล!L204"")+IMPORTRANGE(""https://docs.google.com/sprea"&amp;"dsheets/d/18T20gbkS_WBjdscyTOV05cvq_JqvqQ17C81mpxf7Ncs/edit?usp=sharing"",""สุราษฎร์ธานี!L204"")"),30000)</f>
        <v>30000</v>
      </c>
      <c r="M204" s="47">
        <f ca="1">IFERROR(__xludf.DUMMYFUNCTION("IMPORTRANGE(""https://docs.google.com/spreadsheets/d/1kKUcYdkIfrgTSj8iHHHB2MD2FAtwyyocFgqGQn6ADyI/edit?usp=sharing"",""กระบี่!M204"")+IMPORTRANGE(""https://docs.google.com/spreadsheets/d/1GwtLaSlNZkLk7iDqcyZz22giiy40b_usZZBXYciEN1U/edit?usp=sharing"",""ชุ"&amp;"มพร!M204"")+IMPORTRANGE(""https://docs.google.com/spreadsheets/d/16pAz3pOhQEZBhvFNMa5KGgZS6iKWpsKX0pg6tQmwFpo/edit?usp=sharing"",""ตรัง!M204"")+IMPORTRANGE(""https://docs.google.com/spreadsheets/d/1Dj4jcHCTV9JXKCaMoheSXS52JE63kDKyG7bPXnFogHk/edit?usp=shar"&amp;"ing"",""นครศรีธรรมราช!M204"")+IMPORTRANGE(""https://docs.google.com/spreadsheets/d/1iodCdmuK2GR3jzUwk8tpccY2JHQQA-87DLOtJP-ooyU/edit?usp=sharing"",""นราธิวาส!M204"")+IMPORTRANGE(""https://docs.google.com/spreadsheets/d/1SDNX3JhDdYRuIOsj0Wh2M-Qa_eaXl0NbWmh"&amp;"AOTbfQAs/edit?usp=sharing"",""ปัตตานี!M204"")+IMPORTRANGE(""https://docs.google.com/spreadsheets/d/16JDLGguT8s5DsGCND1KcwHP_AWR_zDMTqLHPLJUKhaU/edit?usp=sharing"",""พังงา!M204"")+IMPORTRANGE(""https://docs.google.com/spreadsheets/d/17ht0gPKzzT3PObBL1XJkeR"&amp;"mntBXI7wGjpLV7QorqlTk/edit?usp=sharing"",""พัทลุง!M204"")+IMPORTRANGE(""https://docs.google.com/spreadsheets/d/1rd4qoM1q_hsgaolqNGfrim9gbsoLxQsda4-vOz5x_BM/edit?usp=sharing"",""ภูเก็ต!M204"")+IMPORTRANGE(""https://docs.google.com/spreadsheets/d/1woKwKjgoL"&amp;"ssDvPcPeVyezB5izizAn4X1JDrys69n6xI/edit?usp=sharing"",""ยะลา!M204"")+IMPORTRANGE(""https://docs.google.com/spreadsheets/d/1qfrKjzMhm2HJfxQ-qVlJlJQ25Hne1d0khsySbZyGtPA/edit?usp=sharing"",""ระนอง!M204"")+IMPORTRANGE(""https://docs.google.com/spreadsheets/d/"&amp;"1IbSCnFOKpZsnFogBHJnL_isstZVaOMnFiIN0fGTPZZw/edit?usp=sharing"",""สงขลา!M204"")+IMPORTRANGE(""https://docs.google.com/spreadsheets/d/1q9nWasZJ-K8bFGvbE9n0qSRuKGA4Toe3Y89cKCiVtCU/edit?usp=sharing"",""สตูล!M204"")+IMPORTRANGE(""https://docs.google.com/sprea"&amp;"dsheets/d/18T20gbkS_WBjdscyTOV05cvq_JqvqQ17C81mpxf7Ncs/edit?usp=sharing"",""สุราษฎร์ธานี!M204"")"),0)</f>
        <v>0</v>
      </c>
      <c r="N204" s="47">
        <f ca="1">IFERROR(__xludf.DUMMYFUNCTION("IMPORTRANGE(""https://docs.google.com/spreadsheets/d/1kKUcYdkIfrgTSj8iHHHB2MD2FAtwyyocFgqGQn6ADyI/edit?usp=sharing"",""กระบี่!N204"")+IMPORTRANGE(""https://docs.google.com/spreadsheets/d/1GwtLaSlNZkLk7iDqcyZz22giiy40b_usZZBXYciEN1U/edit?usp=sharing"",""ชุ"&amp;"มพร!N204"")+IMPORTRANGE(""https://docs.google.com/spreadsheets/d/16pAz3pOhQEZBhvFNMa5KGgZS6iKWpsKX0pg6tQmwFpo/edit?usp=sharing"",""ตรัง!N204"")+IMPORTRANGE(""https://docs.google.com/spreadsheets/d/1Dj4jcHCTV9JXKCaMoheSXS52JE63kDKyG7bPXnFogHk/edit?usp=shar"&amp;"ing"",""นครศรีธรรมราช!N204"")+IMPORTRANGE(""https://docs.google.com/spreadsheets/d/1iodCdmuK2GR3jzUwk8tpccY2JHQQA-87DLOtJP-ooyU/edit?usp=sharing"",""นราธิวาส!N204"")+IMPORTRANGE(""https://docs.google.com/spreadsheets/d/1SDNX3JhDdYRuIOsj0Wh2M-Qa_eaXl0NbWmh"&amp;"AOTbfQAs/edit?usp=sharing"",""ปัตตานี!N204"")+IMPORTRANGE(""https://docs.google.com/spreadsheets/d/16JDLGguT8s5DsGCND1KcwHP_AWR_zDMTqLHPLJUKhaU/edit?usp=sharing"",""พังงา!N204"")+IMPORTRANGE(""https://docs.google.com/spreadsheets/d/17ht0gPKzzT3PObBL1XJkeR"&amp;"mntBXI7wGjpLV7QorqlTk/edit?usp=sharing"",""พัทลุง!N204"")+IMPORTRANGE(""https://docs.google.com/spreadsheets/d/1rd4qoM1q_hsgaolqNGfrim9gbsoLxQsda4-vOz5x_BM/edit?usp=sharing"",""ภูเก็ต!N204"")+IMPORTRANGE(""https://docs.google.com/spreadsheets/d/1woKwKjgoL"&amp;"ssDvPcPeVyezB5izizAn4X1JDrys69n6xI/edit?usp=sharing"",""ยะลา!N204"")+IMPORTRANGE(""https://docs.google.com/spreadsheets/d/1qfrKjzMhm2HJfxQ-qVlJlJQ25Hne1d0khsySbZyGtPA/edit?usp=sharing"",""ระนอง!N204"")+IMPORTRANGE(""https://docs.google.com/spreadsheets/d/"&amp;"1IbSCnFOKpZsnFogBHJnL_isstZVaOMnFiIN0fGTPZZw/edit?usp=sharing"",""สงขลา!N204"")+IMPORTRANGE(""https://docs.google.com/spreadsheets/d/1q9nWasZJ-K8bFGvbE9n0qSRuKGA4Toe3Y89cKCiVtCU/edit?usp=sharing"",""สตูล!N204"")+IMPORTRANGE(""https://docs.google.com/sprea"&amp;"dsheets/d/18T20gbkS_WBjdscyTOV05cvq_JqvqQ17C81mpxf7Ncs/edit?usp=sharing"",""สุราษฎร์ธานี!N204"")"),3000)</f>
        <v>3000</v>
      </c>
      <c r="O204" s="136"/>
      <c r="P204" s="46"/>
      <c r="Q204" s="47">
        <f ca="1">IFERROR(__xludf.DUMMYFUNCTION("IMPORTRANGE(""https://docs.google.com/spreadsheets/d/1kKUcYdkIfrgTSj8iHHHB2MD2FAtwyyocFgqGQn6ADyI/edit?usp=sharing"",""กระบี่!Q204"")+IMPORTRANGE(""https://docs.google.com/spreadsheets/d/1GwtLaSlNZkLk7iDqcyZz22giiy40b_usZZBXYciEN1U/edit?usp=sharing"",""ชุ"&amp;"มพร!Q204"")+IMPORTRANGE(""https://docs.google.com/spreadsheets/d/16pAz3pOhQEZBhvFNMa5KGgZS6iKWpsKX0pg6tQmwFpo/edit?usp=sharing"",""ตรัง!Q204"")+IMPORTRANGE(""https://docs.google.com/spreadsheets/d/1Dj4jcHCTV9JXKCaMoheSXS52JE63kDKyG7bPXnFogHk/edit?usp=shar"&amp;"ing"",""นครศรีธรรมราช!Q204"")+IMPORTRANGE(""https://docs.google.com/spreadsheets/d/1iodCdmuK2GR3jzUwk8tpccY2JHQQA-87DLOtJP-ooyU/edit?usp=sharing"",""นราธิวาส!Q204"")+IMPORTRANGE(""https://docs.google.com/spreadsheets/d/1SDNX3JhDdYRuIOsj0Wh2M-Qa_eaXl0NbWmh"&amp;"AOTbfQAs/edit?usp=sharing"",""ปัตตานี!Q204"")+IMPORTRANGE(""https://docs.google.com/spreadsheets/d/16JDLGguT8s5DsGCND1KcwHP_AWR_zDMTqLHPLJUKhaU/edit?usp=sharing"",""พังงา!Q204"")+IMPORTRANGE(""https://docs.google.com/spreadsheets/d/17ht0gPKzzT3PObBL1XJkeR"&amp;"mntBXI7wGjpLV7QorqlTk/edit?usp=sharing"",""พัทลุง!Q204"")+IMPORTRANGE(""https://docs.google.com/spreadsheets/d/1rd4qoM1q_hsgaolqNGfrim9gbsoLxQsda4-vOz5x_BM/edit?usp=sharing"",""ภูเก็ต!Q204"")+IMPORTRANGE(""https://docs.google.com/spreadsheets/d/1woKwKjgoL"&amp;"ssDvPcPeVyezB5izizAn4X1JDrys69n6xI/edit?usp=sharing"",""ยะลา!Q204"")+IMPORTRANGE(""https://docs.google.com/spreadsheets/d/1qfrKjzMhm2HJfxQ-qVlJlJQ25Hne1d0khsySbZyGtPA/edit?usp=sharing"",""ระนอง!Q204"")+IMPORTRANGE(""https://docs.google.com/spreadsheets/d/"&amp;"1IbSCnFOKpZsnFogBHJnL_isstZVaOMnFiIN0fGTPZZw/edit?usp=sharing"",""สงขลา!Q204"")+IMPORTRANGE(""https://docs.google.com/spreadsheets/d/1q9nWasZJ-K8bFGvbE9n0qSRuKGA4Toe3Y89cKCiVtCU/edit?usp=sharing"",""สตูล!Q204"")+IMPORTRANGE(""https://docs.google.com/sprea"&amp;"dsheets/d/18T20gbkS_WBjdscyTOV05cvq_JqvqQ17C81mpxf7Ncs/edit?usp=sharing"",""สุราษฎร์ธานี!Q204"")"),0)</f>
        <v>0</v>
      </c>
      <c r="R204" s="47">
        <f ca="1">IFERROR(__xludf.DUMMYFUNCTION("IMPORTRANGE(""https://docs.google.com/spreadsheets/d/1kKUcYdkIfrgTSj8iHHHB2MD2FAtwyyocFgqGQn6ADyI/edit?usp=sharing"",""กระบี่!R204"")+IMPORTRANGE(""https://docs.google.com/spreadsheets/d/1GwtLaSlNZkLk7iDqcyZz22giiy40b_usZZBXYciEN1U/edit?usp=sharing"",""ชุ"&amp;"มพร!R204"")+IMPORTRANGE(""https://docs.google.com/spreadsheets/d/16pAz3pOhQEZBhvFNMa5KGgZS6iKWpsKX0pg6tQmwFpo/edit?usp=sharing"",""ตรัง!R204"")+IMPORTRANGE(""https://docs.google.com/spreadsheets/d/1Dj4jcHCTV9JXKCaMoheSXS52JE63kDKyG7bPXnFogHk/edit?usp=shar"&amp;"ing"",""นครศรีธรรมราช!R204"")+IMPORTRANGE(""https://docs.google.com/spreadsheets/d/1iodCdmuK2GR3jzUwk8tpccY2JHQQA-87DLOtJP-ooyU/edit?usp=sharing"",""นราธิวาส!R204"")+IMPORTRANGE(""https://docs.google.com/spreadsheets/d/1SDNX3JhDdYRuIOsj0Wh2M-Qa_eaXl0NbWmh"&amp;"AOTbfQAs/edit?usp=sharing"",""ปัตตานี!R204"")+IMPORTRANGE(""https://docs.google.com/spreadsheets/d/16JDLGguT8s5DsGCND1KcwHP_AWR_zDMTqLHPLJUKhaU/edit?usp=sharing"",""พังงา!R204"")+IMPORTRANGE(""https://docs.google.com/spreadsheets/d/17ht0gPKzzT3PObBL1XJkeR"&amp;"mntBXI7wGjpLV7QorqlTk/edit?usp=sharing"",""พัทลุง!R204"")+IMPORTRANGE(""https://docs.google.com/spreadsheets/d/1rd4qoM1q_hsgaolqNGfrim9gbsoLxQsda4-vOz5x_BM/edit?usp=sharing"",""ภูเก็ต!R204"")+IMPORTRANGE(""https://docs.google.com/spreadsheets/d/1woKwKjgoL"&amp;"ssDvPcPeVyezB5izizAn4X1JDrys69n6xI/edit?usp=sharing"",""ยะลา!R204"")+IMPORTRANGE(""https://docs.google.com/spreadsheets/d/1qfrKjzMhm2HJfxQ-qVlJlJQ25Hne1d0khsySbZyGtPA/edit?usp=sharing"",""ระนอง!R204"")+IMPORTRANGE(""https://docs.google.com/spreadsheets/d/"&amp;"1IbSCnFOKpZsnFogBHJnL_isstZVaOMnFiIN0fGTPZZw/edit?usp=sharing"",""สงขลา!R204"")+IMPORTRANGE(""https://docs.google.com/spreadsheets/d/1q9nWasZJ-K8bFGvbE9n0qSRuKGA4Toe3Y89cKCiVtCU/edit?usp=sharing"",""สตูล!R204"")+IMPORTRANGE(""https://docs.google.com/sprea"&amp;"dsheets/d/18T20gbkS_WBjdscyTOV05cvq_JqvqQ17C81mpxf7Ncs/edit?usp=sharing"",""สุราษฎร์ธานี!R204"")"),0)</f>
        <v>0</v>
      </c>
      <c r="S204" s="47">
        <f ca="1">IFERROR(__xludf.DUMMYFUNCTION("IMPORTRANGE(""https://docs.google.com/spreadsheets/d/1kKUcYdkIfrgTSj8iHHHB2MD2FAtwyyocFgqGQn6ADyI/edit?usp=sharing"",""กระบี่!S204"")+IMPORTRANGE(""https://docs.google.com/spreadsheets/d/1GwtLaSlNZkLk7iDqcyZz22giiy40b_usZZBXYciEN1U/edit?usp=sharing"",""ชุ"&amp;"มพร!S204"")+IMPORTRANGE(""https://docs.google.com/spreadsheets/d/16pAz3pOhQEZBhvFNMa5KGgZS6iKWpsKX0pg6tQmwFpo/edit?usp=sharing"",""ตรัง!S204"")+IMPORTRANGE(""https://docs.google.com/spreadsheets/d/1Dj4jcHCTV9JXKCaMoheSXS52JE63kDKyG7bPXnFogHk/edit?usp=shar"&amp;"ing"",""นครศรีธรรมราช!S204"")+IMPORTRANGE(""https://docs.google.com/spreadsheets/d/1iodCdmuK2GR3jzUwk8tpccY2JHQQA-87DLOtJP-ooyU/edit?usp=sharing"",""นราธิวาส!S204"")+IMPORTRANGE(""https://docs.google.com/spreadsheets/d/1SDNX3JhDdYRuIOsj0Wh2M-Qa_eaXl0NbWmh"&amp;"AOTbfQAs/edit?usp=sharing"",""ปัตตานี!S204"")+IMPORTRANGE(""https://docs.google.com/spreadsheets/d/16JDLGguT8s5DsGCND1KcwHP_AWR_zDMTqLHPLJUKhaU/edit?usp=sharing"",""พังงา!S204"")+IMPORTRANGE(""https://docs.google.com/spreadsheets/d/17ht0gPKzzT3PObBL1XJkeR"&amp;"mntBXI7wGjpLV7QorqlTk/edit?usp=sharing"",""พัทลุง!S204"")+IMPORTRANGE(""https://docs.google.com/spreadsheets/d/1rd4qoM1q_hsgaolqNGfrim9gbsoLxQsda4-vOz5x_BM/edit?usp=sharing"",""ภูเก็ต!S204"")+IMPORTRANGE(""https://docs.google.com/spreadsheets/d/1woKwKjgoL"&amp;"ssDvPcPeVyezB5izizAn4X1JDrys69n6xI/edit?usp=sharing"",""ยะลา!S204"")+IMPORTRANGE(""https://docs.google.com/spreadsheets/d/1qfrKjzMhm2HJfxQ-qVlJlJQ25Hne1d0khsySbZyGtPA/edit?usp=sharing"",""ระนอง!S204"")+IMPORTRANGE(""https://docs.google.com/spreadsheets/d/"&amp;"1IbSCnFOKpZsnFogBHJnL_isstZVaOMnFiIN0fGTPZZw/edit?usp=sharing"",""สงขลา!S204"")+IMPORTRANGE(""https://docs.google.com/spreadsheets/d/1q9nWasZJ-K8bFGvbE9n0qSRuKGA4Toe3Y89cKCiVtCU/edit?usp=sharing"",""สตูล!S204"")+IMPORTRANGE(""https://docs.google.com/sprea"&amp;"dsheets/d/18T20gbkS_WBjdscyTOV05cvq_JqvqQ17C81mpxf7Ncs/edit?usp=sharing"",""สุราษฎร์ธานี!S204"")"),0)</f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47">
        <v>0</v>
      </c>
      <c r="M205" s="47">
        <v>0</v>
      </c>
      <c r="N205" s="47">
        <v>0</v>
      </c>
      <c r="O205" s="136"/>
      <c r="P205" s="46"/>
      <c r="Q205" s="47">
        <v>0</v>
      </c>
      <c r="R205" s="47">
        <v>0</v>
      </c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47">
        <f ca="1">IFERROR(__xludf.DUMMYFUNCTION("IMPORTRANGE(""https://docs.google.com/spreadsheets/d/1kKUcYdkIfrgTSj8iHHHB2MD2FAtwyyocFgqGQn6ADyI/edit?usp=sharing"",""กระบี่!L206"")+IMPORTRANGE(""https://docs.google.com/spreadsheets/d/1GwtLaSlNZkLk7iDqcyZz22giiy40b_usZZBXYciEN1U/edit?usp=sharing"",""ชุ"&amp;"มพร!L206"")+IMPORTRANGE(""https://docs.google.com/spreadsheets/d/16pAz3pOhQEZBhvFNMa5KGgZS6iKWpsKX0pg6tQmwFpo/edit?usp=sharing"",""ตรัง!L206"")+IMPORTRANGE(""https://docs.google.com/spreadsheets/d/1Dj4jcHCTV9JXKCaMoheSXS52JE63kDKyG7bPXnFogHk/edit?usp=shar"&amp;"ing"",""นครศรีธรรมราช!L206"")+IMPORTRANGE(""https://docs.google.com/spreadsheets/d/1iodCdmuK2GR3jzUwk8tpccY2JHQQA-87DLOtJP-ooyU/edit?usp=sharing"",""นราธิวาส!L206"")+IMPORTRANGE(""https://docs.google.com/spreadsheets/d/1SDNX3JhDdYRuIOsj0Wh2M-Qa_eaXl0NbWmh"&amp;"AOTbfQAs/edit?usp=sharing"",""ปัตตานี!L206"")+IMPORTRANGE(""https://docs.google.com/spreadsheets/d/16JDLGguT8s5DsGCND1KcwHP_AWR_zDMTqLHPLJUKhaU/edit?usp=sharing"",""พังงา!L206"")+IMPORTRANGE(""https://docs.google.com/spreadsheets/d/17ht0gPKzzT3PObBL1XJkeR"&amp;"mntBXI7wGjpLV7QorqlTk/edit?usp=sharing"",""พัทลุง!L206"")+IMPORTRANGE(""https://docs.google.com/spreadsheets/d/1rd4qoM1q_hsgaolqNGfrim9gbsoLxQsda4-vOz5x_BM/edit?usp=sharing"",""ภูเก็ต!L206"")+IMPORTRANGE(""https://docs.google.com/spreadsheets/d/1woKwKjgoL"&amp;"ssDvPcPeVyezB5izizAn4X1JDrys69n6xI/edit?usp=sharing"",""ยะลา!L206"")+IMPORTRANGE(""https://docs.google.com/spreadsheets/d/1qfrKjzMhm2HJfxQ-qVlJlJQ25Hne1d0khsySbZyGtPA/edit?usp=sharing"",""ระนอง!L206"")+IMPORTRANGE(""https://docs.google.com/spreadsheets/d/"&amp;"1IbSCnFOKpZsnFogBHJnL_isstZVaOMnFiIN0fGTPZZw/edit?usp=sharing"",""สงขลา!L206"")+IMPORTRANGE(""https://docs.google.com/spreadsheets/d/1q9nWasZJ-K8bFGvbE9n0qSRuKGA4Toe3Y89cKCiVtCU/edit?usp=sharing"",""สตูล!L206"")+IMPORTRANGE(""https://docs.google.com/sprea"&amp;"dsheets/d/18T20gbkS_WBjdscyTOV05cvq_JqvqQ17C81mpxf7Ncs/edit?usp=sharing"",""สุราษฎร์ธานี!L206"")"),8000)</f>
        <v>8000</v>
      </c>
      <c r="M206" s="47">
        <f ca="1">IFERROR(__xludf.DUMMYFUNCTION("IMPORTRANGE(""https://docs.google.com/spreadsheets/d/1kKUcYdkIfrgTSj8iHHHB2MD2FAtwyyocFgqGQn6ADyI/edit?usp=sharing"",""กระบี่!M206"")+IMPORTRANGE(""https://docs.google.com/spreadsheets/d/1GwtLaSlNZkLk7iDqcyZz22giiy40b_usZZBXYciEN1U/edit?usp=sharing"",""ชุ"&amp;"มพร!M206"")+IMPORTRANGE(""https://docs.google.com/spreadsheets/d/16pAz3pOhQEZBhvFNMa5KGgZS6iKWpsKX0pg6tQmwFpo/edit?usp=sharing"",""ตรัง!M206"")+IMPORTRANGE(""https://docs.google.com/spreadsheets/d/1Dj4jcHCTV9JXKCaMoheSXS52JE63kDKyG7bPXnFogHk/edit?usp=shar"&amp;"ing"",""นครศรีธรรมราช!M206"")+IMPORTRANGE(""https://docs.google.com/spreadsheets/d/1iodCdmuK2GR3jzUwk8tpccY2JHQQA-87DLOtJP-ooyU/edit?usp=sharing"",""นราธิวาส!M206"")+IMPORTRANGE(""https://docs.google.com/spreadsheets/d/1SDNX3JhDdYRuIOsj0Wh2M-Qa_eaXl0NbWmh"&amp;"AOTbfQAs/edit?usp=sharing"",""ปัตตานี!M206"")+IMPORTRANGE(""https://docs.google.com/spreadsheets/d/16JDLGguT8s5DsGCND1KcwHP_AWR_zDMTqLHPLJUKhaU/edit?usp=sharing"",""พังงา!M206"")+IMPORTRANGE(""https://docs.google.com/spreadsheets/d/17ht0gPKzzT3PObBL1XJkeR"&amp;"mntBXI7wGjpLV7QorqlTk/edit?usp=sharing"",""พัทลุง!M206"")+IMPORTRANGE(""https://docs.google.com/spreadsheets/d/1rd4qoM1q_hsgaolqNGfrim9gbsoLxQsda4-vOz5x_BM/edit?usp=sharing"",""ภูเก็ต!M206"")+IMPORTRANGE(""https://docs.google.com/spreadsheets/d/1woKwKjgoL"&amp;"ssDvPcPeVyezB5izizAn4X1JDrys69n6xI/edit?usp=sharing"",""ยะลา!M206"")+IMPORTRANGE(""https://docs.google.com/spreadsheets/d/1qfrKjzMhm2HJfxQ-qVlJlJQ25Hne1d0khsySbZyGtPA/edit?usp=sharing"",""ระนอง!M206"")+IMPORTRANGE(""https://docs.google.com/spreadsheets/d/"&amp;"1IbSCnFOKpZsnFogBHJnL_isstZVaOMnFiIN0fGTPZZw/edit?usp=sharing"",""สงขลา!M206"")+IMPORTRANGE(""https://docs.google.com/spreadsheets/d/1q9nWasZJ-K8bFGvbE9n0qSRuKGA4Toe3Y89cKCiVtCU/edit?usp=sharing"",""สตูล!M206"")+IMPORTRANGE(""https://docs.google.com/sprea"&amp;"dsheets/d/18T20gbkS_WBjdscyTOV05cvq_JqvqQ17C81mpxf7Ncs/edit?usp=sharing"",""สุราษฎร์ธานี!M206"")"),0)</f>
        <v>0</v>
      </c>
      <c r="N206" s="47">
        <f ca="1">IFERROR(__xludf.DUMMYFUNCTION("IMPORTRANGE(""https://docs.google.com/spreadsheets/d/1kKUcYdkIfrgTSj8iHHHB2MD2FAtwyyocFgqGQn6ADyI/edit?usp=sharing"",""กระบี่!N206"")+IMPORTRANGE(""https://docs.google.com/spreadsheets/d/1GwtLaSlNZkLk7iDqcyZz22giiy40b_usZZBXYciEN1U/edit?usp=sharing"",""ชุ"&amp;"มพร!N206"")+IMPORTRANGE(""https://docs.google.com/spreadsheets/d/16pAz3pOhQEZBhvFNMa5KGgZS6iKWpsKX0pg6tQmwFpo/edit?usp=sharing"",""ตรัง!N206"")+IMPORTRANGE(""https://docs.google.com/spreadsheets/d/1Dj4jcHCTV9JXKCaMoheSXS52JE63kDKyG7bPXnFogHk/edit?usp=shar"&amp;"ing"",""นครศรีธรรมราช!N206"")+IMPORTRANGE(""https://docs.google.com/spreadsheets/d/1iodCdmuK2GR3jzUwk8tpccY2JHQQA-87DLOtJP-ooyU/edit?usp=sharing"",""นราธิวาส!N206"")+IMPORTRANGE(""https://docs.google.com/spreadsheets/d/1SDNX3JhDdYRuIOsj0Wh2M-Qa_eaXl0NbWmh"&amp;"AOTbfQAs/edit?usp=sharing"",""ปัตตานี!N206"")+IMPORTRANGE(""https://docs.google.com/spreadsheets/d/16JDLGguT8s5DsGCND1KcwHP_AWR_zDMTqLHPLJUKhaU/edit?usp=sharing"",""พังงา!N206"")+IMPORTRANGE(""https://docs.google.com/spreadsheets/d/17ht0gPKzzT3PObBL1XJkeR"&amp;"mntBXI7wGjpLV7QorqlTk/edit?usp=sharing"",""พัทลุง!N206"")+IMPORTRANGE(""https://docs.google.com/spreadsheets/d/1rd4qoM1q_hsgaolqNGfrim9gbsoLxQsda4-vOz5x_BM/edit?usp=sharing"",""ภูเก็ต!N206"")+IMPORTRANGE(""https://docs.google.com/spreadsheets/d/1woKwKjgoL"&amp;"ssDvPcPeVyezB5izizAn4X1JDrys69n6xI/edit?usp=sharing"",""ยะลา!N206"")+IMPORTRANGE(""https://docs.google.com/spreadsheets/d/1qfrKjzMhm2HJfxQ-qVlJlJQ25Hne1d0khsySbZyGtPA/edit?usp=sharing"",""ระนอง!N206"")+IMPORTRANGE(""https://docs.google.com/spreadsheets/d/"&amp;"1IbSCnFOKpZsnFogBHJnL_isstZVaOMnFiIN0fGTPZZw/edit?usp=sharing"",""สงขลา!N206"")+IMPORTRANGE(""https://docs.google.com/spreadsheets/d/1q9nWasZJ-K8bFGvbE9n0qSRuKGA4Toe3Y89cKCiVtCU/edit?usp=sharing"",""สตูล!N206"")+IMPORTRANGE(""https://docs.google.com/sprea"&amp;"dsheets/d/18T20gbkS_WBjdscyTOV05cvq_JqvqQ17C81mpxf7Ncs/edit?usp=sharing"",""สุราษฎร์ธานี!N206"")"),8000)</f>
        <v>8000</v>
      </c>
      <c r="O206" s="136"/>
      <c r="P206" s="46"/>
      <c r="Q206" s="47">
        <f ca="1">IFERROR(__xludf.DUMMYFUNCTION("IMPORTRANGE(""https://docs.google.com/spreadsheets/d/1kKUcYdkIfrgTSj8iHHHB2MD2FAtwyyocFgqGQn6ADyI/edit?usp=sharing"",""กระบี่!Q206"")+IMPORTRANGE(""https://docs.google.com/spreadsheets/d/1GwtLaSlNZkLk7iDqcyZz22giiy40b_usZZBXYciEN1U/edit?usp=sharing"",""ชุ"&amp;"มพร!Q206"")+IMPORTRANGE(""https://docs.google.com/spreadsheets/d/16pAz3pOhQEZBhvFNMa5KGgZS6iKWpsKX0pg6tQmwFpo/edit?usp=sharing"",""ตรัง!Q206"")+IMPORTRANGE(""https://docs.google.com/spreadsheets/d/1Dj4jcHCTV9JXKCaMoheSXS52JE63kDKyG7bPXnFogHk/edit?usp=shar"&amp;"ing"",""นครศรีธรรมราช!Q206"")+IMPORTRANGE(""https://docs.google.com/spreadsheets/d/1iodCdmuK2GR3jzUwk8tpccY2JHQQA-87DLOtJP-ooyU/edit?usp=sharing"",""นราธิวาส!Q206"")+IMPORTRANGE(""https://docs.google.com/spreadsheets/d/1SDNX3JhDdYRuIOsj0Wh2M-Qa_eaXl0NbWmh"&amp;"AOTbfQAs/edit?usp=sharing"",""ปัตตานี!Q206"")+IMPORTRANGE(""https://docs.google.com/spreadsheets/d/16JDLGguT8s5DsGCND1KcwHP_AWR_zDMTqLHPLJUKhaU/edit?usp=sharing"",""พังงา!Q206"")+IMPORTRANGE(""https://docs.google.com/spreadsheets/d/17ht0gPKzzT3PObBL1XJkeR"&amp;"mntBXI7wGjpLV7QorqlTk/edit?usp=sharing"",""พัทลุง!Q206"")+IMPORTRANGE(""https://docs.google.com/spreadsheets/d/1rd4qoM1q_hsgaolqNGfrim9gbsoLxQsda4-vOz5x_BM/edit?usp=sharing"",""ภูเก็ต!Q206"")+IMPORTRANGE(""https://docs.google.com/spreadsheets/d/1woKwKjgoL"&amp;"ssDvPcPeVyezB5izizAn4X1JDrys69n6xI/edit?usp=sharing"",""ยะลา!Q206"")+IMPORTRANGE(""https://docs.google.com/spreadsheets/d/1qfrKjzMhm2HJfxQ-qVlJlJQ25Hne1d0khsySbZyGtPA/edit?usp=sharing"",""ระนอง!Q206"")+IMPORTRANGE(""https://docs.google.com/spreadsheets/d/"&amp;"1IbSCnFOKpZsnFogBHJnL_isstZVaOMnFiIN0fGTPZZw/edit?usp=sharing"",""สงขลา!Q206"")+IMPORTRANGE(""https://docs.google.com/spreadsheets/d/1q9nWasZJ-K8bFGvbE9n0qSRuKGA4Toe3Y89cKCiVtCU/edit?usp=sharing"",""สตูล!Q206"")+IMPORTRANGE(""https://docs.google.com/sprea"&amp;"dsheets/d/18T20gbkS_WBjdscyTOV05cvq_JqvqQ17C81mpxf7Ncs/edit?usp=sharing"",""สุราษฎร์ธานี!Q206"")"),406000)</f>
        <v>406000</v>
      </c>
      <c r="R206" s="47">
        <f ca="1">IFERROR(__xludf.DUMMYFUNCTION("IMPORTRANGE(""https://docs.google.com/spreadsheets/d/1kKUcYdkIfrgTSj8iHHHB2MD2FAtwyyocFgqGQn6ADyI/edit?usp=sharing"",""กระบี่!R206"")+IMPORTRANGE(""https://docs.google.com/spreadsheets/d/1GwtLaSlNZkLk7iDqcyZz22giiy40b_usZZBXYciEN1U/edit?usp=sharing"",""ชุ"&amp;"มพร!R206"")+IMPORTRANGE(""https://docs.google.com/spreadsheets/d/16pAz3pOhQEZBhvFNMa5KGgZS6iKWpsKX0pg6tQmwFpo/edit?usp=sharing"",""ตรัง!R206"")+IMPORTRANGE(""https://docs.google.com/spreadsheets/d/1Dj4jcHCTV9JXKCaMoheSXS52JE63kDKyG7bPXnFogHk/edit?usp=shar"&amp;"ing"",""นครศรีธรรมราช!R206"")+IMPORTRANGE(""https://docs.google.com/spreadsheets/d/1iodCdmuK2GR3jzUwk8tpccY2JHQQA-87DLOtJP-ooyU/edit?usp=sharing"",""นราธิวาส!R206"")+IMPORTRANGE(""https://docs.google.com/spreadsheets/d/1SDNX3JhDdYRuIOsj0Wh2M-Qa_eaXl0NbWmh"&amp;"AOTbfQAs/edit?usp=sharing"",""ปัตตานี!R206"")+IMPORTRANGE(""https://docs.google.com/spreadsheets/d/16JDLGguT8s5DsGCND1KcwHP_AWR_zDMTqLHPLJUKhaU/edit?usp=sharing"",""พังงา!R206"")+IMPORTRANGE(""https://docs.google.com/spreadsheets/d/17ht0gPKzzT3PObBL1XJkeR"&amp;"mntBXI7wGjpLV7QorqlTk/edit?usp=sharing"",""พัทลุง!R206"")+IMPORTRANGE(""https://docs.google.com/spreadsheets/d/1rd4qoM1q_hsgaolqNGfrim9gbsoLxQsda4-vOz5x_BM/edit?usp=sharing"",""ภูเก็ต!R206"")+IMPORTRANGE(""https://docs.google.com/spreadsheets/d/1woKwKjgoL"&amp;"ssDvPcPeVyezB5izizAn4X1JDrys69n6xI/edit?usp=sharing"",""ยะลา!R206"")+IMPORTRANGE(""https://docs.google.com/spreadsheets/d/1qfrKjzMhm2HJfxQ-qVlJlJQ25Hne1d0khsySbZyGtPA/edit?usp=sharing"",""ระนอง!R206"")+IMPORTRANGE(""https://docs.google.com/spreadsheets/d/"&amp;"1IbSCnFOKpZsnFogBHJnL_isstZVaOMnFiIN0fGTPZZw/edit?usp=sharing"",""สงขลา!R206"")+IMPORTRANGE(""https://docs.google.com/spreadsheets/d/1q9nWasZJ-K8bFGvbE9n0qSRuKGA4Toe3Y89cKCiVtCU/edit?usp=sharing"",""สตูล!R206"")+IMPORTRANGE(""https://docs.google.com/sprea"&amp;"dsheets/d/18T20gbkS_WBjdscyTOV05cvq_JqvqQ17C81mpxf7Ncs/edit?usp=sharing"",""สุราษฎร์ธานี!R206"")"),0)</f>
        <v>0</v>
      </c>
      <c r="S206" s="47">
        <f ca="1">IFERROR(__xludf.DUMMYFUNCTION("IMPORTRANGE(""https://docs.google.com/spreadsheets/d/1kKUcYdkIfrgTSj8iHHHB2MD2FAtwyyocFgqGQn6ADyI/edit?usp=sharing"",""กระบี่!S206"")+IMPORTRANGE(""https://docs.google.com/spreadsheets/d/1GwtLaSlNZkLk7iDqcyZz22giiy40b_usZZBXYciEN1U/edit?usp=sharing"",""ชุ"&amp;"มพร!S206"")+IMPORTRANGE(""https://docs.google.com/spreadsheets/d/16pAz3pOhQEZBhvFNMa5KGgZS6iKWpsKX0pg6tQmwFpo/edit?usp=sharing"",""ตรัง!S206"")+IMPORTRANGE(""https://docs.google.com/spreadsheets/d/1Dj4jcHCTV9JXKCaMoheSXS52JE63kDKyG7bPXnFogHk/edit?usp=shar"&amp;"ing"",""นครศรีธรรมราช!S206"")+IMPORTRANGE(""https://docs.google.com/spreadsheets/d/1iodCdmuK2GR3jzUwk8tpccY2JHQQA-87DLOtJP-ooyU/edit?usp=sharing"",""นราธิวาส!S206"")+IMPORTRANGE(""https://docs.google.com/spreadsheets/d/1SDNX3JhDdYRuIOsj0Wh2M-Qa_eaXl0NbWmh"&amp;"AOTbfQAs/edit?usp=sharing"",""ปัตตานี!S206"")+IMPORTRANGE(""https://docs.google.com/spreadsheets/d/16JDLGguT8s5DsGCND1KcwHP_AWR_zDMTqLHPLJUKhaU/edit?usp=sharing"",""พังงา!S206"")+IMPORTRANGE(""https://docs.google.com/spreadsheets/d/17ht0gPKzzT3PObBL1XJkeR"&amp;"mntBXI7wGjpLV7QorqlTk/edit?usp=sharing"",""พัทลุง!S206"")+IMPORTRANGE(""https://docs.google.com/spreadsheets/d/1rd4qoM1q_hsgaolqNGfrim9gbsoLxQsda4-vOz5x_BM/edit?usp=sharing"",""ภูเก็ต!S206"")+IMPORTRANGE(""https://docs.google.com/spreadsheets/d/1woKwKjgoL"&amp;"ssDvPcPeVyezB5izizAn4X1JDrys69n6xI/edit?usp=sharing"",""ยะลา!S206"")+IMPORTRANGE(""https://docs.google.com/spreadsheets/d/1qfrKjzMhm2HJfxQ-qVlJlJQ25Hne1d0khsySbZyGtPA/edit?usp=sharing"",""ระนอง!S206"")+IMPORTRANGE(""https://docs.google.com/spreadsheets/d/"&amp;"1IbSCnFOKpZsnFogBHJnL_isstZVaOMnFiIN0fGTPZZw/edit?usp=sharing"",""สงขลา!S206"")+IMPORTRANGE(""https://docs.google.com/spreadsheets/d/1q9nWasZJ-K8bFGvbE9n0qSRuKGA4Toe3Y89cKCiVtCU/edit?usp=sharing"",""สตูล!S206"")+IMPORTRANGE(""https://docs.google.com/sprea"&amp;"dsheets/d/18T20gbkS_WBjdscyTOV05cvq_JqvqQ17C81mpxf7Ncs/edit?usp=sharing"",""สุราษฎร์ธานี!S206"")"),112000)</f>
        <v>112000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47">
        <f ca="1">IFERROR(__xludf.DUMMYFUNCTION("IMPORTRANGE(""https://docs.google.com/spreadsheets/d/1kKUcYdkIfrgTSj8iHHHB2MD2FAtwyyocFgqGQn6ADyI/edit?usp=sharing"",""กระบี่!L207"")+IMPORTRANGE(""https://docs.google.com/spreadsheets/d/1GwtLaSlNZkLk7iDqcyZz22giiy40b_usZZBXYciEN1U/edit?usp=sharing"",""ชุ"&amp;"มพร!L207"")+IMPORTRANGE(""https://docs.google.com/spreadsheets/d/16pAz3pOhQEZBhvFNMa5KGgZS6iKWpsKX0pg6tQmwFpo/edit?usp=sharing"",""ตรัง!L207"")+IMPORTRANGE(""https://docs.google.com/spreadsheets/d/1Dj4jcHCTV9JXKCaMoheSXS52JE63kDKyG7bPXnFogHk/edit?usp=shar"&amp;"ing"",""นครศรีธรรมราช!L207"")+IMPORTRANGE(""https://docs.google.com/spreadsheets/d/1iodCdmuK2GR3jzUwk8tpccY2JHQQA-87DLOtJP-ooyU/edit?usp=sharing"",""นราธิวาส!L207"")+IMPORTRANGE(""https://docs.google.com/spreadsheets/d/1SDNX3JhDdYRuIOsj0Wh2M-Qa_eaXl0NbWmh"&amp;"AOTbfQAs/edit?usp=sharing"",""ปัตตานี!L207"")+IMPORTRANGE(""https://docs.google.com/spreadsheets/d/16JDLGguT8s5DsGCND1KcwHP_AWR_zDMTqLHPLJUKhaU/edit?usp=sharing"",""พังงา!L207"")+IMPORTRANGE(""https://docs.google.com/spreadsheets/d/17ht0gPKzzT3PObBL1XJkeR"&amp;"mntBXI7wGjpLV7QorqlTk/edit?usp=sharing"",""พัทลุง!L207"")+IMPORTRANGE(""https://docs.google.com/spreadsheets/d/1rd4qoM1q_hsgaolqNGfrim9gbsoLxQsda4-vOz5x_BM/edit?usp=sharing"",""ภูเก็ต!L207"")+IMPORTRANGE(""https://docs.google.com/spreadsheets/d/1woKwKjgoL"&amp;"ssDvPcPeVyezB5izizAn4X1JDrys69n6xI/edit?usp=sharing"",""ยะลา!L207"")+IMPORTRANGE(""https://docs.google.com/spreadsheets/d/1qfrKjzMhm2HJfxQ-qVlJlJQ25Hne1d0khsySbZyGtPA/edit?usp=sharing"",""ระนอง!L207"")+IMPORTRANGE(""https://docs.google.com/spreadsheets/d/"&amp;"1IbSCnFOKpZsnFogBHJnL_isstZVaOMnFiIN0fGTPZZw/edit?usp=sharing"",""สงขลา!L207"")+IMPORTRANGE(""https://docs.google.com/spreadsheets/d/1q9nWasZJ-K8bFGvbE9n0qSRuKGA4Toe3Y89cKCiVtCU/edit?usp=sharing"",""สตูล!L207"")+IMPORTRANGE(""https://docs.google.com/sprea"&amp;"dsheets/d/18T20gbkS_WBjdscyTOV05cvq_JqvqQ17C81mpxf7Ncs/edit?usp=sharing"",""สุราษฎร์ธานี!L207"")"),138000)</f>
        <v>138000</v>
      </c>
      <c r="M207" s="47">
        <f ca="1">IFERROR(__xludf.DUMMYFUNCTION("IMPORTRANGE(""https://docs.google.com/spreadsheets/d/1kKUcYdkIfrgTSj8iHHHB2MD2FAtwyyocFgqGQn6ADyI/edit?usp=sharing"",""กระบี่!M207"")+IMPORTRANGE(""https://docs.google.com/spreadsheets/d/1GwtLaSlNZkLk7iDqcyZz22giiy40b_usZZBXYciEN1U/edit?usp=sharing"",""ชุ"&amp;"มพร!M207"")+IMPORTRANGE(""https://docs.google.com/spreadsheets/d/16pAz3pOhQEZBhvFNMa5KGgZS6iKWpsKX0pg6tQmwFpo/edit?usp=sharing"",""ตรัง!M207"")+IMPORTRANGE(""https://docs.google.com/spreadsheets/d/1Dj4jcHCTV9JXKCaMoheSXS52JE63kDKyG7bPXnFogHk/edit?usp=shar"&amp;"ing"",""นครศรีธรรมราช!M207"")+IMPORTRANGE(""https://docs.google.com/spreadsheets/d/1iodCdmuK2GR3jzUwk8tpccY2JHQQA-87DLOtJP-ooyU/edit?usp=sharing"",""นราธิวาส!M207"")+IMPORTRANGE(""https://docs.google.com/spreadsheets/d/1SDNX3JhDdYRuIOsj0Wh2M-Qa_eaXl0NbWmh"&amp;"AOTbfQAs/edit?usp=sharing"",""ปัตตานี!M207"")+IMPORTRANGE(""https://docs.google.com/spreadsheets/d/16JDLGguT8s5DsGCND1KcwHP_AWR_zDMTqLHPLJUKhaU/edit?usp=sharing"",""พังงา!M207"")+IMPORTRANGE(""https://docs.google.com/spreadsheets/d/17ht0gPKzzT3PObBL1XJkeR"&amp;"mntBXI7wGjpLV7QorqlTk/edit?usp=sharing"",""พัทลุง!M207"")+IMPORTRANGE(""https://docs.google.com/spreadsheets/d/1rd4qoM1q_hsgaolqNGfrim9gbsoLxQsda4-vOz5x_BM/edit?usp=sharing"",""ภูเก็ต!M207"")+IMPORTRANGE(""https://docs.google.com/spreadsheets/d/1woKwKjgoL"&amp;"ssDvPcPeVyezB5izizAn4X1JDrys69n6xI/edit?usp=sharing"",""ยะลา!M207"")+IMPORTRANGE(""https://docs.google.com/spreadsheets/d/1qfrKjzMhm2HJfxQ-qVlJlJQ25Hne1d0khsySbZyGtPA/edit?usp=sharing"",""ระนอง!M207"")+IMPORTRANGE(""https://docs.google.com/spreadsheets/d/"&amp;"1IbSCnFOKpZsnFogBHJnL_isstZVaOMnFiIN0fGTPZZw/edit?usp=sharing"",""สงขลา!M207"")+IMPORTRANGE(""https://docs.google.com/spreadsheets/d/1q9nWasZJ-K8bFGvbE9n0qSRuKGA4Toe3Y89cKCiVtCU/edit?usp=sharing"",""สตูล!M207"")+IMPORTRANGE(""https://docs.google.com/sprea"&amp;"dsheets/d/18T20gbkS_WBjdscyTOV05cvq_JqvqQ17C81mpxf7Ncs/edit?usp=sharing"",""สุราษฎร์ธานี!M207"")"),0)</f>
        <v>0</v>
      </c>
      <c r="N207" s="47">
        <f ca="1">IFERROR(__xludf.DUMMYFUNCTION("IMPORTRANGE(""https://docs.google.com/spreadsheets/d/1kKUcYdkIfrgTSj8iHHHB2MD2FAtwyyocFgqGQn6ADyI/edit?usp=sharing"",""กระบี่!N207"")+IMPORTRANGE(""https://docs.google.com/spreadsheets/d/1GwtLaSlNZkLk7iDqcyZz22giiy40b_usZZBXYciEN1U/edit?usp=sharing"",""ชุ"&amp;"มพร!N207"")+IMPORTRANGE(""https://docs.google.com/spreadsheets/d/16pAz3pOhQEZBhvFNMa5KGgZS6iKWpsKX0pg6tQmwFpo/edit?usp=sharing"",""ตรัง!N207"")+IMPORTRANGE(""https://docs.google.com/spreadsheets/d/1Dj4jcHCTV9JXKCaMoheSXS52JE63kDKyG7bPXnFogHk/edit?usp=shar"&amp;"ing"",""นครศรีธรรมราช!N207"")+IMPORTRANGE(""https://docs.google.com/spreadsheets/d/1iodCdmuK2GR3jzUwk8tpccY2JHQQA-87DLOtJP-ooyU/edit?usp=sharing"",""นราธิวาส!N207"")+IMPORTRANGE(""https://docs.google.com/spreadsheets/d/1SDNX3JhDdYRuIOsj0Wh2M-Qa_eaXl0NbWmh"&amp;"AOTbfQAs/edit?usp=sharing"",""ปัตตานี!N207"")+IMPORTRANGE(""https://docs.google.com/spreadsheets/d/16JDLGguT8s5DsGCND1KcwHP_AWR_zDMTqLHPLJUKhaU/edit?usp=sharing"",""พังงา!N207"")+IMPORTRANGE(""https://docs.google.com/spreadsheets/d/17ht0gPKzzT3PObBL1XJkeR"&amp;"mntBXI7wGjpLV7QorqlTk/edit?usp=sharing"",""พัทลุง!N207"")+IMPORTRANGE(""https://docs.google.com/spreadsheets/d/1rd4qoM1q_hsgaolqNGfrim9gbsoLxQsda4-vOz5x_BM/edit?usp=sharing"",""ภูเก็ต!N207"")+IMPORTRANGE(""https://docs.google.com/spreadsheets/d/1woKwKjgoL"&amp;"ssDvPcPeVyezB5izizAn4X1JDrys69n6xI/edit?usp=sharing"",""ยะลา!N207"")+IMPORTRANGE(""https://docs.google.com/spreadsheets/d/1qfrKjzMhm2HJfxQ-qVlJlJQ25Hne1d0khsySbZyGtPA/edit?usp=sharing"",""ระนอง!N207"")+IMPORTRANGE(""https://docs.google.com/spreadsheets/d/"&amp;"1IbSCnFOKpZsnFogBHJnL_isstZVaOMnFiIN0fGTPZZw/edit?usp=sharing"",""สงขลา!N207"")+IMPORTRANGE(""https://docs.google.com/spreadsheets/d/1q9nWasZJ-K8bFGvbE9n0qSRuKGA4Toe3Y89cKCiVtCU/edit?usp=sharing"",""สตูล!N207"")+IMPORTRANGE(""https://docs.google.com/sprea"&amp;"dsheets/d/18T20gbkS_WBjdscyTOV05cvq_JqvqQ17C81mpxf7Ncs/edit?usp=sharing"",""สุราษฎร์ธานี!N207"")"),36000)</f>
        <v>36000</v>
      </c>
      <c r="O207" s="136"/>
      <c r="P207" s="46"/>
      <c r="Q207" s="47">
        <f ca="1">IFERROR(__xludf.DUMMYFUNCTION("IMPORTRANGE(""https://docs.google.com/spreadsheets/d/1kKUcYdkIfrgTSj8iHHHB2MD2FAtwyyocFgqGQn6ADyI/edit?usp=sharing"",""กระบี่!Q207"")+IMPORTRANGE(""https://docs.google.com/spreadsheets/d/1GwtLaSlNZkLk7iDqcyZz22giiy40b_usZZBXYciEN1U/edit?usp=sharing"",""ชุ"&amp;"มพร!Q207"")+IMPORTRANGE(""https://docs.google.com/spreadsheets/d/16pAz3pOhQEZBhvFNMa5KGgZS6iKWpsKX0pg6tQmwFpo/edit?usp=sharing"",""ตรัง!Q207"")+IMPORTRANGE(""https://docs.google.com/spreadsheets/d/1Dj4jcHCTV9JXKCaMoheSXS52JE63kDKyG7bPXnFogHk/edit?usp=shar"&amp;"ing"",""นครศรีธรรมราช!Q207"")+IMPORTRANGE(""https://docs.google.com/spreadsheets/d/1iodCdmuK2GR3jzUwk8tpccY2JHQQA-87DLOtJP-ooyU/edit?usp=sharing"",""นราธิวาส!Q207"")+IMPORTRANGE(""https://docs.google.com/spreadsheets/d/1SDNX3JhDdYRuIOsj0Wh2M-Qa_eaXl0NbWmh"&amp;"AOTbfQAs/edit?usp=sharing"",""ปัตตานี!Q207"")+IMPORTRANGE(""https://docs.google.com/spreadsheets/d/16JDLGguT8s5DsGCND1KcwHP_AWR_zDMTqLHPLJUKhaU/edit?usp=sharing"",""พังงา!Q207"")+IMPORTRANGE(""https://docs.google.com/spreadsheets/d/17ht0gPKzzT3PObBL1XJkeR"&amp;"mntBXI7wGjpLV7QorqlTk/edit?usp=sharing"",""พัทลุง!Q207"")+IMPORTRANGE(""https://docs.google.com/spreadsheets/d/1rd4qoM1q_hsgaolqNGfrim9gbsoLxQsda4-vOz5x_BM/edit?usp=sharing"",""ภูเก็ต!Q207"")+IMPORTRANGE(""https://docs.google.com/spreadsheets/d/1woKwKjgoL"&amp;"ssDvPcPeVyezB5izizAn4X1JDrys69n6xI/edit?usp=sharing"",""ยะลา!Q207"")+IMPORTRANGE(""https://docs.google.com/spreadsheets/d/1qfrKjzMhm2HJfxQ-qVlJlJQ25Hne1d0khsySbZyGtPA/edit?usp=sharing"",""ระนอง!Q207"")+IMPORTRANGE(""https://docs.google.com/spreadsheets/d/"&amp;"1IbSCnFOKpZsnFogBHJnL_isstZVaOMnFiIN0fGTPZZw/edit?usp=sharing"",""สงขลา!Q207"")+IMPORTRANGE(""https://docs.google.com/spreadsheets/d/1q9nWasZJ-K8bFGvbE9n0qSRuKGA4Toe3Y89cKCiVtCU/edit?usp=sharing"",""สตูล!Q207"")+IMPORTRANGE(""https://docs.google.com/sprea"&amp;"dsheets/d/18T20gbkS_WBjdscyTOV05cvq_JqvqQ17C81mpxf7Ncs/edit?usp=sharing"",""สุราษฎร์ธานี!Q207"")"),0)</f>
        <v>0</v>
      </c>
      <c r="R207" s="47">
        <f ca="1">IFERROR(__xludf.DUMMYFUNCTION("IMPORTRANGE(""https://docs.google.com/spreadsheets/d/1kKUcYdkIfrgTSj8iHHHB2MD2FAtwyyocFgqGQn6ADyI/edit?usp=sharing"",""กระบี่!R207"")+IMPORTRANGE(""https://docs.google.com/spreadsheets/d/1GwtLaSlNZkLk7iDqcyZz22giiy40b_usZZBXYciEN1U/edit?usp=sharing"",""ชุ"&amp;"มพร!R207"")+IMPORTRANGE(""https://docs.google.com/spreadsheets/d/16pAz3pOhQEZBhvFNMa5KGgZS6iKWpsKX0pg6tQmwFpo/edit?usp=sharing"",""ตรัง!R207"")+IMPORTRANGE(""https://docs.google.com/spreadsheets/d/1Dj4jcHCTV9JXKCaMoheSXS52JE63kDKyG7bPXnFogHk/edit?usp=shar"&amp;"ing"",""นครศรีธรรมราช!R207"")+IMPORTRANGE(""https://docs.google.com/spreadsheets/d/1iodCdmuK2GR3jzUwk8tpccY2JHQQA-87DLOtJP-ooyU/edit?usp=sharing"",""นราธิวาส!R207"")+IMPORTRANGE(""https://docs.google.com/spreadsheets/d/1SDNX3JhDdYRuIOsj0Wh2M-Qa_eaXl0NbWmh"&amp;"AOTbfQAs/edit?usp=sharing"",""ปัตตานี!R207"")+IMPORTRANGE(""https://docs.google.com/spreadsheets/d/16JDLGguT8s5DsGCND1KcwHP_AWR_zDMTqLHPLJUKhaU/edit?usp=sharing"",""พังงา!R207"")+IMPORTRANGE(""https://docs.google.com/spreadsheets/d/17ht0gPKzzT3PObBL1XJkeR"&amp;"mntBXI7wGjpLV7QorqlTk/edit?usp=sharing"",""พัทลุง!R207"")+IMPORTRANGE(""https://docs.google.com/spreadsheets/d/1rd4qoM1q_hsgaolqNGfrim9gbsoLxQsda4-vOz5x_BM/edit?usp=sharing"",""ภูเก็ต!R207"")+IMPORTRANGE(""https://docs.google.com/spreadsheets/d/1woKwKjgoL"&amp;"ssDvPcPeVyezB5izizAn4X1JDrys69n6xI/edit?usp=sharing"",""ยะลา!R207"")+IMPORTRANGE(""https://docs.google.com/spreadsheets/d/1qfrKjzMhm2HJfxQ-qVlJlJQ25Hne1d0khsySbZyGtPA/edit?usp=sharing"",""ระนอง!R207"")+IMPORTRANGE(""https://docs.google.com/spreadsheets/d/"&amp;"1IbSCnFOKpZsnFogBHJnL_isstZVaOMnFiIN0fGTPZZw/edit?usp=sharing"",""สงขลา!R207"")+IMPORTRANGE(""https://docs.google.com/spreadsheets/d/1q9nWasZJ-K8bFGvbE9n0qSRuKGA4Toe3Y89cKCiVtCU/edit?usp=sharing"",""สตูล!R207"")+IMPORTRANGE(""https://docs.google.com/sprea"&amp;"dsheets/d/18T20gbkS_WBjdscyTOV05cvq_JqvqQ17C81mpxf7Ncs/edit?usp=sharing"",""สุราษฎร์ธานี!R207"")"),0)</f>
        <v>0</v>
      </c>
      <c r="S207" s="47">
        <f ca="1">IFERROR(__xludf.DUMMYFUNCTION("IMPORTRANGE(""https://docs.google.com/spreadsheets/d/1kKUcYdkIfrgTSj8iHHHB2MD2FAtwyyocFgqGQn6ADyI/edit?usp=sharing"",""กระบี่!S207"")+IMPORTRANGE(""https://docs.google.com/spreadsheets/d/1GwtLaSlNZkLk7iDqcyZz22giiy40b_usZZBXYciEN1U/edit?usp=sharing"",""ชุ"&amp;"มพร!S207"")+IMPORTRANGE(""https://docs.google.com/spreadsheets/d/16pAz3pOhQEZBhvFNMa5KGgZS6iKWpsKX0pg6tQmwFpo/edit?usp=sharing"",""ตรัง!S207"")+IMPORTRANGE(""https://docs.google.com/spreadsheets/d/1Dj4jcHCTV9JXKCaMoheSXS52JE63kDKyG7bPXnFogHk/edit?usp=shar"&amp;"ing"",""นครศรีธรรมราช!S207"")+IMPORTRANGE(""https://docs.google.com/spreadsheets/d/1iodCdmuK2GR3jzUwk8tpccY2JHQQA-87DLOtJP-ooyU/edit?usp=sharing"",""นราธิวาส!S207"")+IMPORTRANGE(""https://docs.google.com/spreadsheets/d/1SDNX3JhDdYRuIOsj0Wh2M-Qa_eaXl0NbWmh"&amp;"AOTbfQAs/edit?usp=sharing"",""ปัตตานี!S207"")+IMPORTRANGE(""https://docs.google.com/spreadsheets/d/16JDLGguT8s5DsGCND1KcwHP_AWR_zDMTqLHPLJUKhaU/edit?usp=sharing"",""พังงา!S207"")+IMPORTRANGE(""https://docs.google.com/spreadsheets/d/17ht0gPKzzT3PObBL1XJkeR"&amp;"mntBXI7wGjpLV7QorqlTk/edit?usp=sharing"",""พัทลุง!S207"")+IMPORTRANGE(""https://docs.google.com/spreadsheets/d/1rd4qoM1q_hsgaolqNGfrim9gbsoLxQsda4-vOz5x_BM/edit?usp=sharing"",""ภูเก็ต!S207"")+IMPORTRANGE(""https://docs.google.com/spreadsheets/d/1woKwKjgoL"&amp;"ssDvPcPeVyezB5izizAn4X1JDrys69n6xI/edit?usp=sharing"",""ยะลา!S207"")+IMPORTRANGE(""https://docs.google.com/spreadsheets/d/1qfrKjzMhm2HJfxQ-qVlJlJQ25Hne1d0khsySbZyGtPA/edit?usp=sharing"",""ระนอง!S207"")+IMPORTRANGE(""https://docs.google.com/spreadsheets/d/"&amp;"1IbSCnFOKpZsnFogBHJnL_isstZVaOMnFiIN0fGTPZZw/edit?usp=sharing"",""สงขลา!S207"")+IMPORTRANGE(""https://docs.google.com/spreadsheets/d/1q9nWasZJ-K8bFGvbE9n0qSRuKGA4Toe3Y89cKCiVtCU/edit?usp=sharing"",""สตูล!S207"")+IMPORTRANGE(""https://docs.google.com/sprea"&amp;"dsheets/d/18T20gbkS_WBjdscyTOV05cvq_JqvqQ17C81mpxf7Ncs/edit?usp=sharing"",""สุราษฎร์ธานี!S207"")"),0)</f>
        <v>0</v>
      </c>
      <c r="T207" s="136"/>
      <c r="U207" s="46"/>
    </row>
    <row r="208" spans="1:21" ht="19.5" x14ac:dyDescent="0.3">
      <c r="A208" s="138"/>
      <c r="B208" s="139"/>
      <c r="C208" s="129" t="s">
        <v>18</v>
      </c>
      <c r="D208" s="140" t="s">
        <v>38</v>
      </c>
      <c r="E208" s="141"/>
      <c r="F208" s="141"/>
      <c r="G208" s="142"/>
      <c r="H208" s="143"/>
      <c r="I208" s="135"/>
      <c r="J208" s="135"/>
      <c r="K208" s="136"/>
      <c r="L208" s="136"/>
      <c r="M208" s="136"/>
      <c r="N208" s="136"/>
      <c r="O208" s="136"/>
      <c r="P208" s="136"/>
      <c r="Q208" s="136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238">
        <f ca="1">IFERROR(__xludf.DUMMYFUNCTION("IMPORTRANGE(""https://docs.google.com/spreadsheets/d/1kKUcYdkIfrgTSj8iHHHB2MD2FAtwyyocFgqGQn6ADyI/edit?usp=sharing"",""กระบี่!I209"")+IMPORTRANGE(""https://docs.google.com/spreadsheets/d/1GwtLaSlNZkLk7iDqcyZz22giiy40b_usZZBXYciEN1U/edit?usp=sharing"",""ชุ"&amp;"มพร!I209"")+IMPORTRANGE(""https://docs.google.com/spreadsheets/d/16pAz3pOhQEZBhvFNMa5KGgZS6iKWpsKX0pg6tQmwFpo/edit?usp=sharing"",""ตรัง!I209"")+IMPORTRANGE(""https://docs.google.com/spreadsheets/d/1Dj4jcHCTV9JXKCaMoheSXS52JE63kDKyG7bPXnFogHk/edit?usp=shar"&amp;"ing"",""นครศรีธรรมราช!I209"")+IMPORTRANGE(""https://docs.google.com/spreadsheets/d/1iodCdmuK2GR3jzUwk8tpccY2JHQQA-87DLOtJP-ooyU/edit?usp=sharing"",""นราธิวาส!I209"")+IMPORTRANGE(""https://docs.google.com/spreadsheets/d/1SDNX3JhDdYRuIOsj0Wh2M-Qa_eaXl0NbWmh"&amp;"AOTbfQAs/edit?usp=sharing"",""ปัตตานี!I209"")+IMPORTRANGE(""https://docs.google.com/spreadsheets/d/16JDLGguT8s5DsGCND1KcwHP_AWR_zDMTqLHPLJUKhaU/edit?usp=sharing"",""พังงา!I209"")+IMPORTRANGE(""https://docs.google.com/spreadsheets/d/17ht0gPKzzT3PObBL1XJkeR"&amp;"mntBXI7wGjpLV7QorqlTk/edit?usp=sharing"",""พัทลุง!I209"")+IMPORTRANGE(""https://docs.google.com/spreadsheets/d/1rd4qoM1q_hsgaolqNGfrim9gbsoLxQsda4-vOz5x_BM/edit?usp=sharing"",""ภูเก็ต!I209"")+IMPORTRANGE(""https://docs.google.com/spreadsheets/d/1woKwKjgoL"&amp;"ssDvPcPeVyezB5izizAn4X1JDrys69n6xI/edit?usp=sharing"",""ยะลา!I209"")+IMPORTRANGE(""https://docs.google.com/spreadsheets/d/1qfrKjzMhm2HJfxQ-qVlJlJQ25Hne1d0khsySbZyGtPA/edit?usp=sharing"",""ระนอง!I209"")+IMPORTRANGE(""https://docs.google.com/spreadsheets/d/"&amp;"1IbSCnFOKpZsnFogBHJnL_isstZVaOMnFiIN0fGTPZZw/edit?usp=sharing"",""สงขลา!I209"")+IMPORTRANGE(""https://docs.google.com/spreadsheets/d/1q9nWasZJ-K8bFGvbE9n0qSRuKGA4Toe3Y89cKCiVtCU/edit?usp=sharing"",""สตูล!I209"")+IMPORTRANGE(""https://docs.google.com/sprea"&amp;"dsheets/d/18T20gbkS_WBjdscyTOV05cvq_JqvqQ17C81mpxf7Ncs/edit?usp=sharing"",""สุราษฎร์ธานี!I209"")"),30)</f>
        <v>30</v>
      </c>
      <c r="J209" s="238">
        <f ca="1">IFERROR(__xludf.DUMMYFUNCTION("IMPORTRANGE(""https://docs.google.com/spreadsheets/d/1kKUcYdkIfrgTSj8iHHHB2MD2FAtwyyocFgqGQn6ADyI/edit?usp=sharing"",""กระบี่!J209"")+IMPORTRANGE(""https://docs.google.com/spreadsheets/d/1GwtLaSlNZkLk7iDqcyZz22giiy40b_usZZBXYciEN1U/edit?usp=sharing"",""ชุ"&amp;"มพร!J209"")+IMPORTRANGE(""https://docs.google.com/spreadsheets/d/16pAz3pOhQEZBhvFNMa5KGgZS6iKWpsKX0pg6tQmwFpo/edit?usp=sharing"",""ตรัง!J209"")+IMPORTRANGE(""https://docs.google.com/spreadsheets/d/1Dj4jcHCTV9JXKCaMoheSXS52JE63kDKyG7bPXnFogHk/edit?usp=shar"&amp;"ing"",""นครศรีธรรมราช!J209"")+IMPORTRANGE(""https://docs.google.com/spreadsheets/d/1iodCdmuK2GR3jzUwk8tpccY2JHQQA-87DLOtJP-ooyU/edit?usp=sharing"",""นราธิวาส!J209"")+IMPORTRANGE(""https://docs.google.com/spreadsheets/d/1SDNX3JhDdYRuIOsj0Wh2M-Qa_eaXl0NbWmh"&amp;"AOTbfQAs/edit?usp=sharing"",""ปัตตานี!J209"")+IMPORTRANGE(""https://docs.google.com/spreadsheets/d/16JDLGguT8s5DsGCND1KcwHP_AWR_zDMTqLHPLJUKhaU/edit?usp=sharing"",""พังงา!J209"")+IMPORTRANGE(""https://docs.google.com/spreadsheets/d/17ht0gPKzzT3PObBL1XJkeR"&amp;"mntBXI7wGjpLV7QorqlTk/edit?usp=sharing"",""พัทลุง!J209"")+IMPORTRANGE(""https://docs.google.com/spreadsheets/d/1rd4qoM1q_hsgaolqNGfrim9gbsoLxQsda4-vOz5x_BM/edit?usp=sharing"",""ภูเก็ต!J209"")+IMPORTRANGE(""https://docs.google.com/spreadsheets/d/1woKwKjgoL"&amp;"ssDvPcPeVyezB5izizAn4X1JDrys69n6xI/edit?usp=sharing"",""ยะลา!J209"")+IMPORTRANGE(""https://docs.google.com/spreadsheets/d/1qfrKjzMhm2HJfxQ-qVlJlJQ25Hne1d0khsySbZyGtPA/edit?usp=sharing"",""ระนอง!J209"")+IMPORTRANGE(""https://docs.google.com/spreadsheets/d/"&amp;"1IbSCnFOKpZsnFogBHJnL_isstZVaOMnFiIN0fGTPZZw/edit?usp=sharing"",""สงขลา!J209"")+IMPORTRANGE(""https://docs.google.com/spreadsheets/d/1q9nWasZJ-K8bFGvbE9n0qSRuKGA4Toe3Y89cKCiVtCU/edit?usp=sharing"",""สตูล!J209"")+IMPORTRANGE(""https://docs.google.com/sprea"&amp;"dsheets/d/18T20gbkS_WBjdscyTOV05cvq_JqvqQ17C81mpxf7Ncs/edit?usp=sharing"",""สุราษฎร์ธานี!J209"")"),9)</f>
        <v>9</v>
      </c>
      <c r="K209" s="239">
        <f ca="1">IF(I209&gt;0,J209*100/I209,0)</f>
        <v>30</v>
      </c>
      <c r="L209" s="46"/>
      <c r="M209" s="46"/>
      <c r="N209" s="46"/>
      <c r="O209" s="46"/>
      <c r="P209" s="46"/>
      <c r="Q209" s="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46"/>
      <c r="M210" s="46"/>
      <c r="N210" s="46"/>
      <c r="O210" s="46"/>
      <c r="P210" s="46"/>
      <c r="Q210" s="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v>0</v>
      </c>
      <c r="J211" s="238">
        <f ca="1">IFERROR(__xludf.DUMMYFUNCTION("IMPORTRANGE(""https://docs.google.com/spreadsheets/d/1kKUcYdkIfrgTSj8iHHHB2MD2FAtwyyocFgqGQn6ADyI/edit?usp=sharing"",""กระบี่!J211"")+IMPORTRANGE(""https://docs.google.com/spreadsheets/d/1GwtLaSlNZkLk7iDqcyZz22giiy40b_usZZBXYciEN1U/edit?usp=sharing"",""ชุ"&amp;"มพร!J211"")+IMPORTRANGE(""https://docs.google.com/spreadsheets/d/16pAz3pOhQEZBhvFNMa5KGgZS6iKWpsKX0pg6tQmwFpo/edit?usp=sharing"",""ตรัง!J211"")+IMPORTRANGE(""https://docs.google.com/spreadsheets/d/1Dj4jcHCTV9JXKCaMoheSXS52JE63kDKyG7bPXnFogHk/edit?usp=shar"&amp;"ing"",""นครศรีธรรมราช!J211"")+IMPORTRANGE(""https://docs.google.com/spreadsheets/d/1iodCdmuK2GR3jzUwk8tpccY2JHQQA-87DLOtJP-ooyU/edit?usp=sharing"",""นราธิวาส!J211"")+IMPORTRANGE(""https://docs.google.com/spreadsheets/d/1SDNX3JhDdYRuIOsj0Wh2M-Qa_eaXl0NbWmh"&amp;"AOTbfQAs/edit?usp=sharing"",""ปัตตานี!J211"")+IMPORTRANGE(""https://docs.google.com/spreadsheets/d/16JDLGguT8s5DsGCND1KcwHP_AWR_zDMTqLHPLJUKhaU/edit?usp=sharing"",""พังงา!J211"")+IMPORTRANGE(""https://docs.google.com/spreadsheets/d/17ht0gPKzzT3PObBL1XJkeR"&amp;"mntBXI7wGjpLV7QorqlTk/edit?usp=sharing"",""พัทลุง!J211"")+IMPORTRANGE(""https://docs.google.com/spreadsheets/d/1rd4qoM1q_hsgaolqNGfrim9gbsoLxQsda4-vOz5x_BM/edit?usp=sharing"",""ภูเก็ต!J211"")+IMPORTRANGE(""https://docs.google.com/spreadsheets/d/1woKwKjgoL"&amp;"ssDvPcPeVyezB5izizAn4X1JDrys69n6xI/edit?usp=sharing"",""ยะลา!J211"")+IMPORTRANGE(""https://docs.google.com/spreadsheets/d/1qfrKjzMhm2HJfxQ-qVlJlJQ25Hne1d0khsySbZyGtPA/edit?usp=sharing"",""ระนอง!J211"")+IMPORTRANGE(""https://docs.google.com/spreadsheets/d/"&amp;"1IbSCnFOKpZsnFogBHJnL_isstZVaOMnFiIN0fGTPZZw/edit?usp=sharing"",""สงขลา!J211"")+IMPORTRANGE(""https://docs.google.com/spreadsheets/d/1q9nWasZJ-K8bFGvbE9n0qSRuKGA4Toe3Y89cKCiVtCU/edit?usp=sharing"",""สตูล!J211"")+IMPORTRANGE(""https://docs.google.com/sprea"&amp;"dsheets/d/18T20gbkS_WBjdscyTOV05cvq_JqvqQ17C81mpxf7Ncs/edit?usp=sharing"",""สุราษฎร์ธานี!J211"")"),9)</f>
        <v>9</v>
      </c>
      <c r="K211" s="153">
        <f t="shared" ref="K211:K213" si="175">IF(I211&gt;0,J211*100/I211,0)</f>
        <v>0</v>
      </c>
      <c r="L211" s="46"/>
      <c r="M211" s="46"/>
      <c r="N211" s="46"/>
      <c r="O211" s="46"/>
      <c r="P211" s="46"/>
      <c r="Q211" s="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v>0</v>
      </c>
      <c r="J212" s="238">
        <f ca="1">IFERROR(__xludf.DUMMYFUNCTION("IMPORTRANGE(""https://docs.google.com/spreadsheets/d/1kKUcYdkIfrgTSj8iHHHB2MD2FAtwyyocFgqGQn6ADyI/edit?usp=sharing"",""กระบี่!J212"")+IMPORTRANGE(""https://docs.google.com/spreadsheets/d/1GwtLaSlNZkLk7iDqcyZz22giiy40b_usZZBXYciEN1U/edit?usp=sharing"",""ชุ"&amp;"มพร!J212"")+IMPORTRANGE(""https://docs.google.com/spreadsheets/d/16pAz3pOhQEZBhvFNMa5KGgZS6iKWpsKX0pg6tQmwFpo/edit?usp=sharing"",""ตรัง!J212"")+IMPORTRANGE(""https://docs.google.com/spreadsheets/d/1Dj4jcHCTV9JXKCaMoheSXS52JE63kDKyG7bPXnFogHk/edit?usp=shar"&amp;"ing"",""นครศรีธรรมราช!J212"")+IMPORTRANGE(""https://docs.google.com/spreadsheets/d/1iodCdmuK2GR3jzUwk8tpccY2JHQQA-87DLOtJP-ooyU/edit?usp=sharing"",""นราธิวาส!J212"")+IMPORTRANGE(""https://docs.google.com/spreadsheets/d/1SDNX3JhDdYRuIOsj0Wh2M-Qa_eaXl0NbWmh"&amp;"AOTbfQAs/edit?usp=sharing"",""ปัตตานี!J212"")+IMPORTRANGE(""https://docs.google.com/spreadsheets/d/16JDLGguT8s5DsGCND1KcwHP_AWR_zDMTqLHPLJUKhaU/edit?usp=sharing"",""พังงา!J212"")+IMPORTRANGE(""https://docs.google.com/spreadsheets/d/17ht0gPKzzT3PObBL1XJkeR"&amp;"mntBXI7wGjpLV7QorqlTk/edit?usp=sharing"",""พัทลุง!J212"")+IMPORTRANGE(""https://docs.google.com/spreadsheets/d/1rd4qoM1q_hsgaolqNGfrim9gbsoLxQsda4-vOz5x_BM/edit?usp=sharing"",""ภูเก็ต!J212"")+IMPORTRANGE(""https://docs.google.com/spreadsheets/d/1woKwKjgoL"&amp;"ssDvPcPeVyezB5izizAn4X1JDrys69n6xI/edit?usp=sharing"",""ยะลา!J212"")+IMPORTRANGE(""https://docs.google.com/spreadsheets/d/1qfrKjzMhm2HJfxQ-qVlJlJQ25Hne1d0khsySbZyGtPA/edit?usp=sharing"",""ระนอง!J212"")+IMPORTRANGE(""https://docs.google.com/spreadsheets/d/"&amp;"1IbSCnFOKpZsnFogBHJnL_isstZVaOMnFiIN0fGTPZZw/edit?usp=sharing"",""สงขลา!J212"")+IMPORTRANGE(""https://docs.google.com/spreadsheets/d/1q9nWasZJ-K8bFGvbE9n0qSRuKGA4Toe3Y89cKCiVtCU/edit?usp=sharing"",""สตูล!J212"")+IMPORTRANGE(""https://docs.google.com/sprea"&amp;"dsheets/d/18T20gbkS_WBjdscyTOV05cvq_JqvqQ17C81mpxf7Ncs/edit?usp=sharing"",""สุราษฎร์ธานี!J212"")"),1)</f>
        <v>1</v>
      </c>
      <c r="K212" s="153">
        <f t="shared" si="175"/>
        <v>0</v>
      </c>
      <c r="L212" s="46"/>
      <c r="M212" s="46"/>
      <c r="N212" s="46"/>
      <c r="O212" s="46"/>
      <c r="P212" s="46"/>
      <c r="Q212" s="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35">
        <f t="shared" ref="I213:J213" ca="1" si="176">I220</f>
        <v>10</v>
      </c>
      <c r="J213" s="235">
        <f t="shared" ca="1" si="176"/>
        <v>0</v>
      </c>
      <c r="K213" s="236">
        <f t="shared" ca="1" si="175"/>
        <v>0</v>
      </c>
      <c r="L213" s="230"/>
      <c r="M213" s="230"/>
      <c r="N213" s="230"/>
      <c r="O213" s="230"/>
      <c r="P213" s="230"/>
      <c r="Q213" s="230"/>
      <c r="R213" s="230"/>
      <c r="S213" s="230"/>
      <c r="T213" s="230"/>
      <c r="U213" s="230"/>
    </row>
    <row r="214" spans="1:21" ht="19.5" x14ac:dyDescent="0.3">
      <c r="A214" s="128"/>
      <c r="B214" s="41"/>
      <c r="C214" s="129" t="s">
        <v>18</v>
      </c>
      <c r="D214" s="231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132">
        <f t="shared" ref="L214:N214" ca="1" si="177">L215+L216+L217</f>
        <v>60000</v>
      </c>
      <c r="M214" s="132">
        <f t="shared" ca="1" si="177"/>
        <v>0</v>
      </c>
      <c r="N214" s="132">
        <f t="shared" ca="1" si="177"/>
        <v>0</v>
      </c>
      <c r="O214" s="132">
        <f ca="1">IF(L214&gt;0,N214*100/L214,0)</f>
        <v>0</v>
      </c>
      <c r="P214" s="46"/>
      <c r="Q214" s="132">
        <f t="shared" ref="Q214:S214" ca="1" si="178">Q215+Q216+Q217</f>
        <v>497000</v>
      </c>
      <c r="R214" s="132">
        <f t="shared" ca="1" si="178"/>
        <v>0</v>
      </c>
      <c r="S214" s="132">
        <f t="shared" ca="1" si="178"/>
        <v>299300</v>
      </c>
      <c r="T214" s="46"/>
      <c r="U214" s="46"/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47">
        <f ca="1">IFERROR(__xludf.DUMMYFUNCTION("IMPORTRANGE(""https://docs.google.com/spreadsheets/d/1kKUcYdkIfrgTSj8iHHHB2MD2FAtwyyocFgqGQn6ADyI/edit?usp=sharing"",""กระบี่!L215"")+IMPORTRANGE(""https://docs.google.com/spreadsheets/d/1GwtLaSlNZkLk7iDqcyZz22giiy40b_usZZBXYciEN1U/edit?usp=sharing"",""ชุ"&amp;"มพร!L215"")+IMPORTRANGE(""https://docs.google.com/spreadsheets/d/16pAz3pOhQEZBhvFNMa5KGgZS6iKWpsKX0pg6tQmwFpo/edit?usp=sharing"",""ตรัง!L215"")+IMPORTRANGE(""https://docs.google.com/spreadsheets/d/1Dj4jcHCTV9JXKCaMoheSXS52JE63kDKyG7bPXnFogHk/edit?usp=shar"&amp;"ing"",""นครศรีธรรมราช!L215"")+IMPORTRANGE(""https://docs.google.com/spreadsheets/d/1iodCdmuK2GR3jzUwk8tpccY2JHQQA-87DLOtJP-ooyU/edit?usp=sharing"",""นราธิวาส!L215"")+IMPORTRANGE(""https://docs.google.com/spreadsheets/d/1SDNX3JhDdYRuIOsj0Wh2M-Qa_eaXl0NbWmh"&amp;"AOTbfQAs/edit?usp=sharing"",""ปัตตานี!L215"")+IMPORTRANGE(""https://docs.google.com/spreadsheets/d/16JDLGguT8s5DsGCND1KcwHP_AWR_zDMTqLHPLJUKhaU/edit?usp=sharing"",""พังงา!L215"")+IMPORTRANGE(""https://docs.google.com/spreadsheets/d/17ht0gPKzzT3PObBL1XJkeR"&amp;"mntBXI7wGjpLV7QorqlTk/edit?usp=sharing"",""พัทลุง!L215"")+IMPORTRANGE(""https://docs.google.com/spreadsheets/d/1rd4qoM1q_hsgaolqNGfrim9gbsoLxQsda4-vOz5x_BM/edit?usp=sharing"",""ภูเก็ต!L215"")+IMPORTRANGE(""https://docs.google.com/spreadsheets/d/1woKwKjgoL"&amp;"ssDvPcPeVyezB5izizAn4X1JDrys69n6xI/edit?usp=sharing"",""ยะลา!L215"")+IMPORTRANGE(""https://docs.google.com/spreadsheets/d/1qfrKjzMhm2HJfxQ-qVlJlJQ25Hne1d0khsySbZyGtPA/edit?usp=sharing"",""ระนอง!L215"")+IMPORTRANGE(""https://docs.google.com/spreadsheets/d/"&amp;"1IbSCnFOKpZsnFogBHJnL_isstZVaOMnFiIN0fGTPZZw/edit?usp=sharing"",""สงขลา!L215"")+IMPORTRANGE(""https://docs.google.com/spreadsheets/d/1q9nWasZJ-K8bFGvbE9n0qSRuKGA4Toe3Y89cKCiVtCU/edit?usp=sharing"",""สตูล!L215"")+IMPORTRANGE(""https://docs.google.com/sprea"&amp;"dsheets/d/18T20gbkS_WBjdscyTOV05cvq_JqvqQ17C81mpxf7Ncs/edit?usp=sharing"",""สุราษฎร์ธานี!L215"")"),10000)</f>
        <v>10000</v>
      </c>
      <c r="M215" s="47">
        <f ca="1">IFERROR(__xludf.DUMMYFUNCTION("IMPORTRANGE(""https://docs.google.com/spreadsheets/d/1kKUcYdkIfrgTSj8iHHHB2MD2FAtwyyocFgqGQn6ADyI/edit?usp=sharing"",""กระบี่!M215"")+IMPORTRANGE(""https://docs.google.com/spreadsheets/d/1GwtLaSlNZkLk7iDqcyZz22giiy40b_usZZBXYciEN1U/edit?usp=sharing"",""ชุ"&amp;"มพร!M215"")+IMPORTRANGE(""https://docs.google.com/spreadsheets/d/16pAz3pOhQEZBhvFNMa5KGgZS6iKWpsKX0pg6tQmwFpo/edit?usp=sharing"",""ตรัง!M215"")+IMPORTRANGE(""https://docs.google.com/spreadsheets/d/1Dj4jcHCTV9JXKCaMoheSXS52JE63kDKyG7bPXnFogHk/edit?usp=shar"&amp;"ing"",""นครศรีธรรมราช!M215"")+IMPORTRANGE(""https://docs.google.com/spreadsheets/d/1iodCdmuK2GR3jzUwk8tpccY2JHQQA-87DLOtJP-ooyU/edit?usp=sharing"",""นราธิวาส!M215"")+IMPORTRANGE(""https://docs.google.com/spreadsheets/d/1SDNX3JhDdYRuIOsj0Wh2M-Qa_eaXl0NbWmh"&amp;"AOTbfQAs/edit?usp=sharing"",""ปัตตานี!M215"")+IMPORTRANGE(""https://docs.google.com/spreadsheets/d/16JDLGguT8s5DsGCND1KcwHP_AWR_zDMTqLHPLJUKhaU/edit?usp=sharing"",""พังงา!M215"")+IMPORTRANGE(""https://docs.google.com/spreadsheets/d/17ht0gPKzzT3PObBL1XJkeR"&amp;"mntBXI7wGjpLV7QorqlTk/edit?usp=sharing"",""พัทลุง!M215"")+IMPORTRANGE(""https://docs.google.com/spreadsheets/d/1rd4qoM1q_hsgaolqNGfrim9gbsoLxQsda4-vOz5x_BM/edit?usp=sharing"",""ภูเก็ต!M215"")+IMPORTRANGE(""https://docs.google.com/spreadsheets/d/1woKwKjgoL"&amp;"ssDvPcPeVyezB5izizAn4X1JDrys69n6xI/edit?usp=sharing"",""ยะลา!M215"")+IMPORTRANGE(""https://docs.google.com/spreadsheets/d/1qfrKjzMhm2HJfxQ-qVlJlJQ25Hne1d0khsySbZyGtPA/edit?usp=sharing"",""ระนอง!M215"")+IMPORTRANGE(""https://docs.google.com/spreadsheets/d/"&amp;"1IbSCnFOKpZsnFogBHJnL_isstZVaOMnFiIN0fGTPZZw/edit?usp=sharing"",""สงขลา!M215"")+IMPORTRANGE(""https://docs.google.com/spreadsheets/d/1q9nWasZJ-K8bFGvbE9n0qSRuKGA4Toe3Y89cKCiVtCU/edit?usp=sharing"",""สตูล!M215"")+IMPORTRANGE(""https://docs.google.com/sprea"&amp;"dsheets/d/18T20gbkS_WBjdscyTOV05cvq_JqvqQ17C81mpxf7Ncs/edit?usp=sharing"",""สุราษฎร์ธานี!M215"")"),0)</f>
        <v>0</v>
      </c>
      <c r="N215" s="47">
        <f ca="1">IFERROR(__xludf.DUMMYFUNCTION("IMPORTRANGE(""https://docs.google.com/spreadsheets/d/1kKUcYdkIfrgTSj8iHHHB2MD2FAtwyyocFgqGQn6ADyI/edit?usp=sharing"",""กระบี่!N215"")+IMPORTRANGE(""https://docs.google.com/spreadsheets/d/1GwtLaSlNZkLk7iDqcyZz22giiy40b_usZZBXYciEN1U/edit?usp=sharing"",""ชุ"&amp;"มพร!N215"")+IMPORTRANGE(""https://docs.google.com/spreadsheets/d/16pAz3pOhQEZBhvFNMa5KGgZS6iKWpsKX0pg6tQmwFpo/edit?usp=sharing"",""ตรัง!N215"")+IMPORTRANGE(""https://docs.google.com/spreadsheets/d/1Dj4jcHCTV9JXKCaMoheSXS52JE63kDKyG7bPXnFogHk/edit?usp=shar"&amp;"ing"",""นครศรีธรรมราช!N215"")+IMPORTRANGE(""https://docs.google.com/spreadsheets/d/1iodCdmuK2GR3jzUwk8tpccY2JHQQA-87DLOtJP-ooyU/edit?usp=sharing"",""นราธิวาส!N215"")+IMPORTRANGE(""https://docs.google.com/spreadsheets/d/1SDNX3JhDdYRuIOsj0Wh2M-Qa_eaXl0NbWmh"&amp;"AOTbfQAs/edit?usp=sharing"",""ปัตตานี!N215"")+IMPORTRANGE(""https://docs.google.com/spreadsheets/d/16JDLGguT8s5DsGCND1KcwHP_AWR_zDMTqLHPLJUKhaU/edit?usp=sharing"",""พังงา!N215"")+IMPORTRANGE(""https://docs.google.com/spreadsheets/d/17ht0gPKzzT3PObBL1XJkeR"&amp;"mntBXI7wGjpLV7QorqlTk/edit?usp=sharing"",""พัทลุง!N215"")+IMPORTRANGE(""https://docs.google.com/spreadsheets/d/1rd4qoM1q_hsgaolqNGfrim9gbsoLxQsda4-vOz5x_BM/edit?usp=sharing"",""ภูเก็ต!N215"")+IMPORTRANGE(""https://docs.google.com/spreadsheets/d/1woKwKjgoL"&amp;"ssDvPcPeVyezB5izizAn4X1JDrys69n6xI/edit?usp=sharing"",""ยะลา!N215"")+IMPORTRANGE(""https://docs.google.com/spreadsheets/d/1qfrKjzMhm2HJfxQ-qVlJlJQ25Hne1d0khsySbZyGtPA/edit?usp=sharing"",""ระนอง!N215"")+IMPORTRANGE(""https://docs.google.com/spreadsheets/d/"&amp;"1IbSCnFOKpZsnFogBHJnL_isstZVaOMnFiIN0fGTPZZw/edit?usp=sharing"",""สงขลา!N215"")+IMPORTRANGE(""https://docs.google.com/spreadsheets/d/1q9nWasZJ-K8bFGvbE9n0qSRuKGA4Toe3Y89cKCiVtCU/edit?usp=sharing"",""สตูล!N215"")+IMPORTRANGE(""https://docs.google.com/sprea"&amp;"dsheets/d/18T20gbkS_WBjdscyTOV05cvq_JqvqQ17C81mpxf7Ncs/edit?usp=sharing"",""สุราษฎร์ธานี!N215"")"),0)</f>
        <v>0</v>
      </c>
      <c r="O215" s="136"/>
      <c r="P215" s="46"/>
      <c r="Q215" s="47">
        <f ca="1">IFERROR(__xludf.DUMMYFUNCTION("IMPORTRANGE(""https://docs.google.com/spreadsheets/d/1kKUcYdkIfrgTSj8iHHHB2MD2FAtwyyocFgqGQn6ADyI/edit?usp=sharing"",""กระบี่!Q215"")+IMPORTRANGE(""https://docs.google.com/spreadsheets/d/1GwtLaSlNZkLk7iDqcyZz22giiy40b_usZZBXYciEN1U/edit?usp=sharing"",""ชุ"&amp;"มพร!Q215"")+IMPORTRANGE(""https://docs.google.com/spreadsheets/d/16pAz3pOhQEZBhvFNMa5KGgZS6iKWpsKX0pg6tQmwFpo/edit?usp=sharing"",""ตรัง!Q215"")+IMPORTRANGE(""https://docs.google.com/spreadsheets/d/1Dj4jcHCTV9JXKCaMoheSXS52JE63kDKyG7bPXnFogHk/edit?usp=shar"&amp;"ing"",""นครศรีธรรมราช!Q215"")+IMPORTRANGE(""https://docs.google.com/spreadsheets/d/1iodCdmuK2GR3jzUwk8tpccY2JHQQA-87DLOtJP-ooyU/edit?usp=sharing"",""นราธิวาส!Q215"")+IMPORTRANGE(""https://docs.google.com/spreadsheets/d/1SDNX3JhDdYRuIOsj0Wh2M-Qa_eaXl0NbWmh"&amp;"AOTbfQAs/edit?usp=sharing"",""ปัตตานี!Q215"")+IMPORTRANGE(""https://docs.google.com/spreadsheets/d/16JDLGguT8s5DsGCND1KcwHP_AWR_zDMTqLHPLJUKhaU/edit?usp=sharing"",""พังงา!Q215"")+IMPORTRANGE(""https://docs.google.com/spreadsheets/d/17ht0gPKzzT3PObBL1XJkeR"&amp;"mntBXI7wGjpLV7QorqlTk/edit?usp=sharing"",""พัทลุง!Q215"")+IMPORTRANGE(""https://docs.google.com/spreadsheets/d/1rd4qoM1q_hsgaolqNGfrim9gbsoLxQsda4-vOz5x_BM/edit?usp=sharing"",""ภูเก็ต!Q215"")+IMPORTRANGE(""https://docs.google.com/spreadsheets/d/1woKwKjgoL"&amp;"ssDvPcPeVyezB5izizAn4X1JDrys69n6xI/edit?usp=sharing"",""ยะลา!Q215"")+IMPORTRANGE(""https://docs.google.com/spreadsheets/d/1qfrKjzMhm2HJfxQ-qVlJlJQ25Hne1d0khsySbZyGtPA/edit?usp=sharing"",""ระนอง!Q215"")+IMPORTRANGE(""https://docs.google.com/spreadsheets/d/"&amp;"1IbSCnFOKpZsnFogBHJnL_isstZVaOMnFiIN0fGTPZZw/edit?usp=sharing"",""สงขลา!Q215"")+IMPORTRANGE(""https://docs.google.com/spreadsheets/d/1q9nWasZJ-K8bFGvbE9n0qSRuKGA4Toe3Y89cKCiVtCU/edit?usp=sharing"",""สตูล!Q215"")+IMPORTRANGE(""https://docs.google.com/sprea"&amp;"dsheets/d/18T20gbkS_WBjdscyTOV05cvq_JqvqQ17C81mpxf7Ncs/edit?usp=sharing"",""สุราษฎร์ธานี!Q215"")"),0)</f>
        <v>0</v>
      </c>
      <c r="R215" s="47">
        <f ca="1">IFERROR(__xludf.DUMMYFUNCTION("IMPORTRANGE(""https://docs.google.com/spreadsheets/d/1kKUcYdkIfrgTSj8iHHHB2MD2FAtwyyocFgqGQn6ADyI/edit?usp=sharing"",""กระบี่!R215"")+IMPORTRANGE(""https://docs.google.com/spreadsheets/d/1GwtLaSlNZkLk7iDqcyZz22giiy40b_usZZBXYciEN1U/edit?usp=sharing"",""ชุ"&amp;"มพร!R215"")+IMPORTRANGE(""https://docs.google.com/spreadsheets/d/16pAz3pOhQEZBhvFNMa5KGgZS6iKWpsKX0pg6tQmwFpo/edit?usp=sharing"",""ตรัง!R215"")+IMPORTRANGE(""https://docs.google.com/spreadsheets/d/1Dj4jcHCTV9JXKCaMoheSXS52JE63kDKyG7bPXnFogHk/edit?usp=shar"&amp;"ing"",""นครศรีธรรมราช!R215"")+IMPORTRANGE(""https://docs.google.com/spreadsheets/d/1iodCdmuK2GR3jzUwk8tpccY2JHQQA-87DLOtJP-ooyU/edit?usp=sharing"",""นราธิวาส!R215"")+IMPORTRANGE(""https://docs.google.com/spreadsheets/d/1SDNX3JhDdYRuIOsj0Wh2M-Qa_eaXl0NbWmh"&amp;"AOTbfQAs/edit?usp=sharing"",""ปัตตานี!R215"")+IMPORTRANGE(""https://docs.google.com/spreadsheets/d/16JDLGguT8s5DsGCND1KcwHP_AWR_zDMTqLHPLJUKhaU/edit?usp=sharing"",""พังงา!R215"")+IMPORTRANGE(""https://docs.google.com/spreadsheets/d/17ht0gPKzzT3PObBL1XJkeR"&amp;"mntBXI7wGjpLV7QorqlTk/edit?usp=sharing"",""พัทลุง!R215"")+IMPORTRANGE(""https://docs.google.com/spreadsheets/d/1rd4qoM1q_hsgaolqNGfrim9gbsoLxQsda4-vOz5x_BM/edit?usp=sharing"",""ภูเก็ต!R215"")+IMPORTRANGE(""https://docs.google.com/spreadsheets/d/1woKwKjgoL"&amp;"ssDvPcPeVyezB5izizAn4X1JDrys69n6xI/edit?usp=sharing"",""ยะลา!R215"")+IMPORTRANGE(""https://docs.google.com/spreadsheets/d/1qfrKjzMhm2HJfxQ-qVlJlJQ25Hne1d0khsySbZyGtPA/edit?usp=sharing"",""ระนอง!R215"")+IMPORTRANGE(""https://docs.google.com/spreadsheets/d/"&amp;"1IbSCnFOKpZsnFogBHJnL_isstZVaOMnFiIN0fGTPZZw/edit?usp=sharing"",""สงขลา!R215"")+IMPORTRANGE(""https://docs.google.com/spreadsheets/d/1q9nWasZJ-K8bFGvbE9n0qSRuKGA4Toe3Y89cKCiVtCU/edit?usp=sharing"",""สตูล!R215"")+IMPORTRANGE(""https://docs.google.com/sprea"&amp;"dsheets/d/18T20gbkS_WBjdscyTOV05cvq_JqvqQ17C81mpxf7Ncs/edit?usp=sharing"",""สุราษฎร์ธานี!R215"")"),0)</f>
        <v>0</v>
      </c>
      <c r="S215" s="47">
        <f ca="1">IFERROR(__xludf.DUMMYFUNCTION("IMPORTRANGE(""https://docs.google.com/spreadsheets/d/1kKUcYdkIfrgTSj8iHHHB2MD2FAtwyyocFgqGQn6ADyI/edit?usp=sharing"",""กระบี่!S215"")+IMPORTRANGE(""https://docs.google.com/spreadsheets/d/1GwtLaSlNZkLk7iDqcyZz22giiy40b_usZZBXYciEN1U/edit?usp=sharing"",""ชุ"&amp;"มพร!S215"")+IMPORTRANGE(""https://docs.google.com/spreadsheets/d/16pAz3pOhQEZBhvFNMa5KGgZS6iKWpsKX0pg6tQmwFpo/edit?usp=sharing"",""ตรัง!S215"")+IMPORTRANGE(""https://docs.google.com/spreadsheets/d/1Dj4jcHCTV9JXKCaMoheSXS52JE63kDKyG7bPXnFogHk/edit?usp=shar"&amp;"ing"",""นครศรีธรรมราช!S215"")+IMPORTRANGE(""https://docs.google.com/spreadsheets/d/1iodCdmuK2GR3jzUwk8tpccY2JHQQA-87DLOtJP-ooyU/edit?usp=sharing"",""นราธิวาส!S215"")+IMPORTRANGE(""https://docs.google.com/spreadsheets/d/1SDNX3JhDdYRuIOsj0Wh2M-Qa_eaXl0NbWmh"&amp;"AOTbfQAs/edit?usp=sharing"",""ปัตตานี!S215"")+IMPORTRANGE(""https://docs.google.com/spreadsheets/d/16JDLGguT8s5DsGCND1KcwHP_AWR_zDMTqLHPLJUKhaU/edit?usp=sharing"",""พังงา!S215"")+IMPORTRANGE(""https://docs.google.com/spreadsheets/d/17ht0gPKzzT3PObBL1XJkeR"&amp;"mntBXI7wGjpLV7QorqlTk/edit?usp=sharing"",""พัทลุง!S215"")+IMPORTRANGE(""https://docs.google.com/spreadsheets/d/1rd4qoM1q_hsgaolqNGfrim9gbsoLxQsda4-vOz5x_BM/edit?usp=sharing"",""ภูเก็ต!S215"")+IMPORTRANGE(""https://docs.google.com/spreadsheets/d/1woKwKjgoL"&amp;"ssDvPcPeVyezB5izizAn4X1JDrys69n6xI/edit?usp=sharing"",""ยะลา!S215"")+IMPORTRANGE(""https://docs.google.com/spreadsheets/d/1qfrKjzMhm2HJfxQ-qVlJlJQ25Hne1d0khsySbZyGtPA/edit?usp=sharing"",""ระนอง!S215"")+IMPORTRANGE(""https://docs.google.com/spreadsheets/d/"&amp;"1IbSCnFOKpZsnFogBHJnL_isstZVaOMnFiIN0fGTPZZw/edit?usp=sharing"",""สงขลา!S215"")+IMPORTRANGE(""https://docs.google.com/spreadsheets/d/1q9nWasZJ-K8bFGvbE9n0qSRuKGA4Toe3Y89cKCiVtCU/edit?usp=sharing"",""สตูล!S215"")+IMPORTRANGE(""https://docs.google.com/sprea"&amp;"dsheets/d/18T20gbkS_WBjdscyTOV05cvq_JqvqQ17C81mpxf7Ncs/edit?usp=sharing"",""สุราษฎร์ธานี!S215"")"),0)</f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47">
        <f ca="1">IFERROR(__xludf.DUMMYFUNCTION("IMPORTRANGE(""https://docs.google.com/spreadsheets/d/1kKUcYdkIfrgTSj8iHHHB2MD2FAtwyyocFgqGQn6ADyI/edit?usp=sharing"",""กระบี่!L216"")+IMPORTRANGE(""https://docs.google.com/spreadsheets/d/1GwtLaSlNZkLk7iDqcyZz22giiy40b_usZZBXYciEN1U/edit?usp=sharing"",""ชุ"&amp;"มพร!L216"")+IMPORTRANGE(""https://docs.google.com/spreadsheets/d/16pAz3pOhQEZBhvFNMa5KGgZS6iKWpsKX0pg6tQmwFpo/edit?usp=sharing"",""ตรัง!L216"")+IMPORTRANGE(""https://docs.google.com/spreadsheets/d/1Dj4jcHCTV9JXKCaMoheSXS52JE63kDKyG7bPXnFogHk/edit?usp=shar"&amp;"ing"",""นครศรีธรรมราช!L216"")+IMPORTRANGE(""https://docs.google.com/spreadsheets/d/1iodCdmuK2GR3jzUwk8tpccY2JHQQA-87DLOtJP-ooyU/edit?usp=sharing"",""นราธิวาส!L216"")+IMPORTRANGE(""https://docs.google.com/spreadsheets/d/1SDNX3JhDdYRuIOsj0Wh2M-Qa_eaXl0NbWmh"&amp;"AOTbfQAs/edit?usp=sharing"",""ปัตตานี!L216"")+IMPORTRANGE(""https://docs.google.com/spreadsheets/d/16JDLGguT8s5DsGCND1KcwHP_AWR_zDMTqLHPLJUKhaU/edit?usp=sharing"",""พังงา!L216"")+IMPORTRANGE(""https://docs.google.com/spreadsheets/d/17ht0gPKzzT3PObBL1XJkeR"&amp;"mntBXI7wGjpLV7QorqlTk/edit?usp=sharing"",""พัทลุง!L216"")+IMPORTRANGE(""https://docs.google.com/spreadsheets/d/1rd4qoM1q_hsgaolqNGfrim9gbsoLxQsda4-vOz5x_BM/edit?usp=sharing"",""ภูเก็ต!L216"")+IMPORTRANGE(""https://docs.google.com/spreadsheets/d/1woKwKjgoL"&amp;"ssDvPcPeVyezB5izizAn4X1JDrys69n6xI/edit?usp=sharing"",""ยะลา!L216"")+IMPORTRANGE(""https://docs.google.com/spreadsheets/d/1qfrKjzMhm2HJfxQ-qVlJlJQ25Hne1d0khsySbZyGtPA/edit?usp=sharing"",""ระนอง!L216"")+IMPORTRANGE(""https://docs.google.com/spreadsheets/d/"&amp;"1IbSCnFOKpZsnFogBHJnL_isstZVaOMnFiIN0fGTPZZw/edit?usp=sharing"",""สงขลา!L216"")+IMPORTRANGE(""https://docs.google.com/spreadsheets/d/1q9nWasZJ-K8bFGvbE9n0qSRuKGA4Toe3Y89cKCiVtCU/edit?usp=sharing"",""สตูล!L216"")+IMPORTRANGE(""https://docs.google.com/sprea"&amp;"dsheets/d/18T20gbkS_WBjdscyTOV05cvq_JqvqQ17C81mpxf7Ncs/edit?usp=sharing"",""สุราษฎร์ธานี!L216"")"),50000)</f>
        <v>50000</v>
      </c>
      <c r="M216" s="47">
        <f ca="1">IFERROR(__xludf.DUMMYFUNCTION("IMPORTRANGE(""https://docs.google.com/spreadsheets/d/1kKUcYdkIfrgTSj8iHHHB2MD2FAtwyyocFgqGQn6ADyI/edit?usp=sharing"",""กระบี่!M216"")+IMPORTRANGE(""https://docs.google.com/spreadsheets/d/1GwtLaSlNZkLk7iDqcyZz22giiy40b_usZZBXYciEN1U/edit?usp=sharing"",""ชุ"&amp;"มพร!M216"")+IMPORTRANGE(""https://docs.google.com/spreadsheets/d/16pAz3pOhQEZBhvFNMa5KGgZS6iKWpsKX0pg6tQmwFpo/edit?usp=sharing"",""ตรัง!M216"")+IMPORTRANGE(""https://docs.google.com/spreadsheets/d/1Dj4jcHCTV9JXKCaMoheSXS52JE63kDKyG7bPXnFogHk/edit?usp=shar"&amp;"ing"",""นครศรีธรรมราช!M216"")+IMPORTRANGE(""https://docs.google.com/spreadsheets/d/1iodCdmuK2GR3jzUwk8tpccY2JHQQA-87DLOtJP-ooyU/edit?usp=sharing"",""นราธิวาส!M216"")+IMPORTRANGE(""https://docs.google.com/spreadsheets/d/1SDNX3JhDdYRuIOsj0Wh2M-Qa_eaXl0NbWmh"&amp;"AOTbfQAs/edit?usp=sharing"",""ปัตตานี!M216"")+IMPORTRANGE(""https://docs.google.com/spreadsheets/d/16JDLGguT8s5DsGCND1KcwHP_AWR_zDMTqLHPLJUKhaU/edit?usp=sharing"",""พังงา!M216"")+IMPORTRANGE(""https://docs.google.com/spreadsheets/d/17ht0gPKzzT3PObBL1XJkeR"&amp;"mntBXI7wGjpLV7QorqlTk/edit?usp=sharing"",""พัทลุง!M216"")+IMPORTRANGE(""https://docs.google.com/spreadsheets/d/1rd4qoM1q_hsgaolqNGfrim9gbsoLxQsda4-vOz5x_BM/edit?usp=sharing"",""ภูเก็ต!M216"")+IMPORTRANGE(""https://docs.google.com/spreadsheets/d/1woKwKjgoL"&amp;"ssDvPcPeVyezB5izizAn4X1JDrys69n6xI/edit?usp=sharing"",""ยะลา!M216"")+IMPORTRANGE(""https://docs.google.com/spreadsheets/d/1qfrKjzMhm2HJfxQ-qVlJlJQ25Hne1d0khsySbZyGtPA/edit?usp=sharing"",""ระนอง!M216"")+IMPORTRANGE(""https://docs.google.com/spreadsheets/d/"&amp;"1IbSCnFOKpZsnFogBHJnL_isstZVaOMnFiIN0fGTPZZw/edit?usp=sharing"",""สงขลา!M216"")+IMPORTRANGE(""https://docs.google.com/spreadsheets/d/1q9nWasZJ-K8bFGvbE9n0qSRuKGA4Toe3Y89cKCiVtCU/edit?usp=sharing"",""สตูล!M216"")+IMPORTRANGE(""https://docs.google.com/sprea"&amp;"dsheets/d/18T20gbkS_WBjdscyTOV05cvq_JqvqQ17C81mpxf7Ncs/edit?usp=sharing"",""สุราษฎร์ธานี!M216"")"),0)</f>
        <v>0</v>
      </c>
      <c r="N216" s="47">
        <f ca="1">IFERROR(__xludf.DUMMYFUNCTION("IMPORTRANGE(""https://docs.google.com/spreadsheets/d/1kKUcYdkIfrgTSj8iHHHB2MD2FAtwyyocFgqGQn6ADyI/edit?usp=sharing"",""กระบี่!N216"")+IMPORTRANGE(""https://docs.google.com/spreadsheets/d/1GwtLaSlNZkLk7iDqcyZz22giiy40b_usZZBXYciEN1U/edit?usp=sharing"",""ชุ"&amp;"มพร!N216"")+IMPORTRANGE(""https://docs.google.com/spreadsheets/d/16pAz3pOhQEZBhvFNMa5KGgZS6iKWpsKX0pg6tQmwFpo/edit?usp=sharing"",""ตรัง!N216"")+IMPORTRANGE(""https://docs.google.com/spreadsheets/d/1Dj4jcHCTV9JXKCaMoheSXS52JE63kDKyG7bPXnFogHk/edit?usp=shar"&amp;"ing"",""นครศรีธรรมราช!N216"")+IMPORTRANGE(""https://docs.google.com/spreadsheets/d/1iodCdmuK2GR3jzUwk8tpccY2JHQQA-87DLOtJP-ooyU/edit?usp=sharing"",""นราธิวาส!N216"")+IMPORTRANGE(""https://docs.google.com/spreadsheets/d/1SDNX3JhDdYRuIOsj0Wh2M-Qa_eaXl0NbWmh"&amp;"AOTbfQAs/edit?usp=sharing"",""ปัตตานี!N216"")+IMPORTRANGE(""https://docs.google.com/spreadsheets/d/16JDLGguT8s5DsGCND1KcwHP_AWR_zDMTqLHPLJUKhaU/edit?usp=sharing"",""พังงา!N216"")+IMPORTRANGE(""https://docs.google.com/spreadsheets/d/17ht0gPKzzT3PObBL1XJkeR"&amp;"mntBXI7wGjpLV7QorqlTk/edit?usp=sharing"",""พัทลุง!N216"")+IMPORTRANGE(""https://docs.google.com/spreadsheets/d/1rd4qoM1q_hsgaolqNGfrim9gbsoLxQsda4-vOz5x_BM/edit?usp=sharing"",""ภูเก็ต!N216"")+IMPORTRANGE(""https://docs.google.com/spreadsheets/d/1woKwKjgoL"&amp;"ssDvPcPeVyezB5izizAn4X1JDrys69n6xI/edit?usp=sharing"",""ยะลา!N216"")+IMPORTRANGE(""https://docs.google.com/spreadsheets/d/1qfrKjzMhm2HJfxQ-qVlJlJQ25Hne1d0khsySbZyGtPA/edit?usp=sharing"",""ระนอง!N216"")+IMPORTRANGE(""https://docs.google.com/spreadsheets/d/"&amp;"1IbSCnFOKpZsnFogBHJnL_isstZVaOMnFiIN0fGTPZZw/edit?usp=sharing"",""สงขลา!N216"")+IMPORTRANGE(""https://docs.google.com/spreadsheets/d/1q9nWasZJ-K8bFGvbE9n0qSRuKGA4Toe3Y89cKCiVtCU/edit?usp=sharing"",""สตูล!N216"")+IMPORTRANGE(""https://docs.google.com/sprea"&amp;"dsheets/d/18T20gbkS_WBjdscyTOV05cvq_JqvqQ17C81mpxf7Ncs/edit?usp=sharing"",""สุราษฎร์ธานี!N216"")"),0)</f>
        <v>0</v>
      </c>
      <c r="O216" s="136"/>
      <c r="P216" s="46"/>
      <c r="Q216" s="47">
        <f ca="1">IFERROR(__xludf.DUMMYFUNCTION("IMPORTRANGE(""https://docs.google.com/spreadsheets/d/1kKUcYdkIfrgTSj8iHHHB2MD2FAtwyyocFgqGQn6ADyI/edit?usp=sharing"",""กระบี่!Q216"")+IMPORTRANGE(""https://docs.google.com/spreadsheets/d/1GwtLaSlNZkLk7iDqcyZz22giiy40b_usZZBXYciEN1U/edit?usp=sharing"",""ชุ"&amp;"มพร!Q216"")+IMPORTRANGE(""https://docs.google.com/spreadsheets/d/16pAz3pOhQEZBhvFNMa5KGgZS6iKWpsKX0pg6tQmwFpo/edit?usp=sharing"",""ตรัง!Q216"")+IMPORTRANGE(""https://docs.google.com/spreadsheets/d/1Dj4jcHCTV9JXKCaMoheSXS52JE63kDKyG7bPXnFogHk/edit?usp=shar"&amp;"ing"",""นครศรีธรรมราช!Q216"")+IMPORTRANGE(""https://docs.google.com/spreadsheets/d/1iodCdmuK2GR3jzUwk8tpccY2JHQQA-87DLOtJP-ooyU/edit?usp=sharing"",""นราธิวาส!Q216"")+IMPORTRANGE(""https://docs.google.com/spreadsheets/d/1SDNX3JhDdYRuIOsj0Wh2M-Qa_eaXl0NbWmh"&amp;"AOTbfQAs/edit?usp=sharing"",""ปัตตานี!Q216"")+IMPORTRANGE(""https://docs.google.com/spreadsheets/d/16JDLGguT8s5DsGCND1KcwHP_AWR_zDMTqLHPLJUKhaU/edit?usp=sharing"",""พังงา!Q216"")+IMPORTRANGE(""https://docs.google.com/spreadsheets/d/17ht0gPKzzT3PObBL1XJkeR"&amp;"mntBXI7wGjpLV7QorqlTk/edit?usp=sharing"",""พัทลุง!Q216"")+IMPORTRANGE(""https://docs.google.com/spreadsheets/d/1rd4qoM1q_hsgaolqNGfrim9gbsoLxQsda4-vOz5x_BM/edit?usp=sharing"",""ภูเก็ต!Q216"")+IMPORTRANGE(""https://docs.google.com/spreadsheets/d/1woKwKjgoL"&amp;"ssDvPcPeVyezB5izizAn4X1JDrys69n6xI/edit?usp=sharing"",""ยะลา!Q216"")+IMPORTRANGE(""https://docs.google.com/spreadsheets/d/1qfrKjzMhm2HJfxQ-qVlJlJQ25Hne1d0khsySbZyGtPA/edit?usp=sharing"",""ระนอง!Q216"")+IMPORTRANGE(""https://docs.google.com/spreadsheets/d/"&amp;"1IbSCnFOKpZsnFogBHJnL_isstZVaOMnFiIN0fGTPZZw/edit?usp=sharing"",""สงขลา!Q216"")+IMPORTRANGE(""https://docs.google.com/spreadsheets/d/1q9nWasZJ-K8bFGvbE9n0qSRuKGA4Toe3Y89cKCiVtCU/edit?usp=sharing"",""สตูล!Q216"")+IMPORTRANGE(""https://docs.google.com/sprea"&amp;"dsheets/d/18T20gbkS_WBjdscyTOV05cvq_JqvqQ17C81mpxf7Ncs/edit?usp=sharing"",""สุราษฎร์ธานี!Q216"")"),0)</f>
        <v>0</v>
      </c>
      <c r="R216" s="47">
        <f ca="1">IFERROR(__xludf.DUMMYFUNCTION("IMPORTRANGE(""https://docs.google.com/spreadsheets/d/1kKUcYdkIfrgTSj8iHHHB2MD2FAtwyyocFgqGQn6ADyI/edit?usp=sharing"",""กระบี่!R216"")+IMPORTRANGE(""https://docs.google.com/spreadsheets/d/1GwtLaSlNZkLk7iDqcyZz22giiy40b_usZZBXYciEN1U/edit?usp=sharing"",""ชุ"&amp;"มพร!R216"")+IMPORTRANGE(""https://docs.google.com/spreadsheets/d/16pAz3pOhQEZBhvFNMa5KGgZS6iKWpsKX0pg6tQmwFpo/edit?usp=sharing"",""ตรัง!R216"")+IMPORTRANGE(""https://docs.google.com/spreadsheets/d/1Dj4jcHCTV9JXKCaMoheSXS52JE63kDKyG7bPXnFogHk/edit?usp=shar"&amp;"ing"",""นครศรีธรรมราช!R216"")+IMPORTRANGE(""https://docs.google.com/spreadsheets/d/1iodCdmuK2GR3jzUwk8tpccY2JHQQA-87DLOtJP-ooyU/edit?usp=sharing"",""นราธิวาส!R216"")+IMPORTRANGE(""https://docs.google.com/spreadsheets/d/1SDNX3JhDdYRuIOsj0Wh2M-Qa_eaXl0NbWmh"&amp;"AOTbfQAs/edit?usp=sharing"",""ปัตตานี!R216"")+IMPORTRANGE(""https://docs.google.com/spreadsheets/d/16JDLGguT8s5DsGCND1KcwHP_AWR_zDMTqLHPLJUKhaU/edit?usp=sharing"",""พังงา!R216"")+IMPORTRANGE(""https://docs.google.com/spreadsheets/d/17ht0gPKzzT3PObBL1XJkeR"&amp;"mntBXI7wGjpLV7QorqlTk/edit?usp=sharing"",""พัทลุง!R216"")+IMPORTRANGE(""https://docs.google.com/spreadsheets/d/1rd4qoM1q_hsgaolqNGfrim9gbsoLxQsda4-vOz5x_BM/edit?usp=sharing"",""ภูเก็ต!R216"")+IMPORTRANGE(""https://docs.google.com/spreadsheets/d/1woKwKjgoL"&amp;"ssDvPcPeVyezB5izizAn4X1JDrys69n6xI/edit?usp=sharing"",""ยะลา!R216"")+IMPORTRANGE(""https://docs.google.com/spreadsheets/d/1qfrKjzMhm2HJfxQ-qVlJlJQ25Hne1d0khsySbZyGtPA/edit?usp=sharing"",""ระนอง!R216"")+IMPORTRANGE(""https://docs.google.com/spreadsheets/d/"&amp;"1IbSCnFOKpZsnFogBHJnL_isstZVaOMnFiIN0fGTPZZw/edit?usp=sharing"",""สงขลา!R216"")+IMPORTRANGE(""https://docs.google.com/spreadsheets/d/1q9nWasZJ-K8bFGvbE9n0qSRuKGA4Toe3Y89cKCiVtCU/edit?usp=sharing"",""สตูล!R216"")+IMPORTRANGE(""https://docs.google.com/sprea"&amp;"dsheets/d/18T20gbkS_WBjdscyTOV05cvq_JqvqQ17C81mpxf7Ncs/edit?usp=sharing"",""สุราษฎร์ธานี!R216"")"),0)</f>
        <v>0</v>
      </c>
      <c r="S216" s="47">
        <f ca="1">IFERROR(__xludf.DUMMYFUNCTION("IMPORTRANGE(""https://docs.google.com/spreadsheets/d/1kKUcYdkIfrgTSj8iHHHB2MD2FAtwyyocFgqGQn6ADyI/edit?usp=sharing"",""กระบี่!S216"")+IMPORTRANGE(""https://docs.google.com/spreadsheets/d/1GwtLaSlNZkLk7iDqcyZz22giiy40b_usZZBXYciEN1U/edit?usp=sharing"",""ชุ"&amp;"มพร!S216"")+IMPORTRANGE(""https://docs.google.com/spreadsheets/d/16pAz3pOhQEZBhvFNMa5KGgZS6iKWpsKX0pg6tQmwFpo/edit?usp=sharing"",""ตรัง!S216"")+IMPORTRANGE(""https://docs.google.com/spreadsheets/d/1Dj4jcHCTV9JXKCaMoheSXS52JE63kDKyG7bPXnFogHk/edit?usp=shar"&amp;"ing"",""นครศรีธรรมราช!S216"")+IMPORTRANGE(""https://docs.google.com/spreadsheets/d/1iodCdmuK2GR3jzUwk8tpccY2JHQQA-87DLOtJP-ooyU/edit?usp=sharing"",""นราธิวาส!S216"")+IMPORTRANGE(""https://docs.google.com/spreadsheets/d/1SDNX3JhDdYRuIOsj0Wh2M-Qa_eaXl0NbWmh"&amp;"AOTbfQAs/edit?usp=sharing"",""ปัตตานี!S216"")+IMPORTRANGE(""https://docs.google.com/spreadsheets/d/16JDLGguT8s5DsGCND1KcwHP_AWR_zDMTqLHPLJUKhaU/edit?usp=sharing"",""พังงา!S216"")+IMPORTRANGE(""https://docs.google.com/spreadsheets/d/17ht0gPKzzT3PObBL1XJkeR"&amp;"mntBXI7wGjpLV7QorqlTk/edit?usp=sharing"",""พัทลุง!S216"")+IMPORTRANGE(""https://docs.google.com/spreadsheets/d/1rd4qoM1q_hsgaolqNGfrim9gbsoLxQsda4-vOz5x_BM/edit?usp=sharing"",""ภูเก็ต!S216"")+IMPORTRANGE(""https://docs.google.com/spreadsheets/d/1woKwKjgoL"&amp;"ssDvPcPeVyezB5izizAn4X1JDrys69n6xI/edit?usp=sharing"",""ยะลา!S216"")+IMPORTRANGE(""https://docs.google.com/spreadsheets/d/1qfrKjzMhm2HJfxQ-qVlJlJQ25Hne1d0khsySbZyGtPA/edit?usp=sharing"",""ระนอง!S216"")+IMPORTRANGE(""https://docs.google.com/spreadsheets/d/"&amp;"1IbSCnFOKpZsnFogBHJnL_isstZVaOMnFiIN0fGTPZZw/edit?usp=sharing"",""สงขลา!S216"")+IMPORTRANGE(""https://docs.google.com/spreadsheets/d/1q9nWasZJ-K8bFGvbE9n0qSRuKGA4Toe3Y89cKCiVtCU/edit?usp=sharing"",""สตูล!S216"")+IMPORTRANGE(""https://docs.google.com/sprea"&amp;"dsheets/d/18T20gbkS_WBjdscyTOV05cvq_JqvqQ17C81mpxf7Ncs/edit?usp=sharing"",""สุราษฎร์ธานี!S216"")"),0)</f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47">
        <f ca="1">IFERROR(__xludf.DUMMYFUNCTION("IMPORTRANGE(""https://docs.google.com/spreadsheets/d/1kKUcYdkIfrgTSj8iHHHB2MD2FAtwyyocFgqGQn6ADyI/edit?usp=sharing"",""กระบี่!L217"")+IMPORTRANGE(""https://docs.google.com/spreadsheets/d/1GwtLaSlNZkLk7iDqcyZz22giiy40b_usZZBXYciEN1U/edit?usp=sharing"",""ชุ"&amp;"มพร!L217"")+IMPORTRANGE(""https://docs.google.com/spreadsheets/d/16pAz3pOhQEZBhvFNMa5KGgZS6iKWpsKX0pg6tQmwFpo/edit?usp=sharing"",""ตรัง!L217"")+IMPORTRANGE(""https://docs.google.com/spreadsheets/d/1Dj4jcHCTV9JXKCaMoheSXS52JE63kDKyG7bPXnFogHk/edit?usp=shar"&amp;"ing"",""นครศรีธรรมราช!L217"")+IMPORTRANGE(""https://docs.google.com/spreadsheets/d/1iodCdmuK2GR3jzUwk8tpccY2JHQQA-87DLOtJP-ooyU/edit?usp=sharing"",""นราธิวาส!L217"")+IMPORTRANGE(""https://docs.google.com/spreadsheets/d/1SDNX3JhDdYRuIOsj0Wh2M-Qa_eaXl0NbWmh"&amp;"AOTbfQAs/edit?usp=sharing"",""ปัตตานี!L217"")+IMPORTRANGE(""https://docs.google.com/spreadsheets/d/16JDLGguT8s5DsGCND1KcwHP_AWR_zDMTqLHPLJUKhaU/edit?usp=sharing"",""พังงา!L217"")+IMPORTRANGE(""https://docs.google.com/spreadsheets/d/17ht0gPKzzT3PObBL1XJkeR"&amp;"mntBXI7wGjpLV7QorqlTk/edit?usp=sharing"",""พัทลุง!L217"")+IMPORTRANGE(""https://docs.google.com/spreadsheets/d/1rd4qoM1q_hsgaolqNGfrim9gbsoLxQsda4-vOz5x_BM/edit?usp=sharing"",""ภูเก็ต!L217"")+IMPORTRANGE(""https://docs.google.com/spreadsheets/d/1woKwKjgoL"&amp;"ssDvPcPeVyezB5izizAn4X1JDrys69n6xI/edit?usp=sharing"",""ยะลา!L217"")+IMPORTRANGE(""https://docs.google.com/spreadsheets/d/1qfrKjzMhm2HJfxQ-qVlJlJQ25Hne1d0khsySbZyGtPA/edit?usp=sharing"",""ระนอง!L217"")+IMPORTRANGE(""https://docs.google.com/spreadsheets/d/"&amp;"1IbSCnFOKpZsnFogBHJnL_isstZVaOMnFiIN0fGTPZZw/edit?usp=sharing"",""สงขลา!L217"")+IMPORTRANGE(""https://docs.google.com/spreadsheets/d/1q9nWasZJ-K8bFGvbE9n0qSRuKGA4Toe3Y89cKCiVtCU/edit?usp=sharing"",""สตูล!L217"")+IMPORTRANGE(""https://docs.google.com/sprea"&amp;"dsheets/d/18T20gbkS_WBjdscyTOV05cvq_JqvqQ17C81mpxf7Ncs/edit?usp=sharing"",""สุราษฎร์ธานี!L217"")"),0)</f>
        <v>0</v>
      </c>
      <c r="M217" s="47">
        <f ca="1">IFERROR(__xludf.DUMMYFUNCTION("IMPORTRANGE(""https://docs.google.com/spreadsheets/d/1kKUcYdkIfrgTSj8iHHHB2MD2FAtwyyocFgqGQn6ADyI/edit?usp=sharing"",""กระบี่!M217"")+IMPORTRANGE(""https://docs.google.com/spreadsheets/d/1GwtLaSlNZkLk7iDqcyZz22giiy40b_usZZBXYciEN1U/edit?usp=sharing"",""ชุ"&amp;"มพร!M217"")+IMPORTRANGE(""https://docs.google.com/spreadsheets/d/16pAz3pOhQEZBhvFNMa5KGgZS6iKWpsKX0pg6tQmwFpo/edit?usp=sharing"",""ตรัง!M217"")+IMPORTRANGE(""https://docs.google.com/spreadsheets/d/1Dj4jcHCTV9JXKCaMoheSXS52JE63kDKyG7bPXnFogHk/edit?usp=shar"&amp;"ing"",""นครศรีธรรมราช!M217"")+IMPORTRANGE(""https://docs.google.com/spreadsheets/d/1iodCdmuK2GR3jzUwk8tpccY2JHQQA-87DLOtJP-ooyU/edit?usp=sharing"",""นราธิวาส!M217"")+IMPORTRANGE(""https://docs.google.com/spreadsheets/d/1SDNX3JhDdYRuIOsj0Wh2M-Qa_eaXl0NbWmh"&amp;"AOTbfQAs/edit?usp=sharing"",""ปัตตานี!M217"")+IMPORTRANGE(""https://docs.google.com/spreadsheets/d/16JDLGguT8s5DsGCND1KcwHP_AWR_zDMTqLHPLJUKhaU/edit?usp=sharing"",""พังงา!M217"")+IMPORTRANGE(""https://docs.google.com/spreadsheets/d/17ht0gPKzzT3PObBL1XJkeR"&amp;"mntBXI7wGjpLV7QorqlTk/edit?usp=sharing"",""พัทลุง!M217"")+IMPORTRANGE(""https://docs.google.com/spreadsheets/d/1rd4qoM1q_hsgaolqNGfrim9gbsoLxQsda4-vOz5x_BM/edit?usp=sharing"",""ภูเก็ต!M217"")+IMPORTRANGE(""https://docs.google.com/spreadsheets/d/1woKwKjgoL"&amp;"ssDvPcPeVyezB5izizAn4X1JDrys69n6xI/edit?usp=sharing"",""ยะลา!M217"")+IMPORTRANGE(""https://docs.google.com/spreadsheets/d/1qfrKjzMhm2HJfxQ-qVlJlJQ25Hne1d0khsySbZyGtPA/edit?usp=sharing"",""ระนอง!M217"")+IMPORTRANGE(""https://docs.google.com/spreadsheets/d/"&amp;"1IbSCnFOKpZsnFogBHJnL_isstZVaOMnFiIN0fGTPZZw/edit?usp=sharing"",""สงขลา!M217"")+IMPORTRANGE(""https://docs.google.com/spreadsheets/d/1q9nWasZJ-K8bFGvbE9n0qSRuKGA4Toe3Y89cKCiVtCU/edit?usp=sharing"",""สตูล!M217"")+IMPORTRANGE(""https://docs.google.com/sprea"&amp;"dsheets/d/18T20gbkS_WBjdscyTOV05cvq_JqvqQ17C81mpxf7Ncs/edit?usp=sharing"",""สุราษฎร์ธานี!M217"")"),0)</f>
        <v>0</v>
      </c>
      <c r="N217" s="47">
        <f ca="1">IFERROR(__xludf.DUMMYFUNCTION("IMPORTRANGE(""https://docs.google.com/spreadsheets/d/1kKUcYdkIfrgTSj8iHHHB2MD2FAtwyyocFgqGQn6ADyI/edit?usp=sharing"",""กระบี่!N217"")+IMPORTRANGE(""https://docs.google.com/spreadsheets/d/1GwtLaSlNZkLk7iDqcyZz22giiy40b_usZZBXYciEN1U/edit?usp=sharing"",""ชุ"&amp;"มพร!N217"")+IMPORTRANGE(""https://docs.google.com/spreadsheets/d/16pAz3pOhQEZBhvFNMa5KGgZS6iKWpsKX0pg6tQmwFpo/edit?usp=sharing"",""ตรัง!N217"")+IMPORTRANGE(""https://docs.google.com/spreadsheets/d/1Dj4jcHCTV9JXKCaMoheSXS52JE63kDKyG7bPXnFogHk/edit?usp=shar"&amp;"ing"",""นครศรีธรรมราช!N217"")+IMPORTRANGE(""https://docs.google.com/spreadsheets/d/1iodCdmuK2GR3jzUwk8tpccY2JHQQA-87DLOtJP-ooyU/edit?usp=sharing"",""นราธิวาส!N217"")+IMPORTRANGE(""https://docs.google.com/spreadsheets/d/1SDNX3JhDdYRuIOsj0Wh2M-Qa_eaXl0NbWmh"&amp;"AOTbfQAs/edit?usp=sharing"",""ปัตตานี!N217"")+IMPORTRANGE(""https://docs.google.com/spreadsheets/d/16JDLGguT8s5DsGCND1KcwHP_AWR_zDMTqLHPLJUKhaU/edit?usp=sharing"",""พังงา!N217"")+IMPORTRANGE(""https://docs.google.com/spreadsheets/d/17ht0gPKzzT3PObBL1XJkeR"&amp;"mntBXI7wGjpLV7QorqlTk/edit?usp=sharing"",""พัทลุง!N217"")+IMPORTRANGE(""https://docs.google.com/spreadsheets/d/1rd4qoM1q_hsgaolqNGfrim9gbsoLxQsda4-vOz5x_BM/edit?usp=sharing"",""ภูเก็ต!N217"")+IMPORTRANGE(""https://docs.google.com/spreadsheets/d/1woKwKjgoL"&amp;"ssDvPcPeVyezB5izizAn4X1JDrys69n6xI/edit?usp=sharing"",""ยะลา!N217"")+IMPORTRANGE(""https://docs.google.com/spreadsheets/d/1qfrKjzMhm2HJfxQ-qVlJlJQ25Hne1d0khsySbZyGtPA/edit?usp=sharing"",""ระนอง!N217"")+IMPORTRANGE(""https://docs.google.com/spreadsheets/d/"&amp;"1IbSCnFOKpZsnFogBHJnL_isstZVaOMnFiIN0fGTPZZw/edit?usp=sharing"",""สงขลา!N217"")+IMPORTRANGE(""https://docs.google.com/spreadsheets/d/1q9nWasZJ-K8bFGvbE9n0qSRuKGA4Toe3Y89cKCiVtCU/edit?usp=sharing"",""สตูล!N217"")+IMPORTRANGE(""https://docs.google.com/sprea"&amp;"dsheets/d/18T20gbkS_WBjdscyTOV05cvq_JqvqQ17C81mpxf7Ncs/edit?usp=sharing"",""สุราษฎร์ธานี!N217"")"),0)</f>
        <v>0</v>
      </c>
      <c r="O217" s="136"/>
      <c r="P217" s="46"/>
      <c r="Q217" s="47">
        <f ca="1">IFERROR(__xludf.DUMMYFUNCTION("IMPORTRANGE(""https://docs.google.com/spreadsheets/d/1kKUcYdkIfrgTSj8iHHHB2MD2FAtwyyocFgqGQn6ADyI/edit?usp=sharing"",""กระบี่!Q217"")+IMPORTRANGE(""https://docs.google.com/spreadsheets/d/1GwtLaSlNZkLk7iDqcyZz22giiy40b_usZZBXYciEN1U/edit?usp=sharing"",""ชุ"&amp;"มพร!Q217"")+IMPORTRANGE(""https://docs.google.com/spreadsheets/d/16pAz3pOhQEZBhvFNMa5KGgZS6iKWpsKX0pg6tQmwFpo/edit?usp=sharing"",""ตรัง!Q217"")+IMPORTRANGE(""https://docs.google.com/spreadsheets/d/1Dj4jcHCTV9JXKCaMoheSXS52JE63kDKyG7bPXnFogHk/edit?usp=shar"&amp;"ing"",""นครศรีธรรมราช!Q217"")+IMPORTRANGE(""https://docs.google.com/spreadsheets/d/1iodCdmuK2GR3jzUwk8tpccY2JHQQA-87DLOtJP-ooyU/edit?usp=sharing"",""นราธิวาส!Q217"")+IMPORTRANGE(""https://docs.google.com/spreadsheets/d/1SDNX3JhDdYRuIOsj0Wh2M-Qa_eaXl0NbWmh"&amp;"AOTbfQAs/edit?usp=sharing"",""ปัตตานี!Q217"")+IMPORTRANGE(""https://docs.google.com/spreadsheets/d/16JDLGguT8s5DsGCND1KcwHP_AWR_zDMTqLHPLJUKhaU/edit?usp=sharing"",""พังงา!Q217"")+IMPORTRANGE(""https://docs.google.com/spreadsheets/d/17ht0gPKzzT3PObBL1XJkeR"&amp;"mntBXI7wGjpLV7QorqlTk/edit?usp=sharing"",""พัทลุง!Q217"")+IMPORTRANGE(""https://docs.google.com/spreadsheets/d/1rd4qoM1q_hsgaolqNGfrim9gbsoLxQsda4-vOz5x_BM/edit?usp=sharing"",""ภูเก็ต!Q217"")+IMPORTRANGE(""https://docs.google.com/spreadsheets/d/1woKwKjgoL"&amp;"ssDvPcPeVyezB5izizAn4X1JDrys69n6xI/edit?usp=sharing"",""ยะลา!Q217"")+IMPORTRANGE(""https://docs.google.com/spreadsheets/d/1qfrKjzMhm2HJfxQ-qVlJlJQ25Hne1d0khsySbZyGtPA/edit?usp=sharing"",""ระนอง!Q217"")+IMPORTRANGE(""https://docs.google.com/spreadsheets/d/"&amp;"1IbSCnFOKpZsnFogBHJnL_isstZVaOMnFiIN0fGTPZZw/edit?usp=sharing"",""สงขลา!Q217"")+IMPORTRANGE(""https://docs.google.com/spreadsheets/d/1q9nWasZJ-K8bFGvbE9n0qSRuKGA4Toe3Y89cKCiVtCU/edit?usp=sharing"",""สตูล!Q217"")+IMPORTRANGE(""https://docs.google.com/sprea"&amp;"dsheets/d/18T20gbkS_WBjdscyTOV05cvq_JqvqQ17C81mpxf7Ncs/edit?usp=sharing"",""สุราษฎร์ธานี!Q217"")"),497000)</f>
        <v>497000</v>
      </c>
      <c r="R217" s="47">
        <f ca="1">IFERROR(__xludf.DUMMYFUNCTION("IMPORTRANGE(""https://docs.google.com/spreadsheets/d/1kKUcYdkIfrgTSj8iHHHB2MD2FAtwyyocFgqGQn6ADyI/edit?usp=sharing"",""กระบี่!R217"")+IMPORTRANGE(""https://docs.google.com/spreadsheets/d/1GwtLaSlNZkLk7iDqcyZz22giiy40b_usZZBXYciEN1U/edit?usp=sharing"",""ชุ"&amp;"มพร!R217"")+IMPORTRANGE(""https://docs.google.com/spreadsheets/d/16pAz3pOhQEZBhvFNMa5KGgZS6iKWpsKX0pg6tQmwFpo/edit?usp=sharing"",""ตรัง!R217"")+IMPORTRANGE(""https://docs.google.com/spreadsheets/d/1Dj4jcHCTV9JXKCaMoheSXS52JE63kDKyG7bPXnFogHk/edit?usp=shar"&amp;"ing"",""นครศรีธรรมราช!R217"")+IMPORTRANGE(""https://docs.google.com/spreadsheets/d/1iodCdmuK2GR3jzUwk8tpccY2JHQQA-87DLOtJP-ooyU/edit?usp=sharing"",""นราธิวาส!R217"")+IMPORTRANGE(""https://docs.google.com/spreadsheets/d/1SDNX3JhDdYRuIOsj0Wh2M-Qa_eaXl0NbWmh"&amp;"AOTbfQAs/edit?usp=sharing"",""ปัตตานี!R217"")+IMPORTRANGE(""https://docs.google.com/spreadsheets/d/16JDLGguT8s5DsGCND1KcwHP_AWR_zDMTqLHPLJUKhaU/edit?usp=sharing"",""พังงา!R217"")+IMPORTRANGE(""https://docs.google.com/spreadsheets/d/17ht0gPKzzT3PObBL1XJkeR"&amp;"mntBXI7wGjpLV7QorqlTk/edit?usp=sharing"",""พัทลุง!R217"")+IMPORTRANGE(""https://docs.google.com/spreadsheets/d/1rd4qoM1q_hsgaolqNGfrim9gbsoLxQsda4-vOz5x_BM/edit?usp=sharing"",""ภูเก็ต!R217"")+IMPORTRANGE(""https://docs.google.com/spreadsheets/d/1woKwKjgoL"&amp;"ssDvPcPeVyezB5izizAn4X1JDrys69n6xI/edit?usp=sharing"",""ยะลา!R217"")+IMPORTRANGE(""https://docs.google.com/spreadsheets/d/1qfrKjzMhm2HJfxQ-qVlJlJQ25Hne1d0khsySbZyGtPA/edit?usp=sharing"",""ระนอง!R217"")+IMPORTRANGE(""https://docs.google.com/spreadsheets/d/"&amp;"1IbSCnFOKpZsnFogBHJnL_isstZVaOMnFiIN0fGTPZZw/edit?usp=sharing"",""สงขลา!R217"")+IMPORTRANGE(""https://docs.google.com/spreadsheets/d/1q9nWasZJ-K8bFGvbE9n0qSRuKGA4Toe3Y89cKCiVtCU/edit?usp=sharing"",""สตูล!R217"")+IMPORTRANGE(""https://docs.google.com/sprea"&amp;"dsheets/d/18T20gbkS_WBjdscyTOV05cvq_JqvqQ17C81mpxf7Ncs/edit?usp=sharing"",""สุราษฎร์ธานี!R217"")"),0)</f>
        <v>0</v>
      </c>
      <c r="S217" s="47">
        <f ca="1">IFERROR(__xludf.DUMMYFUNCTION("IMPORTRANGE(""https://docs.google.com/spreadsheets/d/1kKUcYdkIfrgTSj8iHHHB2MD2FAtwyyocFgqGQn6ADyI/edit?usp=sharing"",""กระบี่!S217"")+IMPORTRANGE(""https://docs.google.com/spreadsheets/d/1GwtLaSlNZkLk7iDqcyZz22giiy40b_usZZBXYciEN1U/edit?usp=sharing"",""ชุ"&amp;"มพร!S217"")+IMPORTRANGE(""https://docs.google.com/spreadsheets/d/16pAz3pOhQEZBhvFNMa5KGgZS6iKWpsKX0pg6tQmwFpo/edit?usp=sharing"",""ตรัง!S217"")+IMPORTRANGE(""https://docs.google.com/spreadsheets/d/1Dj4jcHCTV9JXKCaMoheSXS52JE63kDKyG7bPXnFogHk/edit?usp=shar"&amp;"ing"",""นครศรีธรรมราช!S217"")+IMPORTRANGE(""https://docs.google.com/spreadsheets/d/1iodCdmuK2GR3jzUwk8tpccY2JHQQA-87DLOtJP-ooyU/edit?usp=sharing"",""นราธิวาส!S217"")+IMPORTRANGE(""https://docs.google.com/spreadsheets/d/1SDNX3JhDdYRuIOsj0Wh2M-Qa_eaXl0NbWmh"&amp;"AOTbfQAs/edit?usp=sharing"",""ปัตตานี!S217"")+IMPORTRANGE(""https://docs.google.com/spreadsheets/d/16JDLGguT8s5DsGCND1KcwHP_AWR_zDMTqLHPLJUKhaU/edit?usp=sharing"",""พังงา!S217"")+IMPORTRANGE(""https://docs.google.com/spreadsheets/d/17ht0gPKzzT3PObBL1XJkeR"&amp;"mntBXI7wGjpLV7QorqlTk/edit?usp=sharing"",""พัทลุง!S217"")+IMPORTRANGE(""https://docs.google.com/spreadsheets/d/1rd4qoM1q_hsgaolqNGfrim9gbsoLxQsda4-vOz5x_BM/edit?usp=sharing"",""ภูเก็ต!S217"")+IMPORTRANGE(""https://docs.google.com/spreadsheets/d/1woKwKjgoL"&amp;"ssDvPcPeVyezB5izizAn4X1JDrys69n6xI/edit?usp=sharing"",""ยะลา!S217"")+IMPORTRANGE(""https://docs.google.com/spreadsheets/d/1qfrKjzMhm2HJfxQ-qVlJlJQ25Hne1d0khsySbZyGtPA/edit?usp=sharing"",""ระนอง!S217"")+IMPORTRANGE(""https://docs.google.com/spreadsheets/d/"&amp;"1IbSCnFOKpZsnFogBHJnL_isstZVaOMnFiIN0fGTPZZw/edit?usp=sharing"",""สงขลา!S217"")+IMPORTRANGE(""https://docs.google.com/spreadsheets/d/1q9nWasZJ-K8bFGvbE9n0qSRuKGA4Toe3Y89cKCiVtCU/edit?usp=sharing"",""สตูล!S217"")+IMPORTRANGE(""https://docs.google.com/sprea"&amp;"dsheets/d/18T20gbkS_WBjdscyTOV05cvq_JqvqQ17C81mpxf7Ncs/edit?usp=sharing"",""สุราษฎร์ธานี!S217"")"),299300)</f>
        <v>299300</v>
      </c>
      <c r="T217" s="136"/>
      <c r="U217" s="46"/>
    </row>
    <row r="218" spans="1:21" ht="19.5" x14ac:dyDescent="0.3">
      <c r="A218" s="138"/>
      <c r="B218" s="139"/>
      <c r="C218" s="162" t="s">
        <v>18</v>
      </c>
      <c r="D218" s="140" t="s">
        <v>38</v>
      </c>
      <c r="E218" s="141"/>
      <c r="F218" s="141"/>
      <c r="G218" s="142"/>
      <c r="H218" s="143"/>
      <c r="I218" s="135"/>
      <c r="J218" s="45"/>
      <c r="K218" s="46"/>
      <c r="L218" s="46"/>
      <c r="M218" s="46"/>
      <c r="N218" s="46"/>
      <c r="O218" s="136"/>
      <c r="P218" s="136"/>
      <c r="Q218" s="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238">
        <f ca="1">IFERROR(__xludf.DUMMYFUNCTION("IMPORTRANGE(""https://docs.google.com/spreadsheets/d/1kKUcYdkIfrgTSj8iHHHB2MD2FAtwyyocFgqGQn6ADyI/edit?usp=sharing"",""กระบี่!I219"")+IMPORTRANGE(""https://docs.google.com/spreadsheets/d/1GwtLaSlNZkLk7iDqcyZz22giiy40b_usZZBXYciEN1U/edit?usp=sharing"",""ชุ"&amp;"มพร!I219"")+IMPORTRANGE(""https://docs.google.com/spreadsheets/d/16pAz3pOhQEZBhvFNMa5KGgZS6iKWpsKX0pg6tQmwFpo/edit?usp=sharing"",""ตรัง!I219"")+IMPORTRANGE(""https://docs.google.com/spreadsheets/d/1Dj4jcHCTV9JXKCaMoheSXS52JE63kDKyG7bPXnFogHk/edit?usp=shar"&amp;"ing"",""นครศรีธรรมราช!I219"")+IMPORTRANGE(""https://docs.google.com/spreadsheets/d/1iodCdmuK2GR3jzUwk8tpccY2JHQQA-87DLOtJP-ooyU/edit?usp=sharing"",""นราธิวาส!I219"")+IMPORTRANGE(""https://docs.google.com/spreadsheets/d/1SDNX3JhDdYRuIOsj0Wh2M-Qa_eaXl0NbWmh"&amp;"AOTbfQAs/edit?usp=sharing"",""ปัตตานี!I219"")+IMPORTRANGE(""https://docs.google.com/spreadsheets/d/16JDLGguT8s5DsGCND1KcwHP_AWR_zDMTqLHPLJUKhaU/edit?usp=sharing"",""พังงา!I219"")+IMPORTRANGE(""https://docs.google.com/spreadsheets/d/17ht0gPKzzT3PObBL1XJkeR"&amp;"mntBXI7wGjpLV7QorqlTk/edit?usp=sharing"",""พัทลุง!I219"")+IMPORTRANGE(""https://docs.google.com/spreadsheets/d/1rd4qoM1q_hsgaolqNGfrim9gbsoLxQsda4-vOz5x_BM/edit?usp=sharing"",""ภูเก็ต!I219"")+IMPORTRANGE(""https://docs.google.com/spreadsheets/d/1woKwKjgoL"&amp;"ssDvPcPeVyezB5izizAn4X1JDrys69n6xI/edit?usp=sharing"",""ยะลา!I219"")+IMPORTRANGE(""https://docs.google.com/spreadsheets/d/1qfrKjzMhm2HJfxQ-qVlJlJQ25Hne1d0khsySbZyGtPA/edit?usp=sharing"",""ระนอง!I219"")+IMPORTRANGE(""https://docs.google.com/spreadsheets/d/"&amp;"1IbSCnFOKpZsnFogBHJnL_isstZVaOMnFiIN0fGTPZZw/edit?usp=sharing"",""สงขลา!I219"")+IMPORTRANGE(""https://docs.google.com/spreadsheets/d/1q9nWasZJ-K8bFGvbE9n0qSRuKGA4Toe3Y89cKCiVtCU/edit?usp=sharing"",""สตูล!I219"")+IMPORTRANGE(""https://docs.google.com/sprea"&amp;"dsheets/d/18T20gbkS_WBjdscyTOV05cvq_JqvqQ17C81mpxf7Ncs/edit?usp=sharing"",""สุราษฎร์ธานี!I219"")"),10)</f>
        <v>10</v>
      </c>
      <c r="J219" s="238">
        <f ca="1">IFERROR(__xludf.DUMMYFUNCTION("IMPORTRANGE(""https://docs.google.com/spreadsheets/d/1kKUcYdkIfrgTSj8iHHHB2MD2FAtwyyocFgqGQn6ADyI/edit?usp=sharing"",""กระบี่!J219"")+IMPORTRANGE(""https://docs.google.com/spreadsheets/d/1GwtLaSlNZkLk7iDqcyZz22giiy40b_usZZBXYciEN1U/edit?usp=sharing"",""ชุ"&amp;"มพร!J219"")+IMPORTRANGE(""https://docs.google.com/spreadsheets/d/16pAz3pOhQEZBhvFNMa5KGgZS6iKWpsKX0pg6tQmwFpo/edit?usp=sharing"",""ตรัง!J219"")+IMPORTRANGE(""https://docs.google.com/spreadsheets/d/1Dj4jcHCTV9JXKCaMoheSXS52JE63kDKyG7bPXnFogHk/edit?usp=shar"&amp;"ing"",""นครศรีธรรมราช!J219"")+IMPORTRANGE(""https://docs.google.com/spreadsheets/d/1iodCdmuK2GR3jzUwk8tpccY2JHQQA-87DLOtJP-ooyU/edit?usp=sharing"",""นราธิวาส!J219"")+IMPORTRANGE(""https://docs.google.com/spreadsheets/d/1SDNX3JhDdYRuIOsj0Wh2M-Qa_eaXl0NbWmh"&amp;"AOTbfQAs/edit?usp=sharing"",""ปัตตานี!J219"")+IMPORTRANGE(""https://docs.google.com/spreadsheets/d/16JDLGguT8s5DsGCND1KcwHP_AWR_zDMTqLHPLJUKhaU/edit?usp=sharing"",""พังงา!J219"")+IMPORTRANGE(""https://docs.google.com/spreadsheets/d/17ht0gPKzzT3PObBL1XJkeR"&amp;"mntBXI7wGjpLV7QorqlTk/edit?usp=sharing"",""พัทลุง!J219"")+IMPORTRANGE(""https://docs.google.com/spreadsheets/d/1rd4qoM1q_hsgaolqNGfrim9gbsoLxQsda4-vOz5x_BM/edit?usp=sharing"",""ภูเก็ต!J219"")+IMPORTRANGE(""https://docs.google.com/spreadsheets/d/1woKwKjgoL"&amp;"ssDvPcPeVyezB5izizAn4X1JDrys69n6xI/edit?usp=sharing"",""ยะลา!J219"")+IMPORTRANGE(""https://docs.google.com/spreadsheets/d/1qfrKjzMhm2HJfxQ-qVlJlJQ25Hne1d0khsySbZyGtPA/edit?usp=sharing"",""ระนอง!J219"")+IMPORTRANGE(""https://docs.google.com/spreadsheets/d/"&amp;"1IbSCnFOKpZsnFogBHJnL_isstZVaOMnFiIN0fGTPZZw/edit?usp=sharing"",""สงขลา!J219"")+IMPORTRANGE(""https://docs.google.com/spreadsheets/d/1q9nWasZJ-K8bFGvbE9n0qSRuKGA4Toe3Y89cKCiVtCU/edit?usp=sharing"",""สตูล!J219"")+IMPORTRANGE(""https://docs.google.com/sprea"&amp;"dsheets/d/18T20gbkS_WBjdscyTOV05cvq_JqvqQ17C81mpxf7Ncs/edit?usp=sharing"",""สุราษฎร์ธานี!J219"")"),0)</f>
        <v>0</v>
      </c>
      <c r="K219" s="240">
        <f t="shared" ref="K219:K221" ca="1" si="179">IF(I219&gt;0,J219*100/I219,0)</f>
        <v>0</v>
      </c>
      <c r="L219" s="46"/>
      <c r="M219" s="46"/>
      <c r="N219" s="46"/>
      <c r="O219" s="46"/>
      <c r="P219" s="46"/>
      <c r="Q219" s="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238">
        <f ca="1">IFERROR(__xludf.DUMMYFUNCTION("IMPORTRANGE(""https://docs.google.com/spreadsheets/d/1kKUcYdkIfrgTSj8iHHHB2MD2FAtwyyocFgqGQn6ADyI/edit?usp=sharing"",""กระบี่!I220"")+IMPORTRANGE(""https://docs.google.com/spreadsheets/d/1GwtLaSlNZkLk7iDqcyZz22giiy40b_usZZBXYciEN1U/edit?usp=sharing"",""ชุ"&amp;"มพร!I220"")+IMPORTRANGE(""https://docs.google.com/spreadsheets/d/16pAz3pOhQEZBhvFNMa5KGgZS6iKWpsKX0pg6tQmwFpo/edit?usp=sharing"",""ตรัง!I220"")+IMPORTRANGE(""https://docs.google.com/spreadsheets/d/1Dj4jcHCTV9JXKCaMoheSXS52JE63kDKyG7bPXnFogHk/edit?usp=shar"&amp;"ing"",""นครศรีธรรมราช!I220"")+IMPORTRANGE(""https://docs.google.com/spreadsheets/d/1iodCdmuK2GR3jzUwk8tpccY2JHQQA-87DLOtJP-ooyU/edit?usp=sharing"",""นราธิวาส!I220"")+IMPORTRANGE(""https://docs.google.com/spreadsheets/d/1SDNX3JhDdYRuIOsj0Wh2M-Qa_eaXl0NbWmh"&amp;"AOTbfQAs/edit?usp=sharing"",""ปัตตานี!I220"")+IMPORTRANGE(""https://docs.google.com/spreadsheets/d/16JDLGguT8s5DsGCND1KcwHP_AWR_zDMTqLHPLJUKhaU/edit?usp=sharing"",""พังงา!I220"")+IMPORTRANGE(""https://docs.google.com/spreadsheets/d/17ht0gPKzzT3PObBL1XJkeR"&amp;"mntBXI7wGjpLV7QorqlTk/edit?usp=sharing"",""พัทลุง!I220"")+IMPORTRANGE(""https://docs.google.com/spreadsheets/d/1rd4qoM1q_hsgaolqNGfrim9gbsoLxQsda4-vOz5x_BM/edit?usp=sharing"",""ภูเก็ต!I220"")+IMPORTRANGE(""https://docs.google.com/spreadsheets/d/1woKwKjgoL"&amp;"ssDvPcPeVyezB5izizAn4X1JDrys69n6xI/edit?usp=sharing"",""ยะลา!I220"")+IMPORTRANGE(""https://docs.google.com/spreadsheets/d/1qfrKjzMhm2HJfxQ-qVlJlJQ25Hne1d0khsySbZyGtPA/edit?usp=sharing"",""ระนอง!I220"")+IMPORTRANGE(""https://docs.google.com/spreadsheets/d/"&amp;"1IbSCnFOKpZsnFogBHJnL_isstZVaOMnFiIN0fGTPZZw/edit?usp=sharing"",""สงขลา!I220"")+IMPORTRANGE(""https://docs.google.com/spreadsheets/d/1q9nWasZJ-K8bFGvbE9n0qSRuKGA4Toe3Y89cKCiVtCU/edit?usp=sharing"",""สตูล!I220"")+IMPORTRANGE(""https://docs.google.com/sprea"&amp;"dsheets/d/18T20gbkS_WBjdscyTOV05cvq_JqvqQ17C81mpxf7Ncs/edit?usp=sharing"",""สุราษฎร์ธานี!I220"")"),10)</f>
        <v>10</v>
      </c>
      <c r="J220" s="238">
        <f ca="1">IFERROR(__xludf.DUMMYFUNCTION("IMPORTRANGE(""https://docs.google.com/spreadsheets/d/1kKUcYdkIfrgTSj8iHHHB2MD2FAtwyyocFgqGQn6ADyI/edit?usp=sharing"",""กระบี่!J220"")+IMPORTRANGE(""https://docs.google.com/spreadsheets/d/1GwtLaSlNZkLk7iDqcyZz22giiy40b_usZZBXYciEN1U/edit?usp=sharing"",""ชุ"&amp;"มพร!J220"")+IMPORTRANGE(""https://docs.google.com/spreadsheets/d/16pAz3pOhQEZBhvFNMa5KGgZS6iKWpsKX0pg6tQmwFpo/edit?usp=sharing"",""ตรัง!J220"")+IMPORTRANGE(""https://docs.google.com/spreadsheets/d/1Dj4jcHCTV9JXKCaMoheSXS52JE63kDKyG7bPXnFogHk/edit?usp=shar"&amp;"ing"",""นครศรีธรรมราช!J220"")+IMPORTRANGE(""https://docs.google.com/spreadsheets/d/1iodCdmuK2GR3jzUwk8tpccY2JHQQA-87DLOtJP-ooyU/edit?usp=sharing"",""นราธิวาส!J220"")+IMPORTRANGE(""https://docs.google.com/spreadsheets/d/1SDNX3JhDdYRuIOsj0Wh2M-Qa_eaXl0NbWmh"&amp;"AOTbfQAs/edit?usp=sharing"",""ปัตตานี!J220"")+IMPORTRANGE(""https://docs.google.com/spreadsheets/d/16JDLGguT8s5DsGCND1KcwHP_AWR_zDMTqLHPLJUKhaU/edit?usp=sharing"",""พังงา!J220"")+IMPORTRANGE(""https://docs.google.com/spreadsheets/d/17ht0gPKzzT3PObBL1XJkeR"&amp;"mntBXI7wGjpLV7QorqlTk/edit?usp=sharing"",""พัทลุง!J220"")+IMPORTRANGE(""https://docs.google.com/spreadsheets/d/1rd4qoM1q_hsgaolqNGfrim9gbsoLxQsda4-vOz5x_BM/edit?usp=sharing"",""ภูเก็ต!J220"")+IMPORTRANGE(""https://docs.google.com/spreadsheets/d/1woKwKjgoL"&amp;"ssDvPcPeVyezB5izizAn4X1JDrys69n6xI/edit?usp=sharing"",""ยะลา!J220"")+IMPORTRANGE(""https://docs.google.com/spreadsheets/d/1qfrKjzMhm2HJfxQ-qVlJlJQ25Hne1d0khsySbZyGtPA/edit?usp=sharing"",""ระนอง!J220"")+IMPORTRANGE(""https://docs.google.com/spreadsheets/d/"&amp;"1IbSCnFOKpZsnFogBHJnL_isstZVaOMnFiIN0fGTPZZw/edit?usp=sharing"",""สงขลา!J220"")+IMPORTRANGE(""https://docs.google.com/spreadsheets/d/1q9nWasZJ-K8bFGvbE9n0qSRuKGA4Toe3Y89cKCiVtCU/edit?usp=sharing"",""สตูล!J220"")+IMPORTRANGE(""https://docs.google.com/sprea"&amp;"dsheets/d/18T20gbkS_WBjdscyTOV05cvq_JqvqQ17C81mpxf7Ncs/edit?usp=sharing"",""สุราษฎร์ธานี!J220"")"),0)</f>
        <v>0</v>
      </c>
      <c r="K220" s="240">
        <f t="shared" ca="1" si="179"/>
        <v>0</v>
      </c>
      <c r="L220" s="46"/>
      <c r="M220" s="46"/>
      <c r="N220" s="46"/>
      <c r="O220" s="46"/>
      <c r="P220" s="46"/>
      <c r="Q220" s="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35">
        <f t="shared" ref="I221:J221" ca="1" si="180">I229</f>
        <v>239000</v>
      </c>
      <c r="J221" s="235">
        <f t="shared" ca="1" si="180"/>
        <v>20000</v>
      </c>
      <c r="K221" s="236">
        <f t="shared" ca="1" si="179"/>
        <v>8.3682008368200833</v>
      </c>
      <c r="L221" s="230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129" t="s">
        <v>18</v>
      </c>
      <c r="D222" s="231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132">
        <f t="shared" ref="L222:N222" ca="1" si="181">L223+L224+L225</f>
        <v>66500</v>
      </c>
      <c r="M222" s="132">
        <f t="shared" ca="1" si="181"/>
        <v>0</v>
      </c>
      <c r="N222" s="132">
        <f t="shared" ca="1" si="181"/>
        <v>2000</v>
      </c>
      <c r="O222" s="132">
        <f ca="1">IF(L222&gt;0,N222*100/L222,0)</f>
        <v>3.007518796992481</v>
      </c>
      <c r="P222" s="46"/>
      <c r="Q222" s="132">
        <f t="shared" ref="Q222:S222" ca="1" si="182">Q223+Q224+Q225</f>
        <v>0</v>
      </c>
      <c r="R222" s="132">
        <f t="shared" ca="1" si="182"/>
        <v>0</v>
      </c>
      <c r="S222" s="132">
        <f t="shared" ca="1" si="182"/>
        <v>0</v>
      </c>
      <c r="T222" s="46"/>
      <c r="U222" s="46"/>
    </row>
    <row r="223" spans="1:21" ht="18.75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47">
        <f ca="1">IFERROR(__xludf.DUMMYFUNCTION("IMPORTRANGE(""https://docs.google.com/spreadsheets/d/1kKUcYdkIfrgTSj8iHHHB2MD2FAtwyyocFgqGQn6ADyI/edit?usp=sharing"",""กระบี่!L223"")+IMPORTRANGE(""https://docs.google.com/spreadsheets/d/1GwtLaSlNZkLk7iDqcyZz22giiy40b_usZZBXYciEN1U/edit?usp=sharing"",""ชุ"&amp;"มพร!L223"")+IMPORTRANGE(""https://docs.google.com/spreadsheets/d/16pAz3pOhQEZBhvFNMa5KGgZS6iKWpsKX0pg6tQmwFpo/edit?usp=sharing"",""ตรัง!L223"")+IMPORTRANGE(""https://docs.google.com/spreadsheets/d/1Dj4jcHCTV9JXKCaMoheSXS52JE63kDKyG7bPXnFogHk/edit?usp=shar"&amp;"ing"",""นครศรีธรรมราช!L223"")+IMPORTRANGE(""https://docs.google.com/spreadsheets/d/1iodCdmuK2GR3jzUwk8tpccY2JHQQA-87DLOtJP-ooyU/edit?usp=sharing"",""นราธิวาส!L223"")+IMPORTRANGE(""https://docs.google.com/spreadsheets/d/1SDNX3JhDdYRuIOsj0Wh2M-Qa_eaXl0NbWmh"&amp;"AOTbfQAs/edit?usp=sharing"",""ปัตตานี!L223"")+IMPORTRANGE(""https://docs.google.com/spreadsheets/d/16JDLGguT8s5DsGCND1KcwHP_AWR_zDMTqLHPLJUKhaU/edit?usp=sharing"",""พังงา!L223"")+IMPORTRANGE(""https://docs.google.com/spreadsheets/d/17ht0gPKzzT3PObBL1XJkeR"&amp;"mntBXI7wGjpLV7QorqlTk/edit?usp=sharing"",""พัทลุง!L223"")+IMPORTRANGE(""https://docs.google.com/spreadsheets/d/1rd4qoM1q_hsgaolqNGfrim9gbsoLxQsda4-vOz5x_BM/edit?usp=sharing"",""ภูเก็ต!L223"")+IMPORTRANGE(""https://docs.google.com/spreadsheets/d/1woKwKjgoL"&amp;"ssDvPcPeVyezB5izizAn4X1JDrys69n6xI/edit?usp=sharing"",""ยะลา!L223"")+IMPORTRANGE(""https://docs.google.com/spreadsheets/d/1qfrKjzMhm2HJfxQ-qVlJlJQ25Hne1d0khsySbZyGtPA/edit?usp=sharing"",""ระนอง!L223"")+IMPORTRANGE(""https://docs.google.com/spreadsheets/d/"&amp;"1IbSCnFOKpZsnFogBHJnL_isstZVaOMnFiIN0fGTPZZw/edit?usp=sharing"",""สงขลา!L223"")+IMPORTRANGE(""https://docs.google.com/spreadsheets/d/1q9nWasZJ-K8bFGvbE9n0qSRuKGA4Toe3Y89cKCiVtCU/edit?usp=sharing"",""สตูล!L223"")+IMPORTRANGE(""https://docs.google.com/sprea"&amp;"dsheets/d/18T20gbkS_WBjdscyTOV05cvq_JqvqQ17C81mpxf7Ncs/edit?usp=sharing"",""สุราษฎร์ธานี!L223"")"),47000)</f>
        <v>47000</v>
      </c>
      <c r="M223" s="47">
        <f ca="1">IFERROR(__xludf.DUMMYFUNCTION("IMPORTRANGE(""https://docs.google.com/spreadsheets/d/1kKUcYdkIfrgTSj8iHHHB2MD2FAtwyyocFgqGQn6ADyI/edit?usp=sharing"",""กระบี่!M223"")+IMPORTRANGE(""https://docs.google.com/spreadsheets/d/1GwtLaSlNZkLk7iDqcyZz22giiy40b_usZZBXYciEN1U/edit?usp=sharing"",""ชุ"&amp;"มพร!M223"")+IMPORTRANGE(""https://docs.google.com/spreadsheets/d/16pAz3pOhQEZBhvFNMa5KGgZS6iKWpsKX0pg6tQmwFpo/edit?usp=sharing"",""ตรัง!M223"")+IMPORTRANGE(""https://docs.google.com/spreadsheets/d/1Dj4jcHCTV9JXKCaMoheSXS52JE63kDKyG7bPXnFogHk/edit?usp=shar"&amp;"ing"",""นครศรีธรรมราช!M223"")+IMPORTRANGE(""https://docs.google.com/spreadsheets/d/1iodCdmuK2GR3jzUwk8tpccY2JHQQA-87DLOtJP-ooyU/edit?usp=sharing"",""นราธิวาส!M223"")+IMPORTRANGE(""https://docs.google.com/spreadsheets/d/1SDNX3JhDdYRuIOsj0Wh2M-Qa_eaXl0NbWmh"&amp;"AOTbfQAs/edit?usp=sharing"",""ปัตตานี!M223"")+IMPORTRANGE(""https://docs.google.com/spreadsheets/d/16JDLGguT8s5DsGCND1KcwHP_AWR_zDMTqLHPLJUKhaU/edit?usp=sharing"",""พังงา!M223"")+IMPORTRANGE(""https://docs.google.com/spreadsheets/d/17ht0gPKzzT3PObBL1XJkeR"&amp;"mntBXI7wGjpLV7QorqlTk/edit?usp=sharing"",""พัทลุง!M223"")+IMPORTRANGE(""https://docs.google.com/spreadsheets/d/1rd4qoM1q_hsgaolqNGfrim9gbsoLxQsda4-vOz5x_BM/edit?usp=sharing"",""ภูเก็ต!M223"")+IMPORTRANGE(""https://docs.google.com/spreadsheets/d/1woKwKjgoL"&amp;"ssDvPcPeVyezB5izizAn4X1JDrys69n6xI/edit?usp=sharing"",""ยะลา!M223"")+IMPORTRANGE(""https://docs.google.com/spreadsheets/d/1qfrKjzMhm2HJfxQ-qVlJlJQ25Hne1d0khsySbZyGtPA/edit?usp=sharing"",""ระนอง!M223"")+IMPORTRANGE(""https://docs.google.com/spreadsheets/d/"&amp;"1IbSCnFOKpZsnFogBHJnL_isstZVaOMnFiIN0fGTPZZw/edit?usp=sharing"",""สงขลา!M223"")+IMPORTRANGE(""https://docs.google.com/spreadsheets/d/1q9nWasZJ-K8bFGvbE9n0qSRuKGA4Toe3Y89cKCiVtCU/edit?usp=sharing"",""สตูล!M223"")+IMPORTRANGE(""https://docs.google.com/sprea"&amp;"dsheets/d/18T20gbkS_WBjdscyTOV05cvq_JqvqQ17C81mpxf7Ncs/edit?usp=sharing"",""สุราษฎร์ธานี!M223"")"),0)</f>
        <v>0</v>
      </c>
      <c r="N223" s="47">
        <f ca="1">IFERROR(__xludf.DUMMYFUNCTION("IMPORTRANGE(""https://docs.google.com/spreadsheets/d/1kKUcYdkIfrgTSj8iHHHB2MD2FAtwyyocFgqGQn6ADyI/edit?usp=sharing"",""กระบี่!N223"")+IMPORTRANGE(""https://docs.google.com/spreadsheets/d/1GwtLaSlNZkLk7iDqcyZz22giiy40b_usZZBXYciEN1U/edit?usp=sharing"",""ชุ"&amp;"มพร!N223"")+IMPORTRANGE(""https://docs.google.com/spreadsheets/d/16pAz3pOhQEZBhvFNMa5KGgZS6iKWpsKX0pg6tQmwFpo/edit?usp=sharing"",""ตรัง!N223"")+IMPORTRANGE(""https://docs.google.com/spreadsheets/d/1Dj4jcHCTV9JXKCaMoheSXS52JE63kDKyG7bPXnFogHk/edit?usp=shar"&amp;"ing"",""นครศรีธรรมราช!N223"")+IMPORTRANGE(""https://docs.google.com/spreadsheets/d/1iodCdmuK2GR3jzUwk8tpccY2JHQQA-87DLOtJP-ooyU/edit?usp=sharing"",""นราธิวาส!N223"")+IMPORTRANGE(""https://docs.google.com/spreadsheets/d/1SDNX3JhDdYRuIOsj0Wh2M-Qa_eaXl0NbWmh"&amp;"AOTbfQAs/edit?usp=sharing"",""ปัตตานี!N223"")+IMPORTRANGE(""https://docs.google.com/spreadsheets/d/16JDLGguT8s5DsGCND1KcwHP_AWR_zDMTqLHPLJUKhaU/edit?usp=sharing"",""พังงา!N223"")+IMPORTRANGE(""https://docs.google.com/spreadsheets/d/17ht0gPKzzT3PObBL1XJkeR"&amp;"mntBXI7wGjpLV7QorqlTk/edit?usp=sharing"",""พัทลุง!N223"")+IMPORTRANGE(""https://docs.google.com/spreadsheets/d/1rd4qoM1q_hsgaolqNGfrim9gbsoLxQsda4-vOz5x_BM/edit?usp=sharing"",""ภูเก็ต!N223"")+IMPORTRANGE(""https://docs.google.com/spreadsheets/d/1woKwKjgoL"&amp;"ssDvPcPeVyezB5izizAn4X1JDrys69n6xI/edit?usp=sharing"",""ยะลา!N223"")+IMPORTRANGE(""https://docs.google.com/spreadsheets/d/1qfrKjzMhm2HJfxQ-qVlJlJQ25Hne1d0khsySbZyGtPA/edit?usp=sharing"",""ระนอง!N223"")+IMPORTRANGE(""https://docs.google.com/spreadsheets/d/"&amp;"1IbSCnFOKpZsnFogBHJnL_isstZVaOMnFiIN0fGTPZZw/edit?usp=sharing"",""สงขลา!N223"")+IMPORTRANGE(""https://docs.google.com/spreadsheets/d/1q9nWasZJ-K8bFGvbE9n0qSRuKGA4Toe3Y89cKCiVtCU/edit?usp=sharing"",""สตูล!N223"")+IMPORTRANGE(""https://docs.google.com/sprea"&amp;"dsheets/d/18T20gbkS_WBjdscyTOV05cvq_JqvqQ17C81mpxf7Ncs/edit?usp=sharing"",""สุราษฎร์ธานี!N223"")"),2000)</f>
        <v>2000</v>
      </c>
      <c r="O223" s="136"/>
      <c r="P223" s="46"/>
      <c r="Q223" s="47">
        <f ca="1">IFERROR(__xludf.DUMMYFUNCTION("IMPORTRANGE(""https://docs.google.com/spreadsheets/d/1kKUcYdkIfrgTSj8iHHHB2MD2FAtwyyocFgqGQn6ADyI/edit?usp=sharing"",""กระบี่!Q223"")+IMPORTRANGE(""https://docs.google.com/spreadsheets/d/1GwtLaSlNZkLk7iDqcyZz22giiy40b_usZZBXYciEN1U/edit?usp=sharing"",""ชุ"&amp;"มพร!Q223"")+IMPORTRANGE(""https://docs.google.com/spreadsheets/d/16pAz3pOhQEZBhvFNMa5KGgZS6iKWpsKX0pg6tQmwFpo/edit?usp=sharing"",""ตรัง!Q223"")+IMPORTRANGE(""https://docs.google.com/spreadsheets/d/1Dj4jcHCTV9JXKCaMoheSXS52JE63kDKyG7bPXnFogHk/edit?usp=shar"&amp;"ing"",""นครศรีธรรมราช!Q223"")+IMPORTRANGE(""https://docs.google.com/spreadsheets/d/1iodCdmuK2GR3jzUwk8tpccY2JHQQA-87DLOtJP-ooyU/edit?usp=sharing"",""นราธิวาส!Q223"")+IMPORTRANGE(""https://docs.google.com/spreadsheets/d/1SDNX3JhDdYRuIOsj0Wh2M-Qa_eaXl0NbWmh"&amp;"AOTbfQAs/edit?usp=sharing"",""ปัตตานี!Q223"")+IMPORTRANGE(""https://docs.google.com/spreadsheets/d/16JDLGguT8s5DsGCND1KcwHP_AWR_zDMTqLHPLJUKhaU/edit?usp=sharing"",""พังงา!Q223"")+IMPORTRANGE(""https://docs.google.com/spreadsheets/d/17ht0gPKzzT3PObBL1XJkeR"&amp;"mntBXI7wGjpLV7QorqlTk/edit?usp=sharing"",""พัทลุง!Q223"")+IMPORTRANGE(""https://docs.google.com/spreadsheets/d/1rd4qoM1q_hsgaolqNGfrim9gbsoLxQsda4-vOz5x_BM/edit?usp=sharing"",""ภูเก็ต!Q223"")+IMPORTRANGE(""https://docs.google.com/spreadsheets/d/1woKwKjgoL"&amp;"ssDvPcPeVyezB5izizAn4X1JDrys69n6xI/edit?usp=sharing"",""ยะลา!Q223"")+IMPORTRANGE(""https://docs.google.com/spreadsheets/d/1qfrKjzMhm2HJfxQ-qVlJlJQ25Hne1d0khsySbZyGtPA/edit?usp=sharing"",""ระนอง!Q223"")+IMPORTRANGE(""https://docs.google.com/spreadsheets/d/"&amp;"1IbSCnFOKpZsnFogBHJnL_isstZVaOMnFiIN0fGTPZZw/edit?usp=sharing"",""สงขลา!Q223"")+IMPORTRANGE(""https://docs.google.com/spreadsheets/d/1q9nWasZJ-K8bFGvbE9n0qSRuKGA4Toe3Y89cKCiVtCU/edit?usp=sharing"",""สตูล!Q223"")+IMPORTRANGE(""https://docs.google.com/sprea"&amp;"dsheets/d/18T20gbkS_WBjdscyTOV05cvq_JqvqQ17C81mpxf7Ncs/edit?usp=sharing"",""สุราษฎร์ธานี!Q223"")"),0)</f>
        <v>0</v>
      </c>
      <c r="R223" s="47">
        <f ca="1">IFERROR(__xludf.DUMMYFUNCTION("IMPORTRANGE(""https://docs.google.com/spreadsheets/d/1kKUcYdkIfrgTSj8iHHHB2MD2FAtwyyocFgqGQn6ADyI/edit?usp=sharing"",""กระบี่!R223"")+IMPORTRANGE(""https://docs.google.com/spreadsheets/d/1GwtLaSlNZkLk7iDqcyZz22giiy40b_usZZBXYciEN1U/edit?usp=sharing"",""ชุ"&amp;"มพร!R223"")+IMPORTRANGE(""https://docs.google.com/spreadsheets/d/16pAz3pOhQEZBhvFNMa5KGgZS6iKWpsKX0pg6tQmwFpo/edit?usp=sharing"",""ตรัง!R223"")+IMPORTRANGE(""https://docs.google.com/spreadsheets/d/1Dj4jcHCTV9JXKCaMoheSXS52JE63kDKyG7bPXnFogHk/edit?usp=shar"&amp;"ing"",""นครศรีธรรมราช!R223"")+IMPORTRANGE(""https://docs.google.com/spreadsheets/d/1iodCdmuK2GR3jzUwk8tpccY2JHQQA-87DLOtJP-ooyU/edit?usp=sharing"",""นราธิวาส!R223"")+IMPORTRANGE(""https://docs.google.com/spreadsheets/d/1SDNX3JhDdYRuIOsj0Wh2M-Qa_eaXl0NbWmh"&amp;"AOTbfQAs/edit?usp=sharing"",""ปัตตานี!R223"")+IMPORTRANGE(""https://docs.google.com/spreadsheets/d/16JDLGguT8s5DsGCND1KcwHP_AWR_zDMTqLHPLJUKhaU/edit?usp=sharing"",""พังงา!R223"")+IMPORTRANGE(""https://docs.google.com/spreadsheets/d/17ht0gPKzzT3PObBL1XJkeR"&amp;"mntBXI7wGjpLV7QorqlTk/edit?usp=sharing"",""พัทลุง!R223"")+IMPORTRANGE(""https://docs.google.com/spreadsheets/d/1rd4qoM1q_hsgaolqNGfrim9gbsoLxQsda4-vOz5x_BM/edit?usp=sharing"",""ภูเก็ต!R223"")+IMPORTRANGE(""https://docs.google.com/spreadsheets/d/1woKwKjgoL"&amp;"ssDvPcPeVyezB5izizAn4X1JDrys69n6xI/edit?usp=sharing"",""ยะลา!R223"")+IMPORTRANGE(""https://docs.google.com/spreadsheets/d/1qfrKjzMhm2HJfxQ-qVlJlJQ25Hne1d0khsySbZyGtPA/edit?usp=sharing"",""ระนอง!R223"")+IMPORTRANGE(""https://docs.google.com/spreadsheets/d/"&amp;"1IbSCnFOKpZsnFogBHJnL_isstZVaOMnFiIN0fGTPZZw/edit?usp=sharing"",""สงขลา!R223"")+IMPORTRANGE(""https://docs.google.com/spreadsheets/d/1q9nWasZJ-K8bFGvbE9n0qSRuKGA4Toe3Y89cKCiVtCU/edit?usp=sharing"",""สตูล!R223"")+IMPORTRANGE(""https://docs.google.com/sprea"&amp;"dsheets/d/18T20gbkS_WBjdscyTOV05cvq_JqvqQ17C81mpxf7Ncs/edit?usp=sharing"",""สุราษฎร์ธานี!R223"")"),0)</f>
        <v>0</v>
      </c>
      <c r="S223" s="47">
        <f ca="1">IFERROR(__xludf.DUMMYFUNCTION("IMPORTRANGE(""https://docs.google.com/spreadsheets/d/1kKUcYdkIfrgTSj8iHHHB2MD2FAtwyyocFgqGQn6ADyI/edit?usp=sharing"",""กระบี่!S223"")+IMPORTRANGE(""https://docs.google.com/spreadsheets/d/1GwtLaSlNZkLk7iDqcyZz22giiy40b_usZZBXYciEN1U/edit?usp=sharing"",""ชุ"&amp;"มพร!S223"")+IMPORTRANGE(""https://docs.google.com/spreadsheets/d/16pAz3pOhQEZBhvFNMa5KGgZS6iKWpsKX0pg6tQmwFpo/edit?usp=sharing"",""ตรัง!S223"")+IMPORTRANGE(""https://docs.google.com/spreadsheets/d/1Dj4jcHCTV9JXKCaMoheSXS52JE63kDKyG7bPXnFogHk/edit?usp=shar"&amp;"ing"",""นครศรีธรรมราช!S223"")+IMPORTRANGE(""https://docs.google.com/spreadsheets/d/1iodCdmuK2GR3jzUwk8tpccY2JHQQA-87DLOtJP-ooyU/edit?usp=sharing"",""นราธิวาส!S223"")+IMPORTRANGE(""https://docs.google.com/spreadsheets/d/1SDNX3JhDdYRuIOsj0Wh2M-Qa_eaXl0NbWmh"&amp;"AOTbfQAs/edit?usp=sharing"",""ปัตตานี!S223"")+IMPORTRANGE(""https://docs.google.com/spreadsheets/d/16JDLGguT8s5DsGCND1KcwHP_AWR_zDMTqLHPLJUKhaU/edit?usp=sharing"",""พังงา!S223"")+IMPORTRANGE(""https://docs.google.com/spreadsheets/d/17ht0gPKzzT3PObBL1XJkeR"&amp;"mntBXI7wGjpLV7QorqlTk/edit?usp=sharing"",""พัทลุง!S223"")+IMPORTRANGE(""https://docs.google.com/spreadsheets/d/1rd4qoM1q_hsgaolqNGfrim9gbsoLxQsda4-vOz5x_BM/edit?usp=sharing"",""ภูเก็ต!S223"")+IMPORTRANGE(""https://docs.google.com/spreadsheets/d/1woKwKjgoL"&amp;"ssDvPcPeVyezB5izizAn4X1JDrys69n6xI/edit?usp=sharing"",""ยะลา!S223"")+IMPORTRANGE(""https://docs.google.com/spreadsheets/d/1qfrKjzMhm2HJfxQ-qVlJlJQ25Hne1d0khsySbZyGtPA/edit?usp=sharing"",""ระนอง!S223"")+IMPORTRANGE(""https://docs.google.com/spreadsheets/d/"&amp;"1IbSCnFOKpZsnFogBHJnL_isstZVaOMnFiIN0fGTPZZw/edit?usp=sharing"",""สงขลา!S223"")+IMPORTRANGE(""https://docs.google.com/spreadsheets/d/1q9nWasZJ-K8bFGvbE9n0qSRuKGA4Toe3Y89cKCiVtCU/edit?usp=sharing"",""สตูล!S223"")+IMPORTRANGE(""https://docs.google.com/sprea"&amp;"dsheets/d/18T20gbkS_WBjdscyTOV05cvq_JqvqQ17C81mpxf7Ncs/edit?usp=sharing"",""สุราษฎร์ธานี!S223"")"),0)</f>
        <v>0</v>
      </c>
      <c r="T223" s="136"/>
      <c r="U223" s="46"/>
    </row>
    <row r="224" spans="1:21" ht="18.75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47">
        <f ca="1">IFERROR(__xludf.DUMMYFUNCTION("IMPORTRANGE(""https://docs.google.com/spreadsheets/d/1kKUcYdkIfrgTSj8iHHHB2MD2FAtwyyocFgqGQn6ADyI/edit?usp=sharing"",""กระบี่!L224"")+IMPORTRANGE(""https://docs.google.com/spreadsheets/d/1GwtLaSlNZkLk7iDqcyZz22giiy40b_usZZBXYciEN1U/edit?usp=sharing"",""ชุ"&amp;"มพร!L224"")+IMPORTRANGE(""https://docs.google.com/spreadsheets/d/16pAz3pOhQEZBhvFNMa5KGgZS6iKWpsKX0pg6tQmwFpo/edit?usp=sharing"",""ตรัง!L224"")+IMPORTRANGE(""https://docs.google.com/spreadsheets/d/1Dj4jcHCTV9JXKCaMoheSXS52JE63kDKyG7bPXnFogHk/edit?usp=shar"&amp;"ing"",""นครศรีธรรมราช!L224"")+IMPORTRANGE(""https://docs.google.com/spreadsheets/d/1iodCdmuK2GR3jzUwk8tpccY2JHQQA-87DLOtJP-ooyU/edit?usp=sharing"",""นราธิวาส!L224"")+IMPORTRANGE(""https://docs.google.com/spreadsheets/d/1SDNX3JhDdYRuIOsj0Wh2M-Qa_eaXl0NbWmh"&amp;"AOTbfQAs/edit?usp=sharing"",""ปัตตานี!L224"")+IMPORTRANGE(""https://docs.google.com/spreadsheets/d/16JDLGguT8s5DsGCND1KcwHP_AWR_zDMTqLHPLJUKhaU/edit?usp=sharing"",""พังงา!L224"")+IMPORTRANGE(""https://docs.google.com/spreadsheets/d/17ht0gPKzzT3PObBL1XJkeR"&amp;"mntBXI7wGjpLV7QorqlTk/edit?usp=sharing"",""พัทลุง!L224"")+IMPORTRANGE(""https://docs.google.com/spreadsheets/d/1rd4qoM1q_hsgaolqNGfrim9gbsoLxQsda4-vOz5x_BM/edit?usp=sharing"",""ภูเก็ต!L224"")+IMPORTRANGE(""https://docs.google.com/spreadsheets/d/1woKwKjgoL"&amp;"ssDvPcPeVyezB5izizAn4X1JDrys69n6xI/edit?usp=sharing"",""ยะลา!L224"")+IMPORTRANGE(""https://docs.google.com/spreadsheets/d/1qfrKjzMhm2HJfxQ-qVlJlJQ25Hne1d0khsySbZyGtPA/edit?usp=sharing"",""ระนอง!L224"")+IMPORTRANGE(""https://docs.google.com/spreadsheets/d/"&amp;"1IbSCnFOKpZsnFogBHJnL_isstZVaOMnFiIN0fGTPZZw/edit?usp=sharing"",""สงขลา!L224"")+IMPORTRANGE(""https://docs.google.com/spreadsheets/d/1q9nWasZJ-K8bFGvbE9n0qSRuKGA4Toe3Y89cKCiVtCU/edit?usp=sharing"",""สตูล!L224"")+IMPORTRANGE(""https://docs.google.com/sprea"&amp;"dsheets/d/18T20gbkS_WBjdscyTOV05cvq_JqvqQ17C81mpxf7Ncs/edit?usp=sharing"",""สุราษฎร์ธานี!L224"")"),19500)</f>
        <v>19500</v>
      </c>
      <c r="M224" s="47">
        <f ca="1">IFERROR(__xludf.DUMMYFUNCTION("IMPORTRANGE(""https://docs.google.com/spreadsheets/d/1kKUcYdkIfrgTSj8iHHHB2MD2FAtwyyocFgqGQn6ADyI/edit?usp=sharing"",""กระบี่!M224"")+IMPORTRANGE(""https://docs.google.com/spreadsheets/d/1GwtLaSlNZkLk7iDqcyZz22giiy40b_usZZBXYciEN1U/edit?usp=sharing"",""ชุ"&amp;"มพร!M224"")+IMPORTRANGE(""https://docs.google.com/spreadsheets/d/16pAz3pOhQEZBhvFNMa5KGgZS6iKWpsKX0pg6tQmwFpo/edit?usp=sharing"",""ตรัง!M224"")+IMPORTRANGE(""https://docs.google.com/spreadsheets/d/1Dj4jcHCTV9JXKCaMoheSXS52JE63kDKyG7bPXnFogHk/edit?usp=shar"&amp;"ing"",""นครศรีธรรมราช!M224"")+IMPORTRANGE(""https://docs.google.com/spreadsheets/d/1iodCdmuK2GR3jzUwk8tpccY2JHQQA-87DLOtJP-ooyU/edit?usp=sharing"",""นราธิวาส!M224"")+IMPORTRANGE(""https://docs.google.com/spreadsheets/d/1SDNX3JhDdYRuIOsj0Wh2M-Qa_eaXl0NbWmh"&amp;"AOTbfQAs/edit?usp=sharing"",""ปัตตานี!M224"")+IMPORTRANGE(""https://docs.google.com/spreadsheets/d/16JDLGguT8s5DsGCND1KcwHP_AWR_zDMTqLHPLJUKhaU/edit?usp=sharing"",""พังงา!M224"")+IMPORTRANGE(""https://docs.google.com/spreadsheets/d/17ht0gPKzzT3PObBL1XJkeR"&amp;"mntBXI7wGjpLV7QorqlTk/edit?usp=sharing"",""พัทลุง!M224"")+IMPORTRANGE(""https://docs.google.com/spreadsheets/d/1rd4qoM1q_hsgaolqNGfrim9gbsoLxQsda4-vOz5x_BM/edit?usp=sharing"",""ภูเก็ต!M224"")+IMPORTRANGE(""https://docs.google.com/spreadsheets/d/1woKwKjgoL"&amp;"ssDvPcPeVyezB5izizAn4X1JDrys69n6xI/edit?usp=sharing"",""ยะลา!M224"")+IMPORTRANGE(""https://docs.google.com/spreadsheets/d/1qfrKjzMhm2HJfxQ-qVlJlJQ25Hne1d0khsySbZyGtPA/edit?usp=sharing"",""ระนอง!M224"")+IMPORTRANGE(""https://docs.google.com/spreadsheets/d/"&amp;"1IbSCnFOKpZsnFogBHJnL_isstZVaOMnFiIN0fGTPZZw/edit?usp=sharing"",""สงขลา!M224"")+IMPORTRANGE(""https://docs.google.com/spreadsheets/d/1q9nWasZJ-K8bFGvbE9n0qSRuKGA4Toe3Y89cKCiVtCU/edit?usp=sharing"",""สตูล!M224"")+IMPORTRANGE(""https://docs.google.com/sprea"&amp;"dsheets/d/18T20gbkS_WBjdscyTOV05cvq_JqvqQ17C81mpxf7Ncs/edit?usp=sharing"",""สุราษฎร์ธานี!M224"")"),0)</f>
        <v>0</v>
      </c>
      <c r="N224" s="47">
        <f ca="1">IFERROR(__xludf.DUMMYFUNCTION("IMPORTRANGE(""https://docs.google.com/spreadsheets/d/1kKUcYdkIfrgTSj8iHHHB2MD2FAtwyyocFgqGQn6ADyI/edit?usp=sharing"",""กระบี่!N224"")+IMPORTRANGE(""https://docs.google.com/spreadsheets/d/1GwtLaSlNZkLk7iDqcyZz22giiy40b_usZZBXYciEN1U/edit?usp=sharing"",""ชุ"&amp;"มพร!N224"")+IMPORTRANGE(""https://docs.google.com/spreadsheets/d/16pAz3pOhQEZBhvFNMa5KGgZS6iKWpsKX0pg6tQmwFpo/edit?usp=sharing"",""ตรัง!N224"")+IMPORTRANGE(""https://docs.google.com/spreadsheets/d/1Dj4jcHCTV9JXKCaMoheSXS52JE63kDKyG7bPXnFogHk/edit?usp=shar"&amp;"ing"",""นครศรีธรรมราช!N224"")+IMPORTRANGE(""https://docs.google.com/spreadsheets/d/1iodCdmuK2GR3jzUwk8tpccY2JHQQA-87DLOtJP-ooyU/edit?usp=sharing"",""นราธิวาส!N224"")+IMPORTRANGE(""https://docs.google.com/spreadsheets/d/1SDNX3JhDdYRuIOsj0Wh2M-Qa_eaXl0NbWmh"&amp;"AOTbfQAs/edit?usp=sharing"",""ปัตตานี!N224"")+IMPORTRANGE(""https://docs.google.com/spreadsheets/d/16JDLGguT8s5DsGCND1KcwHP_AWR_zDMTqLHPLJUKhaU/edit?usp=sharing"",""พังงา!N224"")+IMPORTRANGE(""https://docs.google.com/spreadsheets/d/17ht0gPKzzT3PObBL1XJkeR"&amp;"mntBXI7wGjpLV7QorqlTk/edit?usp=sharing"",""พัทลุง!N224"")+IMPORTRANGE(""https://docs.google.com/spreadsheets/d/1rd4qoM1q_hsgaolqNGfrim9gbsoLxQsda4-vOz5x_BM/edit?usp=sharing"",""ภูเก็ต!N224"")+IMPORTRANGE(""https://docs.google.com/spreadsheets/d/1woKwKjgoL"&amp;"ssDvPcPeVyezB5izizAn4X1JDrys69n6xI/edit?usp=sharing"",""ยะลา!N224"")+IMPORTRANGE(""https://docs.google.com/spreadsheets/d/1qfrKjzMhm2HJfxQ-qVlJlJQ25Hne1d0khsySbZyGtPA/edit?usp=sharing"",""ระนอง!N224"")+IMPORTRANGE(""https://docs.google.com/spreadsheets/d/"&amp;"1IbSCnFOKpZsnFogBHJnL_isstZVaOMnFiIN0fGTPZZw/edit?usp=sharing"",""สงขลา!N224"")+IMPORTRANGE(""https://docs.google.com/spreadsheets/d/1q9nWasZJ-K8bFGvbE9n0qSRuKGA4Toe3Y89cKCiVtCU/edit?usp=sharing"",""สตูล!N224"")+IMPORTRANGE(""https://docs.google.com/sprea"&amp;"dsheets/d/18T20gbkS_WBjdscyTOV05cvq_JqvqQ17C81mpxf7Ncs/edit?usp=sharing"",""สุราษฎร์ธานี!N224"")"),0)</f>
        <v>0</v>
      </c>
      <c r="O224" s="136"/>
      <c r="P224" s="46"/>
      <c r="Q224" s="47">
        <f ca="1">IFERROR(__xludf.DUMMYFUNCTION("IMPORTRANGE(""https://docs.google.com/spreadsheets/d/1kKUcYdkIfrgTSj8iHHHB2MD2FAtwyyocFgqGQn6ADyI/edit?usp=sharing"",""กระบี่!Q224"")+IMPORTRANGE(""https://docs.google.com/spreadsheets/d/1GwtLaSlNZkLk7iDqcyZz22giiy40b_usZZBXYciEN1U/edit?usp=sharing"",""ชุ"&amp;"มพร!Q224"")+IMPORTRANGE(""https://docs.google.com/spreadsheets/d/16pAz3pOhQEZBhvFNMa5KGgZS6iKWpsKX0pg6tQmwFpo/edit?usp=sharing"",""ตรัง!Q224"")+IMPORTRANGE(""https://docs.google.com/spreadsheets/d/1Dj4jcHCTV9JXKCaMoheSXS52JE63kDKyG7bPXnFogHk/edit?usp=shar"&amp;"ing"",""นครศรีธรรมราช!Q224"")+IMPORTRANGE(""https://docs.google.com/spreadsheets/d/1iodCdmuK2GR3jzUwk8tpccY2JHQQA-87DLOtJP-ooyU/edit?usp=sharing"",""นราธิวาส!Q224"")+IMPORTRANGE(""https://docs.google.com/spreadsheets/d/1SDNX3JhDdYRuIOsj0Wh2M-Qa_eaXl0NbWmh"&amp;"AOTbfQAs/edit?usp=sharing"",""ปัตตานี!Q224"")+IMPORTRANGE(""https://docs.google.com/spreadsheets/d/16JDLGguT8s5DsGCND1KcwHP_AWR_zDMTqLHPLJUKhaU/edit?usp=sharing"",""พังงา!Q224"")+IMPORTRANGE(""https://docs.google.com/spreadsheets/d/17ht0gPKzzT3PObBL1XJkeR"&amp;"mntBXI7wGjpLV7QorqlTk/edit?usp=sharing"",""พัทลุง!Q224"")+IMPORTRANGE(""https://docs.google.com/spreadsheets/d/1rd4qoM1q_hsgaolqNGfrim9gbsoLxQsda4-vOz5x_BM/edit?usp=sharing"",""ภูเก็ต!Q224"")+IMPORTRANGE(""https://docs.google.com/spreadsheets/d/1woKwKjgoL"&amp;"ssDvPcPeVyezB5izizAn4X1JDrys69n6xI/edit?usp=sharing"",""ยะลา!Q224"")+IMPORTRANGE(""https://docs.google.com/spreadsheets/d/1qfrKjzMhm2HJfxQ-qVlJlJQ25Hne1d0khsySbZyGtPA/edit?usp=sharing"",""ระนอง!Q224"")+IMPORTRANGE(""https://docs.google.com/spreadsheets/d/"&amp;"1IbSCnFOKpZsnFogBHJnL_isstZVaOMnFiIN0fGTPZZw/edit?usp=sharing"",""สงขลา!Q224"")+IMPORTRANGE(""https://docs.google.com/spreadsheets/d/1q9nWasZJ-K8bFGvbE9n0qSRuKGA4Toe3Y89cKCiVtCU/edit?usp=sharing"",""สตูล!Q224"")+IMPORTRANGE(""https://docs.google.com/sprea"&amp;"dsheets/d/18T20gbkS_WBjdscyTOV05cvq_JqvqQ17C81mpxf7Ncs/edit?usp=sharing"",""สุราษฎร์ธานี!Q224"")"),0)</f>
        <v>0</v>
      </c>
      <c r="R224" s="47">
        <f ca="1">IFERROR(__xludf.DUMMYFUNCTION("IMPORTRANGE(""https://docs.google.com/spreadsheets/d/1kKUcYdkIfrgTSj8iHHHB2MD2FAtwyyocFgqGQn6ADyI/edit?usp=sharing"",""กระบี่!R224"")+IMPORTRANGE(""https://docs.google.com/spreadsheets/d/1GwtLaSlNZkLk7iDqcyZz22giiy40b_usZZBXYciEN1U/edit?usp=sharing"",""ชุ"&amp;"มพร!R224"")+IMPORTRANGE(""https://docs.google.com/spreadsheets/d/16pAz3pOhQEZBhvFNMa5KGgZS6iKWpsKX0pg6tQmwFpo/edit?usp=sharing"",""ตรัง!R224"")+IMPORTRANGE(""https://docs.google.com/spreadsheets/d/1Dj4jcHCTV9JXKCaMoheSXS52JE63kDKyG7bPXnFogHk/edit?usp=shar"&amp;"ing"",""นครศรีธรรมราช!R224"")+IMPORTRANGE(""https://docs.google.com/spreadsheets/d/1iodCdmuK2GR3jzUwk8tpccY2JHQQA-87DLOtJP-ooyU/edit?usp=sharing"",""นราธิวาส!R224"")+IMPORTRANGE(""https://docs.google.com/spreadsheets/d/1SDNX3JhDdYRuIOsj0Wh2M-Qa_eaXl0NbWmh"&amp;"AOTbfQAs/edit?usp=sharing"",""ปัตตานี!R224"")+IMPORTRANGE(""https://docs.google.com/spreadsheets/d/16JDLGguT8s5DsGCND1KcwHP_AWR_zDMTqLHPLJUKhaU/edit?usp=sharing"",""พังงา!R224"")+IMPORTRANGE(""https://docs.google.com/spreadsheets/d/17ht0gPKzzT3PObBL1XJkeR"&amp;"mntBXI7wGjpLV7QorqlTk/edit?usp=sharing"",""พัทลุง!R224"")+IMPORTRANGE(""https://docs.google.com/spreadsheets/d/1rd4qoM1q_hsgaolqNGfrim9gbsoLxQsda4-vOz5x_BM/edit?usp=sharing"",""ภูเก็ต!R224"")+IMPORTRANGE(""https://docs.google.com/spreadsheets/d/1woKwKjgoL"&amp;"ssDvPcPeVyezB5izizAn4X1JDrys69n6xI/edit?usp=sharing"",""ยะลา!R224"")+IMPORTRANGE(""https://docs.google.com/spreadsheets/d/1qfrKjzMhm2HJfxQ-qVlJlJQ25Hne1d0khsySbZyGtPA/edit?usp=sharing"",""ระนอง!R224"")+IMPORTRANGE(""https://docs.google.com/spreadsheets/d/"&amp;"1IbSCnFOKpZsnFogBHJnL_isstZVaOMnFiIN0fGTPZZw/edit?usp=sharing"",""สงขลา!R224"")+IMPORTRANGE(""https://docs.google.com/spreadsheets/d/1q9nWasZJ-K8bFGvbE9n0qSRuKGA4Toe3Y89cKCiVtCU/edit?usp=sharing"",""สตูล!R224"")+IMPORTRANGE(""https://docs.google.com/sprea"&amp;"dsheets/d/18T20gbkS_WBjdscyTOV05cvq_JqvqQ17C81mpxf7Ncs/edit?usp=sharing"",""สุราษฎร์ธานี!R224"")"),0)</f>
        <v>0</v>
      </c>
      <c r="S224" s="47">
        <f ca="1">IFERROR(__xludf.DUMMYFUNCTION("IMPORTRANGE(""https://docs.google.com/spreadsheets/d/1kKUcYdkIfrgTSj8iHHHB2MD2FAtwyyocFgqGQn6ADyI/edit?usp=sharing"",""กระบี่!S224"")+IMPORTRANGE(""https://docs.google.com/spreadsheets/d/1GwtLaSlNZkLk7iDqcyZz22giiy40b_usZZBXYciEN1U/edit?usp=sharing"",""ชุ"&amp;"มพร!S224"")+IMPORTRANGE(""https://docs.google.com/spreadsheets/d/16pAz3pOhQEZBhvFNMa5KGgZS6iKWpsKX0pg6tQmwFpo/edit?usp=sharing"",""ตรัง!S224"")+IMPORTRANGE(""https://docs.google.com/spreadsheets/d/1Dj4jcHCTV9JXKCaMoheSXS52JE63kDKyG7bPXnFogHk/edit?usp=shar"&amp;"ing"",""นครศรีธรรมราช!S224"")+IMPORTRANGE(""https://docs.google.com/spreadsheets/d/1iodCdmuK2GR3jzUwk8tpccY2JHQQA-87DLOtJP-ooyU/edit?usp=sharing"",""นราธิวาส!S224"")+IMPORTRANGE(""https://docs.google.com/spreadsheets/d/1SDNX3JhDdYRuIOsj0Wh2M-Qa_eaXl0NbWmh"&amp;"AOTbfQAs/edit?usp=sharing"",""ปัตตานี!S224"")+IMPORTRANGE(""https://docs.google.com/spreadsheets/d/16JDLGguT8s5DsGCND1KcwHP_AWR_zDMTqLHPLJUKhaU/edit?usp=sharing"",""พังงา!S224"")+IMPORTRANGE(""https://docs.google.com/spreadsheets/d/17ht0gPKzzT3PObBL1XJkeR"&amp;"mntBXI7wGjpLV7QorqlTk/edit?usp=sharing"",""พัทลุง!S224"")+IMPORTRANGE(""https://docs.google.com/spreadsheets/d/1rd4qoM1q_hsgaolqNGfrim9gbsoLxQsda4-vOz5x_BM/edit?usp=sharing"",""ภูเก็ต!S224"")+IMPORTRANGE(""https://docs.google.com/spreadsheets/d/1woKwKjgoL"&amp;"ssDvPcPeVyezB5izizAn4X1JDrys69n6xI/edit?usp=sharing"",""ยะลา!S224"")+IMPORTRANGE(""https://docs.google.com/spreadsheets/d/1qfrKjzMhm2HJfxQ-qVlJlJQ25Hne1d0khsySbZyGtPA/edit?usp=sharing"",""ระนอง!S224"")+IMPORTRANGE(""https://docs.google.com/spreadsheets/d/"&amp;"1IbSCnFOKpZsnFogBHJnL_isstZVaOMnFiIN0fGTPZZw/edit?usp=sharing"",""สงขลา!S224"")+IMPORTRANGE(""https://docs.google.com/spreadsheets/d/1q9nWasZJ-K8bFGvbE9n0qSRuKGA4Toe3Y89cKCiVtCU/edit?usp=sharing"",""สตูล!S224"")+IMPORTRANGE(""https://docs.google.com/sprea"&amp;"dsheets/d/18T20gbkS_WBjdscyTOV05cvq_JqvqQ17C81mpxf7Ncs/edit?usp=sharing"",""สุราษฎร์ธานี!S224"")"),0)</f>
        <v>0</v>
      </c>
      <c r="T224" s="136"/>
      <c r="U224" s="46"/>
    </row>
    <row r="225" spans="1:21" ht="12.75" hidden="1" x14ac:dyDescent="0.2">
      <c r="A225" s="241"/>
      <c r="B225" s="242"/>
      <c r="C225" s="242"/>
      <c r="D225" s="243"/>
      <c r="E225" s="243"/>
      <c r="F225" s="243"/>
      <c r="G225" s="244"/>
      <c r="H225" s="245"/>
      <c r="I225" s="246"/>
      <c r="J225" s="246"/>
      <c r="K225" s="247"/>
      <c r="L225" s="247"/>
      <c r="M225" s="247"/>
      <c r="N225" s="247"/>
      <c r="O225" s="247"/>
      <c r="P225" s="247"/>
      <c r="Q225" s="247"/>
      <c r="R225" s="247"/>
      <c r="S225" s="247"/>
      <c r="T225" s="136"/>
      <c r="U225" s="46"/>
    </row>
    <row r="226" spans="1:21" ht="19.5" x14ac:dyDescent="0.3">
      <c r="A226" s="138"/>
      <c r="B226" s="139"/>
      <c r="C226" s="162" t="s">
        <v>18</v>
      </c>
      <c r="D226" s="140" t="s">
        <v>38</v>
      </c>
      <c r="E226" s="141"/>
      <c r="F226" s="141"/>
      <c r="G226" s="142"/>
      <c r="H226" s="143"/>
      <c r="I226" s="135"/>
      <c r="J226" s="135"/>
      <c r="K226" s="136"/>
      <c r="L226" s="136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136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238">
        <f ca="1">IFERROR(__xludf.DUMMYFUNCTION("IMPORTRANGE(""https://docs.google.com/spreadsheets/d/1kKUcYdkIfrgTSj8iHHHB2MD2FAtwyyocFgqGQn6ADyI/edit?usp=sharing"",""กระบี่!I228"")+IMPORTRANGE(""https://docs.google.com/spreadsheets/d/1GwtLaSlNZkLk7iDqcyZz22giiy40b_usZZBXYciEN1U/edit?usp=sharing"",""ชุ"&amp;"มพร!I228"")+IMPORTRANGE(""https://docs.google.com/spreadsheets/d/16pAz3pOhQEZBhvFNMa5KGgZS6iKWpsKX0pg6tQmwFpo/edit?usp=sharing"",""ตรัง!I228"")+IMPORTRANGE(""https://docs.google.com/spreadsheets/d/1Dj4jcHCTV9JXKCaMoheSXS52JE63kDKyG7bPXnFogHk/edit?usp=shar"&amp;"ing"",""นครศรีธรรมราช!I228"")+IMPORTRANGE(""https://docs.google.com/spreadsheets/d/1iodCdmuK2GR3jzUwk8tpccY2JHQQA-87DLOtJP-ooyU/edit?usp=sharing"",""นราธิวาส!I228"")+IMPORTRANGE(""https://docs.google.com/spreadsheets/d/1SDNX3JhDdYRuIOsj0Wh2M-Qa_eaXl0NbWmh"&amp;"AOTbfQAs/edit?usp=sharing"",""ปัตตานี!I228"")+IMPORTRANGE(""https://docs.google.com/spreadsheets/d/16JDLGguT8s5DsGCND1KcwHP_AWR_zDMTqLHPLJUKhaU/edit?usp=sharing"",""พังงา!I228"")+IMPORTRANGE(""https://docs.google.com/spreadsheets/d/17ht0gPKzzT3PObBL1XJkeR"&amp;"mntBXI7wGjpLV7QorqlTk/edit?usp=sharing"",""พัทลุง!I228"")+IMPORTRANGE(""https://docs.google.com/spreadsheets/d/1rd4qoM1q_hsgaolqNGfrim9gbsoLxQsda4-vOz5x_BM/edit?usp=sharing"",""ภูเก็ต!I228"")+IMPORTRANGE(""https://docs.google.com/spreadsheets/d/1woKwKjgoL"&amp;"ssDvPcPeVyezB5izizAn4X1JDrys69n6xI/edit?usp=sharing"",""ยะลา!I228"")+IMPORTRANGE(""https://docs.google.com/spreadsheets/d/1qfrKjzMhm2HJfxQ-qVlJlJQ25Hne1d0khsySbZyGtPA/edit?usp=sharing"",""ระนอง!I228"")+IMPORTRANGE(""https://docs.google.com/spreadsheets/d/"&amp;"1IbSCnFOKpZsnFogBHJnL_isstZVaOMnFiIN0fGTPZZw/edit?usp=sharing"",""สงขลา!I228"")+IMPORTRANGE(""https://docs.google.com/spreadsheets/d/1q9nWasZJ-K8bFGvbE9n0qSRuKGA4Toe3Y89cKCiVtCU/edit?usp=sharing"",""สตูล!I228"")+IMPORTRANGE(""https://docs.google.com/sprea"&amp;"dsheets/d/18T20gbkS_WBjdscyTOV05cvq_JqvqQ17C81mpxf7Ncs/edit?usp=sharing"",""สุราษฎร์ธานี!I228"")"),239000)</f>
        <v>239000</v>
      </c>
      <c r="J228" s="238">
        <f ca="1">IFERROR(__xludf.DUMMYFUNCTION("IMPORTRANGE(""https://docs.google.com/spreadsheets/d/1kKUcYdkIfrgTSj8iHHHB2MD2FAtwyyocFgqGQn6ADyI/edit?usp=sharing"",""กระบี่!J228"")+IMPORTRANGE(""https://docs.google.com/spreadsheets/d/1GwtLaSlNZkLk7iDqcyZz22giiy40b_usZZBXYciEN1U/edit?usp=sharing"",""ชุ"&amp;"มพร!J228"")+IMPORTRANGE(""https://docs.google.com/spreadsheets/d/16pAz3pOhQEZBhvFNMa5KGgZS6iKWpsKX0pg6tQmwFpo/edit?usp=sharing"",""ตรัง!J228"")+IMPORTRANGE(""https://docs.google.com/spreadsheets/d/1Dj4jcHCTV9JXKCaMoheSXS52JE63kDKyG7bPXnFogHk/edit?usp=shar"&amp;"ing"",""นครศรีธรรมราช!J228"")+IMPORTRANGE(""https://docs.google.com/spreadsheets/d/1iodCdmuK2GR3jzUwk8tpccY2JHQQA-87DLOtJP-ooyU/edit?usp=sharing"",""นราธิวาส!J228"")+IMPORTRANGE(""https://docs.google.com/spreadsheets/d/1SDNX3JhDdYRuIOsj0Wh2M-Qa_eaXl0NbWmh"&amp;"AOTbfQAs/edit?usp=sharing"",""ปัตตานี!J228"")+IMPORTRANGE(""https://docs.google.com/spreadsheets/d/16JDLGguT8s5DsGCND1KcwHP_AWR_zDMTqLHPLJUKhaU/edit?usp=sharing"",""พังงา!J228"")+IMPORTRANGE(""https://docs.google.com/spreadsheets/d/17ht0gPKzzT3PObBL1XJkeR"&amp;"mntBXI7wGjpLV7QorqlTk/edit?usp=sharing"",""พัทลุง!J228"")+IMPORTRANGE(""https://docs.google.com/spreadsheets/d/1rd4qoM1q_hsgaolqNGfrim9gbsoLxQsda4-vOz5x_BM/edit?usp=sharing"",""ภูเก็ต!J228"")+IMPORTRANGE(""https://docs.google.com/spreadsheets/d/1woKwKjgoL"&amp;"ssDvPcPeVyezB5izizAn4X1JDrys69n6xI/edit?usp=sharing"",""ยะลา!J228"")+IMPORTRANGE(""https://docs.google.com/spreadsheets/d/1qfrKjzMhm2HJfxQ-qVlJlJQ25Hne1d0khsySbZyGtPA/edit?usp=sharing"",""ระนอง!J228"")+IMPORTRANGE(""https://docs.google.com/spreadsheets/d/"&amp;"1IbSCnFOKpZsnFogBHJnL_isstZVaOMnFiIN0fGTPZZw/edit?usp=sharing"",""สงขลา!J228"")+IMPORTRANGE(""https://docs.google.com/spreadsheets/d/1q9nWasZJ-K8bFGvbE9n0qSRuKGA4Toe3Y89cKCiVtCU/edit?usp=sharing"",""สตูล!J228"")+IMPORTRANGE(""https://docs.google.com/sprea"&amp;"dsheets/d/18T20gbkS_WBjdscyTOV05cvq_JqvqQ17C81mpxf7Ncs/edit?usp=sharing"",""สุราษฎร์ธานี!J228"")"),30000)</f>
        <v>30000</v>
      </c>
      <c r="K228" s="239">
        <f t="shared" ref="K228:K231" ca="1" si="183">IF(I228&gt;0,J228*100/I228,0)</f>
        <v>12.552301255230125</v>
      </c>
      <c r="L228" s="136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238">
        <f ca="1">IFERROR(__xludf.DUMMYFUNCTION("IMPORTRANGE(""https://docs.google.com/spreadsheets/d/1kKUcYdkIfrgTSj8iHHHB2MD2FAtwyyocFgqGQn6ADyI/edit?usp=sharing"",""กระบี่!I229"")+IMPORTRANGE(""https://docs.google.com/spreadsheets/d/1GwtLaSlNZkLk7iDqcyZz22giiy40b_usZZBXYciEN1U/edit?usp=sharing"",""ชุ"&amp;"มพร!I229"")+IMPORTRANGE(""https://docs.google.com/spreadsheets/d/16pAz3pOhQEZBhvFNMa5KGgZS6iKWpsKX0pg6tQmwFpo/edit?usp=sharing"",""ตรัง!I229"")+IMPORTRANGE(""https://docs.google.com/spreadsheets/d/1Dj4jcHCTV9JXKCaMoheSXS52JE63kDKyG7bPXnFogHk/edit?usp=shar"&amp;"ing"",""นครศรีธรรมราช!I229"")+IMPORTRANGE(""https://docs.google.com/spreadsheets/d/1iodCdmuK2GR3jzUwk8tpccY2JHQQA-87DLOtJP-ooyU/edit?usp=sharing"",""นราธิวาส!I229"")+IMPORTRANGE(""https://docs.google.com/spreadsheets/d/1SDNX3JhDdYRuIOsj0Wh2M-Qa_eaXl0NbWmh"&amp;"AOTbfQAs/edit?usp=sharing"",""ปัตตานี!I229"")+IMPORTRANGE(""https://docs.google.com/spreadsheets/d/16JDLGguT8s5DsGCND1KcwHP_AWR_zDMTqLHPLJUKhaU/edit?usp=sharing"",""พังงา!I229"")+IMPORTRANGE(""https://docs.google.com/spreadsheets/d/17ht0gPKzzT3PObBL1XJkeR"&amp;"mntBXI7wGjpLV7QorqlTk/edit?usp=sharing"",""พัทลุง!I229"")+IMPORTRANGE(""https://docs.google.com/spreadsheets/d/1rd4qoM1q_hsgaolqNGfrim9gbsoLxQsda4-vOz5x_BM/edit?usp=sharing"",""ภูเก็ต!I229"")+IMPORTRANGE(""https://docs.google.com/spreadsheets/d/1woKwKjgoL"&amp;"ssDvPcPeVyezB5izizAn4X1JDrys69n6xI/edit?usp=sharing"",""ยะลา!I229"")+IMPORTRANGE(""https://docs.google.com/spreadsheets/d/1qfrKjzMhm2HJfxQ-qVlJlJQ25Hne1d0khsySbZyGtPA/edit?usp=sharing"",""ระนอง!I229"")+IMPORTRANGE(""https://docs.google.com/spreadsheets/d/"&amp;"1IbSCnFOKpZsnFogBHJnL_isstZVaOMnFiIN0fGTPZZw/edit?usp=sharing"",""สงขลา!I229"")+IMPORTRANGE(""https://docs.google.com/spreadsheets/d/1q9nWasZJ-K8bFGvbE9n0qSRuKGA4Toe3Y89cKCiVtCU/edit?usp=sharing"",""สตูล!I229"")+IMPORTRANGE(""https://docs.google.com/sprea"&amp;"dsheets/d/18T20gbkS_WBjdscyTOV05cvq_JqvqQ17C81mpxf7Ncs/edit?usp=sharing"",""สุราษฎร์ธานี!I229"")"),239000)</f>
        <v>239000</v>
      </c>
      <c r="J229" s="238">
        <f ca="1">IFERROR(__xludf.DUMMYFUNCTION("IMPORTRANGE(""https://docs.google.com/spreadsheets/d/1kKUcYdkIfrgTSj8iHHHB2MD2FAtwyyocFgqGQn6ADyI/edit?usp=sharing"",""กระบี่!J229"")+IMPORTRANGE(""https://docs.google.com/spreadsheets/d/1GwtLaSlNZkLk7iDqcyZz22giiy40b_usZZBXYciEN1U/edit?usp=sharing"",""ชุ"&amp;"มพร!J229"")+IMPORTRANGE(""https://docs.google.com/spreadsheets/d/16pAz3pOhQEZBhvFNMa5KGgZS6iKWpsKX0pg6tQmwFpo/edit?usp=sharing"",""ตรัง!J229"")+IMPORTRANGE(""https://docs.google.com/spreadsheets/d/1Dj4jcHCTV9JXKCaMoheSXS52JE63kDKyG7bPXnFogHk/edit?usp=shar"&amp;"ing"",""นครศรีธรรมราช!J229"")+IMPORTRANGE(""https://docs.google.com/spreadsheets/d/1iodCdmuK2GR3jzUwk8tpccY2JHQQA-87DLOtJP-ooyU/edit?usp=sharing"",""นราธิวาส!J229"")+IMPORTRANGE(""https://docs.google.com/spreadsheets/d/1SDNX3JhDdYRuIOsj0Wh2M-Qa_eaXl0NbWmh"&amp;"AOTbfQAs/edit?usp=sharing"",""ปัตตานี!J229"")+IMPORTRANGE(""https://docs.google.com/spreadsheets/d/16JDLGguT8s5DsGCND1KcwHP_AWR_zDMTqLHPLJUKhaU/edit?usp=sharing"",""พังงา!J229"")+IMPORTRANGE(""https://docs.google.com/spreadsheets/d/17ht0gPKzzT3PObBL1XJkeR"&amp;"mntBXI7wGjpLV7QorqlTk/edit?usp=sharing"",""พัทลุง!J229"")+IMPORTRANGE(""https://docs.google.com/spreadsheets/d/1rd4qoM1q_hsgaolqNGfrim9gbsoLxQsda4-vOz5x_BM/edit?usp=sharing"",""ภูเก็ต!J229"")+IMPORTRANGE(""https://docs.google.com/spreadsheets/d/1woKwKjgoL"&amp;"ssDvPcPeVyezB5izizAn4X1JDrys69n6xI/edit?usp=sharing"",""ยะลา!J229"")+IMPORTRANGE(""https://docs.google.com/spreadsheets/d/1qfrKjzMhm2HJfxQ-qVlJlJQ25Hne1d0khsySbZyGtPA/edit?usp=sharing"",""ระนอง!J229"")+IMPORTRANGE(""https://docs.google.com/spreadsheets/d/"&amp;"1IbSCnFOKpZsnFogBHJnL_isstZVaOMnFiIN0fGTPZZw/edit?usp=sharing"",""สงขลา!J229"")+IMPORTRANGE(""https://docs.google.com/spreadsheets/d/1q9nWasZJ-K8bFGvbE9n0qSRuKGA4Toe3Y89cKCiVtCU/edit?usp=sharing"",""สตูล!J229"")+IMPORTRANGE(""https://docs.google.com/sprea"&amp;"dsheets/d/18T20gbkS_WBjdscyTOV05cvq_JqvqQ17C81mpxf7Ncs/edit?usp=sharing"",""สุราษฎร์ธานี!J229"")"),20000)</f>
        <v>20000</v>
      </c>
      <c r="K229" s="239">
        <f t="shared" ca="1" si="183"/>
        <v>8.3682008368200833</v>
      </c>
      <c r="L229" s="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238">
        <f ca="1">IFERROR(__xludf.DUMMYFUNCTION("IMPORTRANGE(""https://docs.google.com/spreadsheets/d/1kKUcYdkIfrgTSj8iHHHB2MD2FAtwyyocFgqGQn6ADyI/edit?usp=sharing"",""กระบี่!I230"")+IMPORTRANGE(""https://docs.google.com/spreadsheets/d/1GwtLaSlNZkLk7iDqcyZz22giiy40b_usZZBXYciEN1U/edit?usp=sharing"",""ชุ"&amp;"มพร!I230"")+IMPORTRANGE(""https://docs.google.com/spreadsheets/d/16pAz3pOhQEZBhvFNMa5KGgZS6iKWpsKX0pg6tQmwFpo/edit?usp=sharing"",""ตรัง!I230"")+IMPORTRANGE(""https://docs.google.com/spreadsheets/d/1Dj4jcHCTV9JXKCaMoheSXS52JE63kDKyG7bPXnFogHk/edit?usp=shar"&amp;"ing"",""นครศรีธรรมราช!I230"")+IMPORTRANGE(""https://docs.google.com/spreadsheets/d/1iodCdmuK2GR3jzUwk8tpccY2JHQQA-87DLOtJP-ooyU/edit?usp=sharing"",""นราธิวาส!I230"")+IMPORTRANGE(""https://docs.google.com/spreadsheets/d/1SDNX3JhDdYRuIOsj0Wh2M-Qa_eaXl0NbWmh"&amp;"AOTbfQAs/edit?usp=sharing"",""ปัตตานี!I230"")+IMPORTRANGE(""https://docs.google.com/spreadsheets/d/16JDLGguT8s5DsGCND1KcwHP_AWR_zDMTqLHPLJUKhaU/edit?usp=sharing"",""พังงา!I230"")+IMPORTRANGE(""https://docs.google.com/spreadsheets/d/17ht0gPKzzT3PObBL1XJkeR"&amp;"mntBXI7wGjpLV7QorqlTk/edit?usp=sharing"",""พัทลุง!I230"")+IMPORTRANGE(""https://docs.google.com/spreadsheets/d/1rd4qoM1q_hsgaolqNGfrim9gbsoLxQsda4-vOz5x_BM/edit?usp=sharing"",""ภูเก็ต!I230"")+IMPORTRANGE(""https://docs.google.com/spreadsheets/d/1woKwKjgoL"&amp;"ssDvPcPeVyezB5izizAn4X1JDrys69n6xI/edit?usp=sharing"",""ยะลา!I230"")+IMPORTRANGE(""https://docs.google.com/spreadsheets/d/1qfrKjzMhm2HJfxQ-qVlJlJQ25Hne1d0khsySbZyGtPA/edit?usp=sharing"",""ระนอง!I230"")+IMPORTRANGE(""https://docs.google.com/spreadsheets/d/"&amp;"1IbSCnFOKpZsnFogBHJnL_isstZVaOMnFiIN0fGTPZZw/edit?usp=sharing"",""สงขลา!I230"")+IMPORTRANGE(""https://docs.google.com/spreadsheets/d/1q9nWasZJ-K8bFGvbE9n0qSRuKGA4Toe3Y89cKCiVtCU/edit?usp=sharing"",""สตูล!I230"")+IMPORTRANGE(""https://docs.google.com/sprea"&amp;"dsheets/d/18T20gbkS_WBjdscyTOV05cvq_JqvqQ17C81mpxf7Ncs/edit?usp=sharing"",""สุราษฎร์ธานี!I230"")"),0)</f>
        <v>0</v>
      </c>
      <c r="J230" s="238">
        <f ca="1">IFERROR(__xludf.DUMMYFUNCTION("IMPORTRANGE(""https://docs.google.com/spreadsheets/d/1kKUcYdkIfrgTSj8iHHHB2MD2FAtwyyocFgqGQn6ADyI/edit?usp=sharing"",""กระบี่!J230"")+IMPORTRANGE(""https://docs.google.com/spreadsheets/d/1GwtLaSlNZkLk7iDqcyZz22giiy40b_usZZBXYciEN1U/edit?usp=sharing"",""ชุ"&amp;"มพร!J230"")+IMPORTRANGE(""https://docs.google.com/spreadsheets/d/16pAz3pOhQEZBhvFNMa5KGgZS6iKWpsKX0pg6tQmwFpo/edit?usp=sharing"",""ตรัง!J230"")+IMPORTRANGE(""https://docs.google.com/spreadsheets/d/1Dj4jcHCTV9JXKCaMoheSXS52JE63kDKyG7bPXnFogHk/edit?usp=shar"&amp;"ing"",""นครศรีธรรมราช!J230"")+IMPORTRANGE(""https://docs.google.com/spreadsheets/d/1iodCdmuK2GR3jzUwk8tpccY2JHQQA-87DLOtJP-ooyU/edit?usp=sharing"",""นราธิวาส!J230"")+IMPORTRANGE(""https://docs.google.com/spreadsheets/d/1SDNX3JhDdYRuIOsj0Wh2M-Qa_eaXl0NbWmh"&amp;"AOTbfQAs/edit?usp=sharing"",""ปัตตานี!J230"")+IMPORTRANGE(""https://docs.google.com/spreadsheets/d/16JDLGguT8s5DsGCND1KcwHP_AWR_zDMTqLHPLJUKhaU/edit?usp=sharing"",""พังงา!J230"")+IMPORTRANGE(""https://docs.google.com/spreadsheets/d/17ht0gPKzzT3PObBL1XJkeR"&amp;"mntBXI7wGjpLV7QorqlTk/edit?usp=sharing"",""พัทลุง!J230"")+IMPORTRANGE(""https://docs.google.com/spreadsheets/d/1rd4qoM1q_hsgaolqNGfrim9gbsoLxQsda4-vOz5x_BM/edit?usp=sharing"",""ภูเก็ต!J230"")+IMPORTRANGE(""https://docs.google.com/spreadsheets/d/1woKwKjgoL"&amp;"ssDvPcPeVyezB5izizAn4X1JDrys69n6xI/edit?usp=sharing"",""ยะลา!J230"")+IMPORTRANGE(""https://docs.google.com/spreadsheets/d/1qfrKjzMhm2HJfxQ-qVlJlJQ25Hne1d0khsySbZyGtPA/edit?usp=sharing"",""ระนอง!J230"")+IMPORTRANGE(""https://docs.google.com/spreadsheets/d/"&amp;"1IbSCnFOKpZsnFogBHJnL_isstZVaOMnFiIN0fGTPZZw/edit?usp=sharing"",""สงขลา!J230"")+IMPORTRANGE(""https://docs.google.com/spreadsheets/d/1q9nWasZJ-K8bFGvbE9n0qSRuKGA4Toe3Y89cKCiVtCU/edit?usp=sharing"",""สตูล!J230"")+IMPORTRANGE(""https://docs.google.com/sprea"&amp;"dsheets/d/18T20gbkS_WBjdscyTOV05cvq_JqvqQ17C81mpxf7Ncs/edit?usp=sharing"",""สุราษฎร์ธานี!J230"")"),0)</f>
        <v>0</v>
      </c>
      <c r="K230" s="239">
        <f t="shared" ca="1" si="183"/>
        <v>0</v>
      </c>
      <c r="L230" s="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t="shared" ref="I231:J231" si="184">I242+I253</f>
        <v>0</v>
      </c>
      <c r="J231" s="228">
        <f t="shared" si="184"/>
        <v>0</v>
      </c>
      <c r="K231" s="229">
        <f t="shared" si="183"/>
        <v>0</v>
      </c>
      <c r="L231" s="230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x14ac:dyDescent="0.3">
      <c r="A232" s="128"/>
      <c r="B232" s="41"/>
      <c r="C232" s="129" t="s">
        <v>18</v>
      </c>
      <c r="D232" s="130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132">
        <f t="shared" ref="L232:N232" ca="1" si="185">L233+L234+L235+L236</f>
        <v>409600</v>
      </c>
      <c r="M232" s="132">
        <f t="shared" ca="1" si="185"/>
        <v>0</v>
      </c>
      <c r="N232" s="132">
        <f t="shared" ca="1" si="185"/>
        <v>170699.40999999997</v>
      </c>
      <c r="O232" s="132">
        <f ca="1">IF(L232&gt;0,N232*100/L232,0)</f>
        <v>41.674660644531244</v>
      </c>
      <c r="P232" s="46"/>
      <c r="Q232" s="132">
        <f t="shared" ref="Q232:S232" ca="1" si="186">Q233+Q234+Q235+Q236</f>
        <v>0</v>
      </c>
      <c r="R232" s="132">
        <f t="shared" ca="1" si="186"/>
        <v>0</v>
      </c>
      <c r="S232" s="132">
        <f t="shared" ca="1" si="186"/>
        <v>0</v>
      </c>
      <c r="T232" s="46"/>
      <c r="U232" s="46"/>
    </row>
    <row r="233" spans="1:21" ht="18.75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47">
        <f ca="1">IFERROR(__xludf.DUMMYFUNCTION("IMPORTRANGE(""https://docs.google.com/spreadsheets/d/1kKUcYdkIfrgTSj8iHHHB2MD2FAtwyyocFgqGQn6ADyI/edit?usp=sharing"",""กระบี่!L233"")+IMPORTRANGE(""https://docs.google.com/spreadsheets/d/1GwtLaSlNZkLk7iDqcyZz22giiy40b_usZZBXYciEN1U/edit?usp=sharing"",""ชุ"&amp;"มพร!L233"")+IMPORTRANGE(""https://docs.google.com/spreadsheets/d/16pAz3pOhQEZBhvFNMa5KGgZS6iKWpsKX0pg6tQmwFpo/edit?usp=sharing"",""ตรัง!L233"")+IMPORTRANGE(""https://docs.google.com/spreadsheets/d/1Dj4jcHCTV9JXKCaMoheSXS52JE63kDKyG7bPXnFogHk/edit?usp=shar"&amp;"ing"",""นครศรีธรรมราช!L233"")+IMPORTRANGE(""https://docs.google.com/spreadsheets/d/1iodCdmuK2GR3jzUwk8tpccY2JHQQA-87DLOtJP-ooyU/edit?usp=sharing"",""นราธิวาส!L233"")+IMPORTRANGE(""https://docs.google.com/spreadsheets/d/1SDNX3JhDdYRuIOsj0Wh2M-Qa_eaXl0NbWmh"&amp;"AOTbfQAs/edit?usp=sharing"",""ปัตตานี!L233"")+IMPORTRANGE(""https://docs.google.com/spreadsheets/d/16JDLGguT8s5DsGCND1KcwHP_AWR_zDMTqLHPLJUKhaU/edit?usp=sharing"",""พังงา!L233"")+IMPORTRANGE(""https://docs.google.com/spreadsheets/d/17ht0gPKzzT3PObBL1XJkeR"&amp;"mntBXI7wGjpLV7QorqlTk/edit?usp=sharing"",""พัทลุง!L233"")+IMPORTRANGE(""https://docs.google.com/spreadsheets/d/1rd4qoM1q_hsgaolqNGfrim9gbsoLxQsda4-vOz5x_BM/edit?usp=sharing"",""ภูเก็ต!L233"")+IMPORTRANGE(""https://docs.google.com/spreadsheets/d/1woKwKjgoL"&amp;"ssDvPcPeVyezB5izizAn4X1JDrys69n6xI/edit?usp=sharing"",""ยะลา!L233"")+IMPORTRANGE(""https://docs.google.com/spreadsheets/d/1qfrKjzMhm2HJfxQ-qVlJlJQ25Hne1d0khsySbZyGtPA/edit?usp=sharing"",""ระนอง!L233"")+IMPORTRANGE(""https://docs.google.com/spreadsheets/d/"&amp;"1IbSCnFOKpZsnFogBHJnL_isstZVaOMnFiIN0fGTPZZw/edit?usp=sharing"",""สงขลา!L233"")+IMPORTRANGE(""https://docs.google.com/spreadsheets/d/1q9nWasZJ-K8bFGvbE9n0qSRuKGA4Toe3Y89cKCiVtCU/edit?usp=sharing"",""สตูล!L233"")+IMPORTRANGE(""https://docs.google.com/sprea"&amp;"dsheets/d/18T20gbkS_WBjdscyTOV05cvq_JqvqQ17C81mpxf7Ncs/edit?usp=sharing"",""สุราษฎร์ธานี!L233"")"),167000)</f>
        <v>167000</v>
      </c>
      <c r="M233" s="47">
        <f ca="1">IFERROR(__xludf.DUMMYFUNCTION("IMPORTRANGE(""https://docs.google.com/spreadsheets/d/1kKUcYdkIfrgTSj8iHHHB2MD2FAtwyyocFgqGQn6ADyI/edit?usp=sharing"",""กระบี่!M233"")+IMPORTRANGE(""https://docs.google.com/spreadsheets/d/1GwtLaSlNZkLk7iDqcyZz22giiy40b_usZZBXYciEN1U/edit?usp=sharing"",""ชุ"&amp;"มพร!M233"")+IMPORTRANGE(""https://docs.google.com/spreadsheets/d/16pAz3pOhQEZBhvFNMa5KGgZS6iKWpsKX0pg6tQmwFpo/edit?usp=sharing"",""ตรัง!M233"")+IMPORTRANGE(""https://docs.google.com/spreadsheets/d/1Dj4jcHCTV9JXKCaMoheSXS52JE63kDKyG7bPXnFogHk/edit?usp=shar"&amp;"ing"",""นครศรีธรรมราช!M233"")+IMPORTRANGE(""https://docs.google.com/spreadsheets/d/1iodCdmuK2GR3jzUwk8tpccY2JHQQA-87DLOtJP-ooyU/edit?usp=sharing"",""นราธิวาส!M233"")+IMPORTRANGE(""https://docs.google.com/spreadsheets/d/1SDNX3JhDdYRuIOsj0Wh2M-Qa_eaXl0NbWmh"&amp;"AOTbfQAs/edit?usp=sharing"",""ปัตตานี!M233"")+IMPORTRANGE(""https://docs.google.com/spreadsheets/d/16JDLGguT8s5DsGCND1KcwHP_AWR_zDMTqLHPLJUKhaU/edit?usp=sharing"",""พังงา!M233"")+IMPORTRANGE(""https://docs.google.com/spreadsheets/d/17ht0gPKzzT3PObBL1XJkeR"&amp;"mntBXI7wGjpLV7QorqlTk/edit?usp=sharing"",""พัทลุง!M233"")+IMPORTRANGE(""https://docs.google.com/spreadsheets/d/1rd4qoM1q_hsgaolqNGfrim9gbsoLxQsda4-vOz5x_BM/edit?usp=sharing"",""ภูเก็ต!M233"")+IMPORTRANGE(""https://docs.google.com/spreadsheets/d/1woKwKjgoL"&amp;"ssDvPcPeVyezB5izizAn4X1JDrys69n6xI/edit?usp=sharing"",""ยะลา!M233"")+IMPORTRANGE(""https://docs.google.com/spreadsheets/d/1qfrKjzMhm2HJfxQ-qVlJlJQ25Hne1d0khsySbZyGtPA/edit?usp=sharing"",""ระนอง!M233"")+IMPORTRANGE(""https://docs.google.com/spreadsheets/d/"&amp;"1IbSCnFOKpZsnFogBHJnL_isstZVaOMnFiIN0fGTPZZw/edit?usp=sharing"",""สงขลา!M233"")+IMPORTRANGE(""https://docs.google.com/spreadsheets/d/1q9nWasZJ-K8bFGvbE9n0qSRuKGA4Toe3Y89cKCiVtCU/edit?usp=sharing"",""สตูล!M233"")+IMPORTRANGE(""https://docs.google.com/sprea"&amp;"dsheets/d/18T20gbkS_WBjdscyTOV05cvq_JqvqQ17C81mpxf7Ncs/edit?usp=sharing"",""สุราษฎร์ธานี!M233"")"),0)</f>
        <v>0</v>
      </c>
      <c r="N233" s="47">
        <f ca="1">IFERROR(__xludf.DUMMYFUNCTION("IMPORTRANGE(""https://docs.google.com/spreadsheets/d/1kKUcYdkIfrgTSj8iHHHB2MD2FAtwyyocFgqGQn6ADyI/edit?usp=sharing"",""กระบี่!N233"")+IMPORTRANGE(""https://docs.google.com/spreadsheets/d/1GwtLaSlNZkLk7iDqcyZz22giiy40b_usZZBXYciEN1U/edit?usp=sharing"",""ชุ"&amp;"มพร!N233"")+IMPORTRANGE(""https://docs.google.com/spreadsheets/d/16pAz3pOhQEZBhvFNMa5KGgZS6iKWpsKX0pg6tQmwFpo/edit?usp=sharing"",""ตรัง!N233"")+IMPORTRANGE(""https://docs.google.com/spreadsheets/d/1Dj4jcHCTV9JXKCaMoheSXS52JE63kDKyG7bPXnFogHk/edit?usp=shar"&amp;"ing"",""นครศรีธรรมราช!N233"")+IMPORTRANGE(""https://docs.google.com/spreadsheets/d/1iodCdmuK2GR3jzUwk8tpccY2JHQQA-87DLOtJP-ooyU/edit?usp=sharing"",""นราธิวาส!N233"")+IMPORTRANGE(""https://docs.google.com/spreadsheets/d/1SDNX3JhDdYRuIOsj0Wh2M-Qa_eaXl0NbWmh"&amp;"AOTbfQAs/edit?usp=sharing"",""ปัตตานี!N233"")+IMPORTRANGE(""https://docs.google.com/spreadsheets/d/16JDLGguT8s5DsGCND1KcwHP_AWR_zDMTqLHPLJUKhaU/edit?usp=sharing"",""พังงา!N233"")+IMPORTRANGE(""https://docs.google.com/spreadsheets/d/17ht0gPKzzT3PObBL1XJkeR"&amp;"mntBXI7wGjpLV7QorqlTk/edit?usp=sharing"",""พัทลุง!N233"")+IMPORTRANGE(""https://docs.google.com/spreadsheets/d/1rd4qoM1q_hsgaolqNGfrim9gbsoLxQsda4-vOz5x_BM/edit?usp=sharing"",""ภูเก็ต!N233"")+IMPORTRANGE(""https://docs.google.com/spreadsheets/d/1woKwKjgoL"&amp;"ssDvPcPeVyezB5izizAn4X1JDrys69n6xI/edit?usp=sharing"",""ยะลา!N233"")+IMPORTRANGE(""https://docs.google.com/spreadsheets/d/1qfrKjzMhm2HJfxQ-qVlJlJQ25Hne1d0khsySbZyGtPA/edit?usp=sharing"",""ระนอง!N233"")+IMPORTRANGE(""https://docs.google.com/spreadsheets/d/"&amp;"1IbSCnFOKpZsnFogBHJnL_isstZVaOMnFiIN0fGTPZZw/edit?usp=sharing"",""สงขลา!N233"")+IMPORTRANGE(""https://docs.google.com/spreadsheets/d/1q9nWasZJ-K8bFGvbE9n0qSRuKGA4Toe3Y89cKCiVtCU/edit?usp=sharing"",""สตูล!N233"")+IMPORTRANGE(""https://docs.google.com/sprea"&amp;"dsheets/d/18T20gbkS_WBjdscyTOV05cvq_JqvqQ17C81mpxf7Ncs/edit?usp=sharing"",""สุราษฎร์ธานี!N233"")"),12138.4)</f>
        <v>12138.4</v>
      </c>
      <c r="O233" s="46"/>
      <c r="P233" s="46"/>
      <c r="Q233" s="47">
        <f ca="1">IFERROR(__xludf.DUMMYFUNCTION("IMPORTRANGE(""https://docs.google.com/spreadsheets/d/1kKUcYdkIfrgTSj8iHHHB2MD2FAtwyyocFgqGQn6ADyI/edit?usp=sharing"",""กระบี่!Q233"")+IMPORTRANGE(""https://docs.google.com/spreadsheets/d/1GwtLaSlNZkLk7iDqcyZz22giiy40b_usZZBXYciEN1U/edit?usp=sharing"",""ชุ"&amp;"มพร!Q233"")+IMPORTRANGE(""https://docs.google.com/spreadsheets/d/16pAz3pOhQEZBhvFNMa5KGgZS6iKWpsKX0pg6tQmwFpo/edit?usp=sharing"",""ตรัง!Q233"")+IMPORTRANGE(""https://docs.google.com/spreadsheets/d/1Dj4jcHCTV9JXKCaMoheSXS52JE63kDKyG7bPXnFogHk/edit?usp=shar"&amp;"ing"",""นครศรีธรรมราช!Q233"")+IMPORTRANGE(""https://docs.google.com/spreadsheets/d/1iodCdmuK2GR3jzUwk8tpccY2JHQQA-87DLOtJP-ooyU/edit?usp=sharing"",""นราธิวาส!Q233"")+IMPORTRANGE(""https://docs.google.com/spreadsheets/d/1SDNX3JhDdYRuIOsj0Wh2M-Qa_eaXl0NbWmh"&amp;"AOTbfQAs/edit?usp=sharing"",""ปัตตานี!Q233"")+IMPORTRANGE(""https://docs.google.com/spreadsheets/d/16JDLGguT8s5DsGCND1KcwHP_AWR_zDMTqLHPLJUKhaU/edit?usp=sharing"",""พังงา!Q233"")+IMPORTRANGE(""https://docs.google.com/spreadsheets/d/17ht0gPKzzT3PObBL1XJkeR"&amp;"mntBXI7wGjpLV7QorqlTk/edit?usp=sharing"",""พัทลุง!Q233"")+IMPORTRANGE(""https://docs.google.com/spreadsheets/d/1rd4qoM1q_hsgaolqNGfrim9gbsoLxQsda4-vOz5x_BM/edit?usp=sharing"",""ภูเก็ต!Q233"")+IMPORTRANGE(""https://docs.google.com/spreadsheets/d/1woKwKjgoL"&amp;"ssDvPcPeVyezB5izizAn4X1JDrys69n6xI/edit?usp=sharing"",""ยะลา!Q233"")+IMPORTRANGE(""https://docs.google.com/spreadsheets/d/1qfrKjzMhm2HJfxQ-qVlJlJQ25Hne1d0khsySbZyGtPA/edit?usp=sharing"",""ระนอง!Q233"")+IMPORTRANGE(""https://docs.google.com/spreadsheets/d/"&amp;"1IbSCnFOKpZsnFogBHJnL_isstZVaOMnFiIN0fGTPZZw/edit?usp=sharing"",""สงขลา!Q233"")+IMPORTRANGE(""https://docs.google.com/spreadsheets/d/1q9nWasZJ-K8bFGvbE9n0qSRuKGA4Toe3Y89cKCiVtCU/edit?usp=sharing"",""สตูล!Q233"")+IMPORTRANGE(""https://docs.google.com/sprea"&amp;"dsheets/d/18T20gbkS_WBjdscyTOV05cvq_JqvqQ17C81mpxf7Ncs/edit?usp=sharing"",""สุราษฎร์ธานี!Q233"")"),0)</f>
        <v>0</v>
      </c>
      <c r="R233" s="47">
        <f ca="1">IFERROR(__xludf.DUMMYFUNCTION("IMPORTRANGE(""https://docs.google.com/spreadsheets/d/1kKUcYdkIfrgTSj8iHHHB2MD2FAtwyyocFgqGQn6ADyI/edit?usp=sharing"",""กระบี่!R233"")+IMPORTRANGE(""https://docs.google.com/spreadsheets/d/1GwtLaSlNZkLk7iDqcyZz22giiy40b_usZZBXYciEN1U/edit?usp=sharing"",""ชุ"&amp;"มพร!R233"")+IMPORTRANGE(""https://docs.google.com/spreadsheets/d/16pAz3pOhQEZBhvFNMa5KGgZS6iKWpsKX0pg6tQmwFpo/edit?usp=sharing"",""ตรัง!R233"")+IMPORTRANGE(""https://docs.google.com/spreadsheets/d/1Dj4jcHCTV9JXKCaMoheSXS52JE63kDKyG7bPXnFogHk/edit?usp=shar"&amp;"ing"",""นครศรีธรรมราช!R233"")+IMPORTRANGE(""https://docs.google.com/spreadsheets/d/1iodCdmuK2GR3jzUwk8tpccY2JHQQA-87DLOtJP-ooyU/edit?usp=sharing"",""นราธิวาส!R233"")+IMPORTRANGE(""https://docs.google.com/spreadsheets/d/1SDNX3JhDdYRuIOsj0Wh2M-Qa_eaXl0NbWmh"&amp;"AOTbfQAs/edit?usp=sharing"",""ปัตตานี!R233"")+IMPORTRANGE(""https://docs.google.com/spreadsheets/d/16JDLGguT8s5DsGCND1KcwHP_AWR_zDMTqLHPLJUKhaU/edit?usp=sharing"",""พังงา!R233"")+IMPORTRANGE(""https://docs.google.com/spreadsheets/d/17ht0gPKzzT3PObBL1XJkeR"&amp;"mntBXI7wGjpLV7QorqlTk/edit?usp=sharing"",""พัทลุง!R233"")+IMPORTRANGE(""https://docs.google.com/spreadsheets/d/1rd4qoM1q_hsgaolqNGfrim9gbsoLxQsda4-vOz5x_BM/edit?usp=sharing"",""ภูเก็ต!R233"")+IMPORTRANGE(""https://docs.google.com/spreadsheets/d/1woKwKjgoL"&amp;"ssDvPcPeVyezB5izizAn4X1JDrys69n6xI/edit?usp=sharing"",""ยะลา!R233"")+IMPORTRANGE(""https://docs.google.com/spreadsheets/d/1qfrKjzMhm2HJfxQ-qVlJlJQ25Hne1d0khsySbZyGtPA/edit?usp=sharing"",""ระนอง!R233"")+IMPORTRANGE(""https://docs.google.com/spreadsheets/d/"&amp;"1IbSCnFOKpZsnFogBHJnL_isstZVaOMnFiIN0fGTPZZw/edit?usp=sharing"",""สงขลา!R233"")+IMPORTRANGE(""https://docs.google.com/spreadsheets/d/1q9nWasZJ-K8bFGvbE9n0qSRuKGA4Toe3Y89cKCiVtCU/edit?usp=sharing"",""สตูล!R233"")+IMPORTRANGE(""https://docs.google.com/sprea"&amp;"dsheets/d/18T20gbkS_WBjdscyTOV05cvq_JqvqQ17C81mpxf7Ncs/edit?usp=sharing"",""สุราษฎร์ธานี!R233"")"),0)</f>
        <v>0</v>
      </c>
      <c r="S233" s="47">
        <f ca="1">IFERROR(__xludf.DUMMYFUNCTION("IMPORTRANGE(""https://docs.google.com/spreadsheets/d/1kKUcYdkIfrgTSj8iHHHB2MD2FAtwyyocFgqGQn6ADyI/edit?usp=sharing"",""กระบี่!S233"")+IMPORTRANGE(""https://docs.google.com/spreadsheets/d/1GwtLaSlNZkLk7iDqcyZz22giiy40b_usZZBXYciEN1U/edit?usp=sharing"",""ชุ"&amp;"มพร!S233"")+IMPORTRANGE(""https://docs.google.com/spreadsheets/d/16pAz3pOhQEZBhvFNMa5KGgZS6iKWpsKX0pg6tQmwFpo/edit?usp=sharing"",""ตรัง!S233"")+IMPORTRANGE(""https://docs.google.com/spreadsheets/d/1Dj4jcHCTV9JXKCaMoheSXS52JE63kDKyG7bPXnFogHk/edit?usp=shar"&amp;"ing"",""นครศรีธรรมราช!S233"")+IMPORTRANGE(""https://docs.google.com/spreadsheets/d/1iodCdmuK2GR3jzUwk8tpccY2JHQQA-87DLOtJP-ooyU/edit?usp=sharing"",""นราธิวาส!S233"")+IMPORTRANGE(""https://docs.google.com/spreadsheets/d/1SDNX3JhDdYRuIOsj0Wh2M-Qa_eaXl0NbWmh"&amp;"AOTbfQAs/edit?usp=sharing"",""ปัตตานี!S233"")+IMPORTRANGE(""https://docs.google.com/spreadsheets/d/16JDLGguT8s5DsGCND1KcwHP_AWR_zDMTqLHPLJUKhaU/edit?usp=sharing"",""พังงา!S233"")+IMPORTRANGE(""https://docs.google.com/spreadsheets/d/17ht0gPKzzT3PObBL1XJkeR"&amp;"mntBXI7wGjpLV7QorqlTk/edit?usp=sharing"",""พัทลุง!S233"")+IMPORTRANGE(""https://docs.google.com/spreadsheets/d/1rd4qoM1q_hsgaolqNGfrim9gbsoLxQsda4-vOz5x_BM/edit?usp=sharing"",""ภูเก็ต!S233"")+IMPORTRANGE(""https://docs.google.com/spreadsheets/d/1woKwKjgoL"&amp;"ssDvPcPeVyezB5izizAn4X1JDrys69n6xI/edit?usp=sharing"",""ยะลา!S233"")+IMPORTRANGE(""https://docs.google.com/spreadsheets/d/1qfrKjzMhm2HJfxQ-qVlJlJQ25Hne1d0khsySbZyGtPA/edit?usp=sharing"",""ระนอง!S233"")+IMPORTRANGE(""https://docs.google.com/spreadsheets/d/"&amp;"1IbSCnFOKpZsnFogBHJnL_isstZVaOMnFiIN0fGTPZZw/edit?usp=sharing"",""สงขลา!S233"")+IMPORTRANGE(""https://docs.google.com/spreadsheets/d/1q9nWasZJ-K8bFGvbE9n0qSRuKGA4Toe3Y89cKCiVtCU/edit?usp=sharing"",""สตูล!S233"")+IMPORTRANGE(""https://docs.google.com/sprea"&amp;"dsheets/d/18T20gbkS_WBjdscyTOV05cvq_JqvqQ17C81mpxf7Ncs/edit?usp=sharing"",""สุราษฎร์ธานี!S233"")"),0)</f>
        <v>0</v>
      </c>
      <c r="T233" s="46"/>
      <c r="U233" s="46"/>
    </row>
    <row r="234" spans="1:21" ht="18.75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47">
        <f ca="1">IFERROR(__xludf.DUMMYFUNCTION("IMPORTRANGE(""https://docs.google.com/spreadsheets/d/1kKUcYdkIfrgTSj8iHHHB2MD2FAtwyyocFgqGQn6ADyI/edit?usp=sharing"",""กระบี่!L234"")+IMPORTRANGE(""https://docs.google.com/spreadsheets/d/1GwtLaSlNZkLk7iDqcyZz22giiy40b_usZZBXYciEN1U/edit?usp=sharing"",""ชุ"&amp;"มพร!L234"")+IMPORTRANGE(""https://docs.google.com/spreadsheets/d/16pAz3pOhQEZBhvFNMa5KGgZS6iKWpsKX0pg6tQmwFpo/edit?usp=sharing"",""ตรัง!L234"")+IMPORTRANGE(""https://docs.google.com/spreadsheets/d/1Dj4jcHCTV9JXKCaMoheSXS52JE63kDKyG7bPXnFogHk/edit?usp=shar"&amp;"ing"",""นครศรีธรรมราช!L234"")+IMPORTRANGE(""https://docs.google.com/spreadsheets/d/1iodCdmuK2GR3jzUwk8tpccY2JHQQA-87DLOtJP-ooyU/edit?usp=sharing"",""นราธิวาส!L234"")+IMPORTRANGE(""https://docs.google.com/spreadsheets/d/1SDNX3JhDdYRuIOsj0Wh2M-Qa_eaXl0NbWmh"&amp;"AOTbfQAs/edit?usp=sharing"",""ปัตตานี!L234"")+IMPORTRANGE(""https://docs.google.com/spreadsheets/d/16JDLGguT8s5DsGCND1KcwHP_AWR_zDMTqLHPLJUKhaU/edit?usp=sharing"",""พังงา!L234"")+IMPORTRANGE(""https://docs.google.com/spreadsheets/d/17ht0gPKzzT3PObBL1XJkeR"&amp;"mntBXI7wGjpLV7QorqlTk/edit?usp=sharing"",""พัทลุง!L234"")+IMPORTRANGE(""https://docs.google.com/spreadsheets/d/1rd4qoM1q_hsgaolqNGfrim9gbsoLxQsda4-vOz5x_BM/edit?usp=sharing"",""ภูเก็ต!L234"")+IMPORTRANGE(""https://docs.google.com/spreadsheets/d/1woKwKjgoL"&amp;"ssDvPcPeVyezB5izizAn4X1JDrys69n6xI/edit?usp=sharing"",""ยะลา!L234"")+IMPORTRANGE(""https://docs.google.com/spreadsheets/d/1qfrKjzMhm2HJfxQ-qVlJlJQ25Hne1d0khsySbZyGtPA/edit?usp=sharing"",""ระนอง!L234"")+IMPORTRANGE(""https://docs.google.com/spreadsheets/d/"&amp;"1IbSCnFOKpZsnFogBHJnL_isstZVaOMnFiIN0fGTPZZw/edit?usp=sharing"",""สงขลา!L234"")+IMPORTRANGE(""https://docs.google.com/spreadsheets/d/1q9nWasZJ-K8bFGvbE9n0qSRuKGA4Toe3Y89cKCiVtCU/edit?usp=sharing"",""สตูล!L234"")+IMPORTRANGE(""https://docs.google.com/sprea"&amp;"dsheets/d/18T20gbkS_WBjdscyTOV05cvq_JqvqQ17C81mpxf7Ncs/edit?usp=sharing"",""สุราษฎร์ธานี!L234"")"),10000)</f>
        <v>10000</v>
      </c>
      <c r="M234" s="47">
        <f ca="1">IFERROR(__xludf.DUMMYFUNCTION("IMPORTRANGE(""https://docs.google.com/spreadsheets/d/1kKUcYdkIfrgTSj8iHHHB2MD2FAtwyyocFgqGQn6ADyI/edit?usp=sharing"",""กระบี่!M234"")+IMPORTRANGE(""https://docs.google.com/spreadsheets/d/1GwtLaSlNZkLk7iDqcyZz22giiy40b_usZZBXYciEN1U/edit?usp=sharing"",""ชุ"&amp;"มพร!M234"")+IMPORTRANGE(""https://docs.google.com/spreadsheets/d/16pAz3pOhQEZBhvFNMa5KGgZS6iKWpsKX0pg6tQmwFpo/edit?usp=sharing"",""ตรัง!M234"")+IMPORTRANGE(""https://docs.google.com/spreadsheets/d/1Dj4jcHCTV9JXKCaMoheSXS52JE63kDKyG7bPXnFogHk/edit?usp=shar"&amp;"ing"",""นครศรีธรรมราช!M234"")+IMPORTRANGE(""https://docs.google.com/spreadsheets/d/1iodCdmuK2GR3jzUwk8tpccY2JHQQA-87DLOtJP-ooyU/edit?usp=sharing"",""นราธิวาส!M234"")+IMPORTRANGE(""https://docs.google.com/spreadsheets/d/1SDNX3JhDdYRuIOsj0Wh2M-Qa_eaXl0NbWmh"&amp;"AOTbfQAs/edit?usp=sharing"",""ปัตตานี!M234"")+IMPORTRANGE(""https://docs.google.com/spreadsheets/d/16JDLGguT8s5DsGCND1KcwHP_AWR_zDMTqLHPLJUKhaU/edit?usp=sharing"",""พังงา!M234"")+IMPORTRANGE(""https://docs.google.com/spreadsheets/d/17ht0gPKzzT3PObBL1XJkeR"&amp;"mntBXI7wGjpLV7QorqlTk/edit?usp=sharing"",""พัทลุง!M234"")+IMPORTRANGE(""https://docs.google.com/spreadsheets/d/1rd4qoM1q_hsgaolqNGfrim9gbsoLxQsda4-vOz5x_BM/edit?usp=sharing"",""ภูเก็ต!M234"")+IMPORTRANGE(""https://docs.google.com/spreadsheets/d/1woKwKjgoL"&amp;"ssDvPcPeVyezB5izizAn4X1JDrys69n6xI/edit?usp=sharing"",""ยะลา!M234"")+IMPORTRANGE(""https://docs.google.com/spreadsheets/d/1qfrKjzMhm2HJfxQ-qVlJlJQ25Hne1d0khsySbZyGtPA/edit?usp=sharing"",""ระนอง!M234"")+IMPORTRANGE(""https://docs.google.com/spreadsheets/d/"&amp;"1IbSCnFOKpZsnFogBHJnL_isstZVaOMnFiIN0fGTPZZw/edit?usp=sharing"",""สงขลา!M234"")+IMPORTRANGE(""https://docs.google.com/spreadsheets/d/1q9nWasZJ-K8bFGvbE9n0qSRuKGA4Toe3Y89cKCiVtCU/edit?usp=sharing"",""สตูล!M234"")+IMPORTRANGE(""https://docs.google.com/sprea"&amp;"dsheets/d/18T20gbkS_WBjdscyTOV05cvq_JqvqQ17C81mpxf7Ncs/edit?usp=sharing"",""สุราษฎร์ธานี!M234"")"),0)</f>
        <v>0</v>
      </c>
      <c r="N234" s="47">
        <f ca="1">IFERROR(__xludf.DUMMYFUNCTION("IMPORTRANGE(""https://docs.google.com/spreadsheets/d/1kKUcYdkIfrgTSj8iHHHB2MD2FAtwyyocFgqGQn6ADyI/edit?usp=sharing"",""กระบี่!N234"")+IMPORTRANGE(""https://docs.google.com/spreadsheets/d/1GwtLaSlNZkLk7iDqcyZz22giiy40b_usZZBXYciEN1U/edit?usp=sharing"",""ชุ"&amp;"มพร!N234"")+IMPORTRANGE(""https://docs.google.com/spreadsheets/d/16pAz3pOhQEZBhvFNMa5KGgZS6iKWpsKX0pg6tQmwFpo/edit?usp=sharing"",""ตรัง!N234"")+IMPORTRANGE(""https://docs.google.com/spreadsheets/d/1Dj4jcHCTV9JXKCaMoheSXS52JE63kDKyG7bPXnFogHk/edit?usp=shar"&amp;"ing"",""นครศรีธรรมราช!N234"")+IMPORTRANGE(""https://docs.google.com/spreadsheets/d/1iodCdmuK2GR3jzUwk8tpccY2JHQQA-87DLOtJP-ooyU/edit?usp=sharing"",""นราธิวาส!N234"")+IMPORTRANGE(""https://docs.google.com/spreadsheets/d/1SDNX3JhDdYRuIOsj0Wh2M-Qa_eaXl0NbWmh"&amp;"AOTbfQAs/edit?usp=sharing"",""ปัตตานี!N234"")+IMPORTRANGE(""https://docs.google.com/spreadsheets/d/16JDLGguT8s5DsGCND1KcwHP_AWR_zDMTqLHPLJUKhaU/edit?usp=sharing"",""พังงา!N234"")+IMPORTRANGE(""https://docs.google.com/spreadsheets/d/17ht0gPKzzT3PObBL1XJkeR"&amp;"mntBXI7wGjpLV7QorqlTk/edit?usp=sharing"",""พัทลุง!N234"")+IMPORTRANGE(""https://docs.google.com/spreadsheets/d/1rd4qoM1q_hsgaolqNGfrim9gbsoLxQsda4-vOz5x_BM/edit?usp=sharing"",""ภูเก็ต!N234"")+IMPORTRANGE(""https://docs.google.com/spreadsheets/d/1woKwKjgoL"&amp;"ssDvPcPeVyezB5izizAn4X1JDrys69n6xI/edit?usp=sharing"",""ยะลา!N234"")+IMPORTRANGE(""https://docs.google.com/spreadsheets/d/1qfrKjzMhm2HJfxQ-qVlJlJQ25Hne1d0khsySbZyGtPA/edit?usp=sharing"",""ระนอง!N234"")+IMPORTRANGE(""https://docs.google.com/spreadsheets/d/"&amp;"1IbSCnFOKpZsnFogBHJnL_isstZVaOMnFiIN0fGTPZZw/edit?usp=sharing"",""สงขลา!N234"")+IMPORTRANGE(""https://docs.google.com/spreadsheets/d/1q9nWasZJ-K8bFGvbE9n0qSRuKGA4Toe3Y89cKCiVtCU/edit?usp=sharing"",""สตูล!N234"")+IMPORTRANGE(""https://docs.google.com/sprea"&amp;"dsheets/d/18T20gbkS_WBjdscyTOV05cvq_JqvqQ17C81mpxf7Ncs/edit?usp=sharing"",""สุราษฎร์ธานี!N234"")"),76700.01)</f>
        <v>76700.009999999995</v>
      </c>
      <c r="O234" s="46"/>
      <c r="P234" s="46"/>
      <c r="Q234" s="47">
        <f ca="1">IFERROR(__xludf.DUMMYFUNCTION("IMPORTRANGE(""https://docs.google.com/spreadsheets/d/1kKUcYdkIfrgTSj8iHHHB2MD2FAtwyyocFgqGQn6ADyI/edit?usp=sharing"",""กระบี่!Q234"")+IMPORTRANGE(""https://docs.google.com/spreadsheets/d/1GwtLaSlNZkLk7iDqcyZz22giiy40b_usZZBXYciEN1U/edit?usp=sharing"",""ชุ"&amp;"มพร!Q234"")+IMPORTRANGE(""https://docs.google.com/spreadsheets/d/16pAz3pOhQEZBhvFNMa5KGgZS6iKWpsKX0pg6tQmwFpo/edit?usp=sharing"",""ตรัง!Q234"")+IMPORTRANGE(""https://docs.google.com/spreadsheets/d/1Dj4jcHCTV9JXKCaMoheSXS52JE63kDKyG7bPXnFogHk/edit?usp=shar"&amp;"ing"",""นครศรีธรรมราช!Q234"")+IMPORTRANGE(""https://docs.google.com/spreadsheets/d/1iodCdmuK2GR3jzUwk8tpccY2JHQQA-87DLOtJP-ooyU/edit?usp=sharing"",""นราธิวาส!Q234"")+IMPORTRANGE(""https://docs.google.com/spreadsheets/d/1SDNX3JhDdYRuIOsj0Wh2M-Qa_eaXl0NbWmh"&amp;"AOTbfQAs/edit?usp=sharing"",""ปัตตานี!Q234"")+IMPORTRANGE(""https://docs.google.com/spreadsheets/d/16JDLGguT8s5DsGCND1KcwHP_AWR_zDMTqLHPLJUKhaU/edit?usp=sharing"",""พังงา!Q234"")+IMPORTRANGE(""https://docs.google.com/spreadsheets/d/17ht0gPKzzT3PObBL1XJkeR"&amp;"mntBXI7wGjpLV7QorqlTk/edit?usp=sharing"",""พัทลุง!Q234"")+IMPORTRANGE(""https://docs.google.com/spreadsheets/d/1rd4qoM1q_hsgaolqNGfrim9gbsoLxQsda4-vOz5x_BM/edit?usp=sharing"",""ภูเก็ต!Q234"")+IMPORTRANGE(""https://docs.google.com/spreadsheets/d/1woKwKjgoL"&amp;"ssDvPcPeVyezB5izizAn4X1JDrys69n6xI/edit?usp=sharing"",""ยะลา!Q234"")+IMPORTRANGE(""https://docs.google.com/spreadsheets/d/1qfrKjzMhm2HJfxQ-qVlJlJQ25Hne1d0khsySbZyGtPA/edit?usp=sharing"",""ระนอง!Q234"")+IMPORTRANGE(""https://docs.google.com/spreadsheets/d/"&amp;"1IbSCnFOKpZsnFogBHJnL_isstZVaOMnFiIN0fGTPZZw/edit?usp=sharing"",""สงขลา!Q234"")+IMPORTRANGE(""https://docs.google.com/spreadsheets/d/1q9nWasZJ-K8bFGvbE9n0qSRuKGA4Toe3Y89cKCiVtCU/edit?usp=sharing"",""สตูล!Q234"")+IMPORTRANGE(""https://docs.google.com/sprea"&amp;"dsheets/d/18T20gbkS_WBjdscyTOV05cvq_JqvqQ17C81mpxf7Ncs/edit?usp=sharing"",""สุราษฎร์ธานี!Q234"")"),0)</f>
        <v>0</v>
      </c>
      <c r="R234" s="47">
        <f ca="1">IFERROR(__xludf.DUMMYFUNCTION("IMPORTRANGE(""https://docs.google.com/spreadsheets/d/1kKUcYdkIfrgTSj8iHHHB2MD2FAtwyyocFgqGQn6ADyI/edit?usp=sharing"",""กระบี่!R234"")+IMPORTRANGE(""https://docs.google.com/spreadsheets/d/1GwtLaSlNZkLk7iDqcyZz22giiy40b_usZZBXYciEN1U/edit?usp=sharing"",""ชุ"&amp;"มพร!R234"")+IMPORTRANGE(""https://docs.google.com/spreadsheets/d/16pAz3pOhQEZBhvFNMa5KGgZS6iKWpsKX0pg6tQmwFpo/edit?usp=sharing"",""ตรัง!R234"")+IMPORTRANGE(""https://docs.google.com/spreadsheets/d/1Dj4jcHCTV9JXKCaMoheSXS52JE63kDKyG7bPXnFogHk/edit?usp=shar"&amp;"ing"",""นครศรีธรรมราช!R234"")+IMPORTRANGE(""https://docs.google.com/spreadsheets/d/1iodCdmuK2GR3jzUwk8tpccY2JHQQA-87DLOtJP-ooyU/edit?usp=sharing"",""นราธิวาส!R234"")+IMPORTRANGE(""https://docs.google.com/spreadsheets/d/1SDNX3JhDdYRuIOsj0Wh2M-Qa_eaXl0NbWmh"&amp;"AOTbfQAs/edit?usp=sharing"",""ปัตตานี!R234"")+IMPORTRANGE(""https://docs.google.com/spreadsheets/d/16JDLGguT8s5DsGCND1KcwHP_AWR_zDMTqLHPLJUKhaU/edit?usp=sharing"",""พังงา!R234"")+IMPORTRANGE(""https://docs.google.com/spreadsheets/d/17ht0gPKzzT3PObBL1XJkeR"&amp;"mntBXI7wGjpLV7QorqlTk/edit?usp=sharing"",""พัทลุง!R234"")+IMPORTRANGE(""https://docs.google.com/spreadsheets/d/1rd4qoM1q_hsgaolqNGfrim9gbsoLxQsda4-vOz5x_BM/edit?usp=sharing"",""ภูเก็ต!R234"")+IMPORTRANGE(""https://docs.google.com/spreadsheets/d/1woKwKjgoL"&amp;"ssDvPcPeVyezB5izizAn4X1JDrys69n6xI/edit?usp=sharing"",""ยะลา!R234"")+IMPORTRANGE(""https://docs.google.com/spreadsheets/d/1qfrKjzMhm2HJfxQ-qVlJlJQ25Hne1d0khsySbZyGtPA/edit?usp=sharing"",""ระนอง!R234"")+IMPORTRANGE(""https://docs.google.com/spreadsheets/d/"&amp;"1IbSCnFOKpZsnFogBHJnL_isstZVaOMnFiIN0fGTPZZw/edit?usp=sharing"",""สงขลา!R234"")+IMPORTRANGE(""https://docs.google.com/spreadsheets/d/1q9nWasZJ-K8bFGvbE9n0qSRuKGA4Toe3Y89cKCiVtCU/edit?usp=sharing"",""สตูล!R234"")+IMPORTRANGE(""https://docs.google.com/sprea"&amp;"dsheets/d/18T20gbkS_WBjdscyTOV05cvq_JqvqQ17C81mpxf7Ncs/edit?usp=sharing"",""สุราษฎร์ธานี!R234"")"),0)</f>
        <v>0</v>
      </c>
      <c r="S234" s="47">
        <f ca="1">IFERROR(__xludf.DUMMYFUNCTION("IMPORTRANGE(""https://docs.google.com/spreadsheets/d/1kKUcYdkIfrgTSj8iHHHB2MD2FAtwyyocFgqGQn6ADyI/edit?usp=sharing"",""กระบี่!S234"")+IMPORTRANGE(""https://docs.google.com/spreadsheets/d/1GwtLaSlNZkLk7iDqcyZz22giiy40b_usZZBXYciEN1U/edit?usp=sharing"",""ชุ"&amp;"มพร!S234"")+IMPORTRANGE(""https://docs.google.com/spreadsheets/d/16pAz3pOhQEZBhvFNMa5KGgZS6iKWpsKX0pg6tQmwFpo/edit?usp=sharing"",""ตรัง!S234"")+IMPORTRANGE(""https://docs.google.com/spreadsheets/d/1Dj4jcHCTV9JXKCaMoheSXS52JE63kDKyG7bPXnFogHk/edit?usp=shar"&amp;"ing"",""นครศรีธรรมราช!S234"")+IMPORTRANGE(""https://docs.google.com/spreadsheets/d/1iodCdmuK2GR3jzUwk8tpccY2JHQQA-87DLOtJP-ooyU/edit?usp=sharing"",""นราธิวาส!S234"")+IMPORTRANGE(""https://docs.google.com/spreadsheets/d/1SDNX3JhDdYRuIOsj0Wh2M-Qa_eaXl0NbWmh"&amp;"AOTbfQAs/edit?usp=sharing"",""ปัตตานี!S234"")+IMPORTRANGE(""https://docs.google.com/spreadsheets/d/16JDLGguT8s5DsGCND1KcwHP_AWR_zDMTqLHPLJUKhaU/edit?usp=sharing"",""พังงา!S234"")+IMPORTRANGE(""https://docs.google.com/spreadsheets/d/17ht0gPKzzT3PObBL1XJkeR"&amp;"mntBXI7wGjpLV7QorqlTk/edit?usp=sharing"",""พัทลุง!S234"")+IMPORTRANGE(""https://docs.google.com/spreadsheets/d/1rd4qoM1q_hsgaolqNGfrim9gbsoLxQsda4-vOz5x_BM/edit?usp=sharing"",""ภูเก็ต!S234"")+IMPORTRANGE(""https://docs.google.com/spreadsheets/d/1woKwKjgoL"&amp;"ssDvPcPeVyezB5izizAn4X1JDrys69n6xI/edit?usp=sharing"",""ยะลา!S234"")+IMPORTRANGE(""https://docs.google.com/spreadsheets/d/1qfrKjzMhm2HJfxQ-qVlJlJQ25Hne1d0khsySbZyGtPA/edit?usp=sharing"",""ระนอง!S234"")+IMPORTRANGE(""https://docs.google.com/spreadsheets/d/"&amp;"1IbSCnFOKpZsnFogBHJnL_isstZVaOMnFiIN0fGTPZZw/edit?usp=sharing"",""สงขลา!S234"")+IMPORTRANGE(""https://docs.google.com/spreadsheets/d/1q9nWasZJ-K8bFGvbE9n0qSRuKGA4Toe3Y89cKCiVtCU/edit?usp=sharing"",""สตูล!S234"")+IMPORTRANGE(""https://docs.google.com/sprea"&amp;"dsheets/d/18T20gbkS_WBjdscyTOV05cvq_JqvqQ17C81mpxf7Ncs/edit?usp=sharing"",""สุราษฎร์ธานี!S234"")"),0)</f>
        <v>0</v>
      </c>
      <c r="T234" s="46"/>
      <c r="U234" s="46"/>
    </row>
    <row r="235" spans="1:21" ht="18.75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47">
        <f ca="1">IFERROR(__xludf.DUMMYFUNCTION("IMPORTRANGE(""https://docs.google.com/spreadsheets/d/1kKUcYdkIfrgTSj8iHHHB2MD2FAtwyyocFgqGQn6ADyI/edit?usp=sharing"",""กระบี่!L235"")+IMPORTRANGE(""https://docs.google.com/spreadsheets/d/1GwtLaSlNZkLk7iDqcyZz22giiy40b_usZZBXYciEN1U/edit?usp=sharing"",""ชุ"&amp;"มพร!L235"")+IMPORTRANGE(""https://docs.google.com/spreadsheets/d/16pAz3pOhQEZBhvFNMa5KGgZS6iKWpsKX0pg6tQmwFpo/edit?usp=sharing"",""ตรัง!L235"")+IMPORTRANGE(""https://docs.google.com/spreadsheets/d/1Dj4jcHCTV9JXKCaMoheSXS52JE63kDKyG7bPXnFogHk/edit?usp=shar"&amp;"ing"",""นครศรีธรรมราช!L235"")+IMPORTRANGE(""https://docs.google.com/spreadsheets/d/1iodCdmuK2GR3jzUwk8tpccY2JHQQA-87DLOtJP-ooyU/edit?usp=sharing"",""นราธิวาส!L235"")+IMPORTRANGE(""https://docs.google.com/spreadsheets/d/1SDNX3JhDdYRuIOsj0Wh2M-Qa_eaXl0NbWmh"&amp;"AOTbfQAs/edit?usp=sharing"",""ปัตตานี!L235"")+IMPORTRANGE(""https://docs.google.com/spreadsheets/d/16JDLGguT8s5DsGCND1KcwHP_AWR_zDMTqLHPLJUKhaU/edit?usp=sharing"",""พังงา!L235"")+IMPORTRANGE(""https://docs.google.com/spreadsheets/d/17ht0gPKzzT3PObBL1XJkeR"&amp;"mntBXI7wGjpLV7QorqlTk/edit?usp=sharing"",""พัทลุง!L235"")+IMPORTRANGE(""https://docs.google.com/spreadsheets/d/1rd4qoM1q_hsgaolqNGfrim9gbsoLxQsda4-vOz5x_BM/edit?usp=sharing"",""ภูเก็ต!L235"")+IMPORTRANGE(""https://docs.google.com/spreadsheets/d/1woKwKjgoL"&amp;"ssDvPcPeVyezB5izizAn4X1JDrys69n6xI/edit?usp=sharing"",""ยะลา!L235"")+IMPORTRANGE(""https://docs.google.com/spreadsheets/d/1qfrKjzMhm2HJfxQ-qVlJlJQ25Hne1d0khsySbZyGtPA/edit?usp=sharing"",""ระนอง!L235"")+IMPORTRANGE(""https://docs.google.com/spreadsheets/d/"&amp;"1IbSCnFOKpZsnFogBHJnL_isstZVaOMnFiIN0fGTPZZw/edit?usp=sharing"",""สงขลา!L235"")+IMPORTRANGE(""https://docs.google.com/spreadsheets/d/1q9nWasZJ-K8bFGvbE9n0qSRuKGA4Toe3Y89cKCiVtCU/edit?usp=sharing"",""สตูล!L235"")+IMPORTRANGE(""https://docs.google.com/sprea"&amp;"dsheets/d/18T20gbkS_WBjdscyTOV05cvq_JqvqQ17C81mpxf7Ncs/edit?usp=sharing"",""สุราษฎร์ธานี!L235"")"),92600)</f>
        <v>92600</v>
      </c>
      <c r="M235" s="47">
        <f ca="1">IFERROR(__xludf.DUMMYFUNCTION("IMPORTRANGE(""https://docs.google.com/spreadsheets/d/1kKUcYdkIfrgTSj8iHHHB2MD2FAtwyyocFgqGQn6ADyI/edit?usp=sharing"",""กระบี่!M235"")+IMPORTRANGE(""https://docs.google.com/spreadsheets/d/1GwtLaSlNZkLk7iDqcyZz22giiy40b_usZZBXYciEN1U/edit?usp=sharing"",""ชุ"&amp;"มพร!M235"")+IMPORTRANGE(""https://docs.google.com/spreadsheets/d/16pAz3pOhQEZBhvFNMa5KGgZS6iKWpsKX0pg6tQmwFpo/edit?usp=sharing"",""ตรัง!M235"")+IMPORTRANGE(""https://docs.google.com/spreadsheets/d/1Dj4jcHCTV9JXKCaMoheSXS52JE63kDKyG7bPXnFogHk/edit?usp=shar"&amp;"ing"",""นครศรีธรรมราช!M235"")+IMPORTRANGE(""https://docs.google.com/spreadsheets/d/1iodCdmuK2GR3jzUwk8tpccY2JHQQA-87DLOtJP-ooyU/edit?usp=sharing"",""นราธิวาส!M235"")+IMPORTRANGE(""https://docs.google.com/spreadsheets/d/1SDNX3JhDdYRuIOsj0Wh2M-Qa_eaXl0NbWmh"&amp;"AOTbfQAs/edit?usp=sharing"",""ปัตตานี!M235"")+IMPORTRANGE(""https://docs.google.com/spreadsheets/d/16JDLGguT8s5DsGCND1KcwHP_AWR_zDMTqLHPLJUKhaU/edit?usp=sharing"",""พังงา!M235"")+IMPORTRANGE(""https://docs.google.com/spreadsheets/d/17ht0gPKzzT3PObBL1XJkeR"&amp;"mntBXI7wGjpLV7QorqlTk/edit?usp=sharing"",""พัทลุง!M235"")+IMPORTRANGE(""https://docs.google.com/spreadsheets/d/1rd4qoM1q_hsgaolqNGfrim9gbsoLxQsda4-vOz5x_BM/edit?usp=sharing"",""ภูเก็ต!M235"")+IMPORTRANGE(""https://docs.google.com/spreadsheets/d/1woKwKjgoL"&amp;"ssDvPcPeVyezB5izizAn4X1JDrys69n6xI/edit?usp=sharing"",""ยะลา!M235"")+IMPORTRANGE(""https://docs.google.com/spreadsheets/d/1qfrKjzMhm2HJfxQ-qVlJlJQ25Hne1d0khsySbZyGtPA/edit?usp=sharing"",""ระนอง!M235"")+IMPORTRANGE(""https://docs.google.com/spreadsheets/d/"&amp;"1IbSCnFOKpZsnFogBHJnL_isstZVaOMnFiIN0fGTPZZw/edit?usp=sharing"",""สงขลา!M235"")+IMPORTRANGE(""https://docs.google.com/spreadsheets/d/1q9nWasZJ-K8bFGvbE9n0qSRuKGA4Toe3Y89cKCiVtCU/edit?usp=sharing"",""สตูล!M235"")+IMPORTRANGE(""https://docs.google.com/sprea"&amp;"dsheets/d/18T20gbkS_WBjdscyTOV05cvq_JqvqQ17C81mpxf7Ncs/edit?usp=sharing"",""สุราษฎร์ธานี!M235"")"),0)</f>
        <v>0</v>
      </c>
      <c r="N235" s="47">
        <f ca="1">IFERROR(__xludf.DUMMYFUNCTION("IMPORTRANGE(""https://docs.google.com/spreadsheets/d/1kKUcYdkIfrgTSj8iHHHB2MD2FAtwyyocFgqGQn6ADyI/edit?usp=sharing"",""กระบี่!N235"")+IMPORTRANGE(""https://docs.google.com/spreadsheets/d/1GwtLaSlNZkLk7iDqcyZz22giiy40b_usZZBXYciEN1U/edit?usp=sharing"",""ชุ"&amp;"มพร!N235"")+IMPORTRANGE(""https://docs.google.com/spreadsheets/d/16pAz3pOhQEZBhvFNMa5KGgZS6iKWpsKX0pg6tQmwFpo/edit?usp=sharing"",""ตรัง!N235"")+IMPORTRANGE(""https://docs.google.com/spreadsheets/d/1Dj4jcHCTV9JXKCaMoheSXS52JE63kDKyG7bPXnFogHk/edit?usp=shar"&amp;"ing"",""นครศรีธรรมราช!N235"")+IMPORTRANGE(""https://docs.google.com/spreadsheets/d/1iodCdmuK2GR3jzUwk8tpccY2JHQQA-87DLOtJP-ooyU/edit?usp=sharing"",""นราธิวาส!N235"")+IMPORTRANGE(""https://docs.google.com/spreadsheets/d/1SDNX3JhDdYRuIOsj0Wh2M-Qa_eaXl0NbWmh"&amp;"AOTbfQAs/edit?usp=sharing"",""ปัตตานี!N235"")+IMPORTRANGE(""https://docs.google.com/spreadsheets/d/16JDLGguT8s5DsGCND1KcwHP_AWR_zDMTqLHPLJUKhaU/edit?usp=sharing"",""พังงา!N235"")+IMPORTRANGE(""https://docs.google.com/spreadsheets/d/17ht0gPKzzT3PObBL1XJkeR"&amp;"mntBXI7wGjpLV7QorqlTk/edit?usp=sharing"",""พัทลุง!N235"")+IMPORTRANGE(""https://docs.google.com/spreadsheets/d/1rd4qoM1q_hsgaolqNGfrim9gbsoLxQsda4-vOz5x_BM/edit?usp=sharing"",""ภูเก็ต!N235"")+IMPORTRANGE(""https://docs.google.com/spreadsheets/d/1woKwKjgoL"&amp;"ssDvPcPeVyezB5izizAn4X1JDrys69n6xI/edit?usp=sharing"",""ยะลา!N235"")+IMPORTRANGE(""https://docs.google.com/spreadsheets/d/1qfrKjzMhm2HJfxQ-qVlJlJQ25Hne1d0khsySbZyGtPA/edit?usp=sharing"",""ระนอง!N235"")+IMPORTRANGE(""https://docs.google.com/spreadsheets/d/"&amp;"1IbSCnFOKpZsnFogBHJnL_isstZVaOMnFiIN0fGTPZZw/edit?usp=sharing"",""สงขลา!N235"")+IMPORTRANGE(""https://docs.google.com/spreadsheets/d/1q9nWasZJ-K8bFGvbE9n0qSRuKGA4Toe3Y89cKCiVtCU/edit?usp=sharing"",""สตูล!N235"")+IMPORTRANGE(""https://docs.google.com/sprea"&amp;"dsheets/d/18T20gbkS_WBjdscyTOV05cvq_JqvqQ17C81mpxf7Ncs/edit?usp=sharing"",""สุราษฎร์ธานี!N235"")"),39166)</f>
        <v>39166</v>
      </c>
      <c r="O235" s="46"/>
      <c r="P235" s="46"/>
      <c r="Q235" s="47">
        <f ca="1">IFERROR(__xludf.DUMMYFUNCTION("IMPORTRANGE(""https://docs.google.com/spreadsheets/d/1kKUcYdkIfrgTSj8iHHHB2MD2FAtwyyocFgqGQn6ADyI/edit?usp=sharing"",""กระบี่!Q235"")+IMPORTRANGE(""https://docs.google.com/spreadsheets/d/1GwtLaSlNZkLk7iDqcyZz22giiy40b_usZZBXYciEN1U/edit?usp=sharing"",""ชุ"&amp;"มพร!Q235"")+IMPORTRANGE(""https://docs.google.com/spreadsheets/d/16pAz3pOhQEZBhvFNMa5KGgZS6iKWpsKX0pg6tQmwFpo/edit?usp=sharing"",""ตรัง!Q235"")+IMPORTRANGE(""https://docs.google.com/spreadsheets/d/1Dj4jcHCTV9JXKCaMoheSXS52JE63kDKyG7bPXnFogHk/edit?usp=shar"&amp;"ing"",""นครศรีธรรมราช!Q235"")+IMPORTRANGE(""https://docs.google.com/spreadsheets/d/1iodCdmuK2GR3jzUwk8tpccY2JHQQA-87DLOtJP-ooyU/edit?usp=sharing"",""นราธิวาส!Q235"")+IMPORTRANGE(""https://docs.google.com/spreadsheets/d/1SDNX3JhDdYRuIOsj0Wh2M-Qa_eaXl0NbWmh"&amp;"AOTbfQAs/edit?usp=sharing"",""ปัตตานี!Q235"")+IMPORTRANGE(""https://docs.google.com/spreadsheets/d/16JDLGguT8s5DsGCND1KcwHP_AWR_zDMTqLHPLJUKhaU/edit?usp=sharing"",""พังงา!Q235"")+IMPORTRANGE(""https://docs.google.com/spreadsheets/d/17ht0gPKzzT3PObBL1XJkeR"&amp;"mntBXI7wGjpLV7QorqlTk/edit?usp=sharing"",""พัทลุง!Q235"")+IMPORTRANGE(""https://docs.google.com/spreadsheets/d/1rd4qoM1q_hsgaolqNGfrim9gbsoLxQsda4-vOz5x_BM/edit?usp=sharing"",""ภูเก็ต!Q235"")+IMPORTRANGE(""https://docs.google.com/spreadsheets/d/1woKwKjgoL"&amp;"ssDvPcPeVyezB5izizAn4X1JDrys69n6xI/edit?usp=sharing"",""ยะลา!Q235"")+IMPORTRANGE(""https://docs.google.com/spreadsheets/d/1qfrKjzMhm2HJfxQ-qVlJlJQ25Hne1d0khsySbZyGtPA/edit?usp=sharing"",""ระนอง!Q235"")+IMPORTRANGE(""https://docs.google.com/spreadsheets/d/"&amp;"1IbSCnFOKpZsnFogBHJnL_isstZVaOMnFiIN0fGTPZZw/edit?usp=sharing"",""สงขลา!Q235"")+IMPORTRANGE(""https://docs.google.com/spreadsheets/d/1q9nWasZJ-K8bFGvbE9n0qSRuKGA4Toe3Y89cKCiVtCU/edit?usp=sharing"",""สตูล!Q235"")+IMPORTRANGE(""https://docs.google.com/sprea"&amp;"dsheets/d/18T20gbkS_WBjdscyTOV05cvq_JqvqQ17C81mpxf7Ncs/edit?usp=sharing"",""สุราษฎร์ธานี!Q235"")"),0)</f>
        <v>0</v>
      </c>
      <c r="R235" s="47">
        <f ca="1">IFERROR(__xludf.DUMMYFUNCTION("IMPORTRANGE(""https://docs.google.com/spreadsheets/d/1kKUcYdkIfrgTSj8iHHHB2MD2FAtwyyocFgqGQn6ADyI/edit?usp=sharing"",""กระบี่!R235"")+IMPORTRANGE(""https://docs.google.com/spreadsheets/d/1GwtLaSlNZkLk7iDqcyZz22giiy40b_usZZBXYciEN1U/edit?usp=sharing"",""ชุ"&amp;"มพร!R235"")+IMPORTRANGE(""https://docs.google.com/spreadsheets/d/16pAz3pOhQEZBhvFNMa5KGgZS6iKWpsKX0pg6tQmwFpo/edit?usp=sharing"",""ตรัง!R235"")+IMPORTRANGE(""https://docs.google.com/spreadsheets/d/1Dj4jcHCTV9JXKCaMoheSXS52JE63kDKyG7bPXnFogHk/edit?usp=shar"&amp;"ing"",""นครศรีธรรมราช!R235"")+IMPORTRANGE(""https://docs.google.com/spreadsheets/d/1iodCdmuK2GR3jzUwk8tpccY2JHQQA-87DLOtJP-ooyU/edit?usp=sharing"",""นราธิวาส!R235"")+IMPORTRANGE(""https://docs.google.com/spreadsheets/d/1SDNX3JhDdYRuIOsj0Wh2M-Qa_eaXl0NbWmh"&amp;"AOTbfQAs/edit?usp=sharing"",""ปัตตานี!R235"")+IMPORTRANGE(""https://docs.google.com/spreadsheets/d/16JDLGguT8s5DsGCND1KcwHP_AWR_zDMTqLHPLJUKhaU/edit?usp=sharing"",""พังงา!R235"")+IMPORTRANGE(""https://docs.google.com/spreadsheets/d/17ht0gPKzzT3PObBL1XJkeR"&amp;"mntBXI7wGjpLV7QorqlTk/edit?usp=sharing"",""พัทลุง!R235"")+IMPORTRANGE(""https://docs.google.com/spreadsheets/d/1rd4qoM1q_hsgaolqNGfrim9gbsoLxQsda4-vOz5x_BM/edit?usp=sharing"",""ภูเก็ต!R235"")+IMPORTRANGE(""https://docs.google.com/spreadsheets/d/1woKwKjgoL"&amp;"ssDvPcPeVyezB5izizAn4X1JDrys69n6xI/edit?usp=sharing"",""ยะลา!R235"")+IMPORTRANGE(""https://docs.google.com/spreadsheets/d/1qfrKjzMhm2HJfxQ-qVlJlJQ25Hne1d0khsySbZyGtPA/edit?usp=sharing"",""ระนอง!R235"")+IMPORTRANGE(""https://docs.google.com/spreadsheets/d/"&amp;"1IbSCnFOKpZsnFogBHJnL_isstZVaOMnFiIN0fGTPZZw/edit?usp=sharing"",""สงขลา!R235"")+IMPORTRANGE(""https://docs.google.com/spreadsheets/d/1q9nWasZJ-K8bFGvbE9n0qSRuKGA4Toe3Y89cKCiVtCU/edit?usp=sharing"",""สตูล!R235"")+IMPORTRANGE(""https://docs.google.com/sprea"&amp;"dsheets/d/18T20gbkS_WBjdscyTOV05cvq_JqvqQ17C81mpxf7Ncs/edit?usp=sharing"",""สุราษฎร์ธานี!R235"")"),0)</f>
        <v>0</v>
      </c>
      <c r="S235" s="47">
        <f ca="1">IFERROR(__xludf.DUMMYFUNCTION("IMPORTRANGE(""https://docs.google.com/spreadsheets/d/1kKUcYdkIfrgTSj8iHHHB2MD2FAtwyyocFgqGQn6ADyI/edit?usp=sharing"",""กระบี่!S235"")+IMPORTRANGE(""https://docs.google.com/spreadsheets/d/1GwtLaSlNZkLk7iDqcyZz22giiy40b_usZZBXYciEN1U/edit?usp=sharing"",""ชุ"&amp;"มพร!S235"")+IMPORTRANGE(""https://docs.google.com/spreadsheets/d/16pAz3pOhQEZBhvFNMa5KGgZS6iKWpsKX0pg6tQmwFpo/edit?usp=sharing"",""ตรัง!S235"")+IMPORTRANGE(""https://docs.google.com/spreadsheets/d/1Dj4jcHCTV9JXKCaMoheSXS52JE63kDKyG7bPXnFogHk/edit?usp=shar"&amp;"ing"",""นครศรีธรรมราช!S235"")+IMPORTRANGE(""https://docs.google.com/spreadsheets/d/1iodCdmuK2GR3jzUwk8tpccY2JHQQA-87DLOtJP-ooyU/edit?usp=sharing"",""นราธิวาส!S235"")+IMPORTRANGE(""https://docs.google.com/spreadsheets/d/1SDNX3JhDdYRuIOsj0Wh2M-Qa_eaXl0NbWmh"&amp;"AOTbfQAs/edit?usp=sharing"",""ปัตตานี!S235"")+IMPORTRANGE(""https://docs.google.com/spreadsheets/d/16JDLGguT8s5DsGCND1KcwHP_AWR_zDMTqLHPLJUKhaU/edit?usp=sharing"",""พังงา!S235"")+IMPORTRANGE(""https://docs.google.com/spreadsheets/d/17ht0gPKzzT3PObBL1XJkeR"&amp;"mntBXI7wGjpLV7QorqlTk/edit?usp=sharing"",""พัทลุง!S235"")+IMPORTRANGE(""https://docs.google.com/spreadsheets/d/1rd4qoM1q_hsgaolqNGfrim9gbsoLxQsda4-vOz5x_BM/edit?usp=sharing"",""ภูเก็ต!S235"")+IMPORTRANGE(""https://docs.google.com/spreadsheets/d/1woKwKjgoL"&amp;"ssDvPcPeVyezB5izizAn4X1JDrys69n6xI/edit?usp=sharing"",""ยะลา!S235"")+IMPORTRANGE(""https://docs.google.com/spreadsheets/d/1qfrKjzMhm2HJfxQ-qVlJlJQ25Hne1d0khsySbZyGtPA/edit?usp=sharing"",""ระนอง!S235"")+IMPORTRANGE(""https://docs.google.com/spreadsheets/d/"&amp;"1IbSCnFOKpZsnFogBHJnL_isstZVaOMnFiIN0fGTPZZw/edit?usp=sharing"",""สงขลา!S235"")+IMPORTRANGE(""https://docs.google.com/spreadsheets/d/1q9nWasZJ-K8bFGvbE9n0qSRuKGA4Toe3Y89cKCiVtCU/edit?usp=sharing"",""สตูล!S235"")+IMPORTRANGE(""https://docs.google.com/sprea"&amp;"dsheets/d/18T20gbkS_WBjdscyTOV05cvq_JqvqQ17C81mpxf7Ncs/edit?usp=sharing"",""สุราษฎร์ธานี!S235"")"),0)</f>
        <v>0</v>
      </c>
      <c r="T235" s="46"/>
      <c r="U235" s="46"/>
    </row>
    <row r="236" spans="1:21" ht="18.75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47">
        <f ca="1">IFERROR(__xludf.DUMMYFUNCTION("IMPORTRANGE(""https://docs.google.com/spreadsheets/d/1kKUcYdkIfrgTSj8iHHHB2MD2FAtwyyocFgqGQn6ADyI/edit?usp=sharing"",""กระบี่!L236"")+IMPORTRANGE(""https://docs.google.com/spreadsheets/d/1GwtLaSlNZkLk7iDqcyZz22giiy40b_usZZBXYciEN1U/edit?usp=sharing"",""ชุ"&amp;"มพร!L236"")+IMPORTRANGE(""https://docs.google.com/spreadsheets/d/16pAz3pOhQEZBhvFNMa5KGgZS6iKWpsKX0pg6tQmwFpo/edit?usp=sharing"",""ตรัง!L236"")+IMPORTRANGE(""https://docs.google.com/spreadsheets/d/1Dj4jcHCTV9JXKCaMoheSXS52JE63kDKyG7bPXnFogHk/edit?usp=shar"&amp;"ing"",""นครศรีธรรมราช!L236"")+IMPORTRANGE(""https://docs.google.com/spreadsheets/d/1iodCdmuK2GR3jzUwk8tpccY2JHQQA-87DLOtJP-ooyU/edit?usp=sharing"",""นราธิวาส!L236"")+IMPORTRANGE(""https://docs.google.com/spreadsheets/d/1SDNX3JhDdYRuIOsj0Wh2M-Qa_eaXl0NbWmh"&amp;"AOTbfQAs/edit?usp=sharing"",""ปัตตานี!L236"")+IMPORTRANGE(""https://docs.google.com/spreadsheets/d/16JDLGguT8s5DsGCND1KcwHP_AWR_zDMTqLHPLJUKhaU/edit?usp=sharing"",""พังงา!L236"")+IMPORTRANGE(""https://docs.google.com/spreadsheets/d/17ht0gPKzzT3PObBL1XJkeR"&amp;"mntBXI7wGjpLV7QorqlTk/edit?usp=sharing"",""พัทลุง!L236"")+IMPORTRANGE(""https://docs.google.com/spreadsheets/d/1rd4qoM1q_hsgaolqNGfrim9gbsoLxQsda4-vOz5x_BM/edit?usp=sharing"",""ภูเก็ต!L236"")+IMPORTRANGE(""https://docs.google.com/spreadsheets/d/1woKwKjgoL"&amp;"ssDvPcPeVyezB5izizAn4X1JDrys69n6xI/edit?usp=sharing"",""ยะลา!L236"")+IMPORTRANGE(""https://docs.google.com/spreadsheets/d/1qfrKjzMhm2HJfxQ-qVlJlJQ25Hne1d0khsySbZyGtPA/edit?usp=sharing"",""ระนอง!L236"")+IMPORTRANGE(""https://docs.google.com/spreadsheets/d/"&amp;"1IbSCnFOKpZsnFogBHJnL_isstZVaOMnFiIN0fGTPZZw/edit?usp=sharing"",""สงขลา!L236"")+IMPORTRANGE(""https://docs.google.com/spreadsheets/d/1q9nWasZJ-K8bFGvbE9n0qSRuKGA4Toe3Y89cKCiVtCU/edit?usp=sharing"",""สตูล!L236"")+IMPORTRANGE(""https://docs.google.com/sprea"&amp;"dsheets/d/18T20gbkS_WBjdscyTOV05cvq_JqvqQ17C81mpxf7Ncs/edit?usp=sharing"",""สุราษฎร์ธานี!L236"")"),140000)</f>
        <v>140000</v>
      </c>
      <c r="M236" s="47">
        <f ca="1">IFERROR(__xludf.DUMMYFUNCTION("IMPORTRANGE(""https://docs.google.com/spreadsheets/d/1kKUcYdkIfrgTSj8iHHHB2MD2FAtwyyocFgqGQn6ADyI/edit?usp=sharing"",""กระบี่!M236"")+IMPORTRANGE(""https://docs.google.com/spreadsheets/d/1GwtLaSlNZkLk7iDqcyZz22giiy40b_usZZBXYciEN1U/edit?usp=sharing"",""ชุ"&amp;"มพร!M236"")+IMPORTRANGE(""https://docs.google.com/spreadsheets/d/16pAz3pOhQEZBhvFNMa5KGgZS6iKWpsKX0pg6tQmwFpo/edit?usp=sharing"",""ตรัง!M236"")+IMPORTRANGE(""https://docs.google.com/spreadsheets/d/1Dj4jcHCTV9JXKCaMoheSXS52JE63kDKyG7bPXnFogHk/edit?usp=shar"&amp;"ing"",""นครศรีธรรมราช!M236"")+IMPORTRANGE(""https://docs.google.com/spreadsheets/d/1iodCdmuK2GR3jzUwk8tpccY2JHQQA-87DLOtJP-ooyU/edit?usp=sharing"",""นราธิวาส!M236"")+IMPORTRANGE(""https://docs.google.com/spreadsheets/d/1SDNX3JhDdYRuIOsj0Wh2M-Qa_eaXl0NbWmh"&amp;"AOTbfQAs/edit?usp=sharing"",""ปัตตานี!M236"")+IMPORTRANGE(""https://docs.google.com/spreadsheets/d/16JDLGguT8s5DsGCND1KcwHP_AWR_zDMTqLHPLJUKhaU/edit?usp=sharing"",""พังงา!M236"")+IMPORTRANGE(""https://docs.google.com/spreadsheets/d/17ht0gPKzzT3PObBL1XJkeR"&amp;"mntBXI7wGjpLV7QorqlTk/edit?usp=sharing"",""พัทลุง!M236"")+IMPORTRANGE(""https://docs.google.com/spreadsheets/d/1rd4qoM1q_hsgaolqNGfrim9gbsoLxQsda4-vOz5x_BM/edit?usp=sharing"",""ภูเก็ต!M236"")+IMPORTRANGE(""https://docs.google.com/spreadsheets/d/1woKwKjgoL"&amp;"ssDvPcPeVyezB5izizAn4X1JDrys69n6xI/edit?usp=sharing"",""ยะลา!M236"")+IMPORTRANGE(""https://docs.google.com/spreadsheets/d/1qfrKjzMhm2HJfxQ-qVlJlJQ25Hne1d0khsySbZyGtPA/edit?usp=sharing"",""ระนอง!M236"")+IMPORTRANGE(""https://docs.google.com/spreadsheets/d/"&amp;"1IbSCnFOKpZsnFogBHJnL_isstZVaOMnFiIN0fGTPZZw/edit?usp=sharing"",""สงขลา!M236"")+IMPORTRANGE(""https://docs.google.com/spreadsheets/d/1q9nWasZJ-K8bFGvbE9n0qSRuKGA4Toe3Y89cKCiVtCU/edit?usp=sharing"",""สตูล!M236"")+IMPORTRANGE(""https://docs.google.com/sprea"&amp;"dsheets/d/18T20gbkS_WBjdscyTOV05cvq_JqvqQ17C81mpxf7Ncs/edit?usp=sharing"",""สุราษฎร์ธานี!M236"")"),0)</f>
        <v>0</v>
      </c>
      <c r="N236" s="47">
        <f ca="1">IFERROR(__xludf.DUMMYFUNCTION("IMPORTRANGE(""https://docs.google.com/spreadsheets/d/1kKUcYdkIfrgTSj8iHHHB2MD2FAtwyyocFgqGQn6ADyI/edit?usp=sharing"",""กระบี่!N236"")+IMPORTRANGE(""https://docs.google.com/spreadsheets/d/1GwtLaSlNZkLk7iDqcyZz22giiy40b_usZZBXYciEN1U/edit?usp=sharing"",""ชุ"&amp;"มพร!N236"")+IMPORTRANGE(""https://docs.google.com/spreadsheets/d/16pAz3pOhQEZBhvFNMa5KGgZS6iKWpsKX0pg6tQmwFpo/edit?usp=sharing"",""ตรัง!N236"")+IMPORTRANGE(""https://docs.google.com/spreadsheets/d/1Dj4jcHCTV9JXKCaMoheSXS52JE63kDKyG7bPXnFogHk/edit?usp=shar"&amp;"ing"",""นครศรีธรรมราช!N236"")+IMPORTRANGE(""https://docs.google.com/spreadsheets/d/1iodCdmuK2GR3jzUwk8tpccY2JHQQA-87DLOtJP-ooyU/edit?usp=sharing"",""นราธิวาส!N236"")+IMPORTRANGE(""https://docs.google.com/spreadsheets/d/1SDNX3JhDdYRuIOsj0Wh2M-Qa_eaXl0NbWmh"&amp;"AOTbfQAs/edit?usp=sharing"",""ปัตตานี!N236"")+IMPORTRANGE(""https://docs.google.com/spreadsheets/d/16JDLGguT8s5DsGCND1KcwHP_AWR_zDMTqLHPLJUKhaU/edit?usp=sharing"",""พังงา!N236"")+IMPORTRANGE(""https://docs.google.com/spreadsheets/d/17ht0gPKzzT3PObBL1XJkeR"&amp;"mntBXI7wGjpLV7QorqlTk/edit?usp=sharing"",""พัทลุง!N236"")+IMPORTRANGE(""https://docs.google.com/spreadsheets/d/1rd4qoM1q_hsgaolqNGfrim9gbsoLxQsda4-vOz5x_BM/edit?usp=sharing"",""ภูเก็ต!N236"")+IMPORTRANGE(""https://docs.google.com/spreadsheets/d/1woKwKjgoL"&amp;"ssDvPcPeVyezB5izizAn4X1JDrys69n6xI/edit?usp=sharing"",""ยะลา!N236"")+IMPORTRANGE(""https://docs.google.com/spreadsheets/d/1qfrKjzMhm2HJfxQ-qVlJlJQ25Hne1d0khsySbZyGtPA/edit?usp=sharing"",""ระนอง!N236"")+IMPORTRANGE(""https://docs.google.com/spreadsheets/d/"&amp;"1IbSCnFOKpZsnFogBHJnL_isstZVaOMnFiIN0fGTPZZw/edit?usp=sharing"",""สงขลา!N236"")+IMPORTRANGE(""https://docs.google.com/spreadsheets/d/1q9nWasZJ-K8bFGvbE9n0qSRuKGA4Toe3Y89cKCiVtCU/edit?usp=sharing"",""สตูล!N236"")+IMPORTRANGE(""https://docs.google.com/sprea"&amp;"dsheets/d/18T20gbkS_WBjdscyTOV05cvq_JqvqQ17C81mpxf7Ncs/edit?usp=sharing"",""สุราษฎร์ธานี!N236"")"),42695)</f>
        <v>42695</v>
      </c>
      <c r="O236" s="46"/>
      <c r="P236" s="46"/>
      <c r="Q236" s="47">
        <f ca="1">IFERROR(__xludf.DUMMYFUNCTION("IMPORTRANGE(""https://docs.google.com/spreadsheets/d/1kKUcYdkIfrgTSj8iHHHB2MD2FAtwyyocFgqGQn6ADyI/edit?usp=sharing"",""กระบี่!Q236"")+IMPORTRANGE(""https://docs.google.com/spreadsheets/d/1GwtLaSlNZkLk7iDqcyZz22giiy40b_usZZBXYciEN1U/edit?usp=sharing"",""ชุ"&amp;"มพร!Q236"")+IMPORTRANGE(""https://docs.google.com/spreadsheets/d/16pAz3pOhQEZBhvFNMa5KGgZS6iKWpsKX0pg6tQmwFpo/edit?usp=sharing"",""ตรัง!Q236"")+IMPORTRANGE(""https://docs.google.com/spreadsheets/d/1Dj4jcHCTV9JXKCaMoheSXS52JE63kDKyG7bPXnFogHk/edit?usp=shar"&amp;"ing"",""นครศรีธรรมราช!Q236"")+IMPORTRANGE(""https://docs.google.com/spreadsheets/d/1iodCdmuK2GR3jzUwk8tpccY2JHQQA-87DLOtJP-ooyU/edit?usp=sharing"",""นราธิวาส!Q236"")+IMPORTRANGE(""https://docs.google.com/spreadsheets/d/1SDNX3JhDdYRuIOsj0Wh2M-Qa_eaXl0NbWmh"&amp;"AOTbfQAs/edit?usp=sharing"",""ปัตตานี!Q236"")+IMPORTRANGE(""https://docs.google.com/spreadsheets/d/16JDLGguT8s5DsGCND1KcwHP_AWR_zDMTqLHPLJUKhaU/edit?usp=sharing"",""พังงา!Q236"")+IMPORTRANGE(""https://docs.google.com/spreadsheets/d/17ht0gPKzzT3PObBL1XJkeR"&amp;"mntBXI7wGjpLV7QorqlTk/edit?usp=sharing"",""พัทลุง!Q236"")+IMPORTRANGE(""https://docs.google.com/spreadsheets/d/1rd4qoM1q_hsgaolqNGfrim9gbsoLxQsda4-vOz5x_BM/edit?usp=sharing"",""ภูเก็ต!Q236"")+IMPORTRANGE(""https://docs.google.com/spreadsheets/d/1woKwKjgoL"&amp;"ssDvPcPeVyezB5izizAn4X1JDrys69n6xI/edit?usp=sharing"",""ยะลา!Q236"")+IMPORTRANGE(""https://docs.google.com/spreadsheets/d/1qfrKjzMhm2HJfxQ-qVlJlJQ25Hne1d0khsySbZyGtPA/edit?usp=sharing"",""ระนอง!Q236"")+IMPORTRANGE(""https://docs.google.com/spreadsheets/d/"&amp;"1IbSCnFOKpZsnFogBHJnL_isstZVaOMnFiIN0fGTPZZw/edit?usp=sharing"",""สงขลา!Q236"")+IMPORTRANGE(""https://docs.google.com/spreadsheets/d/1q9nWasZJ-K8bFGvbE9n0qSRuKGA4Toe3Y89cKCiVtCU/edit?usp=sharing"",""สตูล!Q236"")+IMPORTRANGE(""https://docs.google.com/sprea"&amp;"dsheets/d/18T20gbkS_WBjdscyTOV05cvq_JqvqQ17C81mpxf7Ncs/edit?usp=sharing"",""สุราษฎร์ธานี!Q236"")"),0)</f>
        <v>0</v>
      </c>
      <c r="R236" s="47">
        <f ca="1">IFERROR(__xludf.DUMMYFUNCTION("IMPORTRANGE(""https://docs.google.com/spreadsheets/d/1kKUcYdkIfrgTSj8iHHHB2MD2FAtwyyocFgqGQn6ADyI/edit?usp=sharing"",""กระบี่!R236"")+IMPORTRANGE(""https://docs.google.com/spreadsheets/d/1GwtLaSlNZkLk7iDqcyZz22giiy40b_usZZBXYciEN1U/edit?usp=sharing"",""ชุ"&amp;"มพร!R236"")+IMPORTRANGE(""https://docs.google.com/spreadsheets/d/16pAz3pOhQEZBhvFNMa5KGgZS6iKWpsKX0pg6tQmwFpo/edit?usp=sharing"",""ตรัง!R236"")+IMPORTRANGE(""https://docs.google.com/spreadsheets/d/1Dj4jcHCTV9JXKCaMoheSXS52JE63kDKyG7bPXnFogHk/edit?usp=shar"&amp;"ing"",""นครศรีธรรมราช!R236"")+IMPORTRANGE(""https://docs.google.com/spreadsheets/d/1iodCdmuK2GR3jzUwk8tpccY2JHQQA-87DLOtJP-ooyU/edit?usp=sharing"",""นราธิวาส!R236"")+IMPORTRANGE(""https://docs.google.com/spreadsheets/d/1SDNX3JhDdYRuIOsj0Wh2M-Qa_eaXl0NbWmh"&amp;"AOTbfQAs/edit?usp=sharing"",""ปัตตานี!R236"")+IMPORTRANGE(""https://docs.google.com/spreadsheets/d/16JDLGguT8s5DsGCND1KcwHP_AWR_zDMTqLHPLJUKhaU/edit?usp=sharing"",""พังงา!R236"")+IMPORTRANGE(""https://docs.google.com/spreadsheets/d/17ht0gPKzzT3PObBL1XJkeR"&amp;"mntBXI7wGjpLV7QorqlTk/edit?usp=sharing"",""พัทลุง!R236"")+IMPORTRANGE(""https://docs.google.com/spreadsheets/d/1rd4qoM1q_hsgaolqNGfrim9gbsoLxQsda4-vOz5x_BM/edit?usp=sharing"",""ภูเก็ต!R236"")+IMPORTRANGE(""https://docs.google.com/spreadsheets/d/1woKwKjgoL"&amp;"ssDvPcPeVyezB5izizAn4X1JDrys69n6xI/edit?usp=sharing"",""ยะลา!R236"")+IMPORTRANGE(""https://docs.google.com/spreadsheets/d/1qfrKjzMhm2HJfxQ-qVlJlJQ25Hne1d0khsySbZyGtPA/edit?usp=sharing"",""ระนอง!R236"")+IMPORTRANGE(""https://docs.google.com/spreadsheets/d/"&amp;"1IbSCnFOKpZsnFogBHJnL_isstZVaOMnFiIN0fGTPZZw/edit?usp=sharing"",""สงขลา!R236"")+IMPORTRANGE(""https://docs.google.com/spreadsheets/d/1q9nWasZJ-K8bFGvbE9n0qSRuKGA4Toe3Y89cKCiVtCU/edit?usp=sharing"",""สตูล!R236"")+IMPORTRANGE(""https://docs.google.com/sprea"&amp;"dsheets/d/18T20gbkS_WBjdscyTOV05cvq_JqvqQ17C81mpxf7Ncs/edit?usp=sharing"",""สุราษฎร์ธานี!R236"")"),0)</f>
        <v>0</v>
      </c>
      <c r="S236" s="47">
        <f ca="1">IFERROR(__xludf.DUMMYFUNCTION("IMPORTRANGE(""https://docs.google.com/spreadsheets/d/1kKUcYdkIfrgTSj8iHHHB2MD2FAtwyyocFgqGQn6ADyI/edit?usp=sharing"",""กระบี่!S236"")+IMPORTRANGE(""https://docs.google.com/spreadsheets/d/1GwtLaSlNZkLk7iDqcyZz22giiy40b_usZZBXYciEN1U/edit?usp=sharing"",""ชุ"&amp;"มพร!S236"")+IMPORTRANGE(""https://docs.google.com/spreadsheets/d/16pAz3pOhQEZBhvFNMa5KGgZS6iKWpsKX0pg6tQmwFpo/edit?usp=sharing"",""ตรัง!S236"")+IMPORTRANGE(""https://docs.google.com/spreadsheets/d/1Dj4jcHCTV9JXKCaMoheSXS52JE63kDKyG7bPXnFogHk/edit?usp=shar"&amp;"ing"",""นครศรีธรรมราช!S236"")+IMPORTRANGE(""https://docs.google.com/spreadsheets/d/1iodCdmuK2GR3jzUwk8tpccY2JHQQA-87DLOtJP-ooyU/edit?usp=sharing"",""นราธิวาส!S236"")+IMPORTRANGE(""https://docs.google.com/spreadsheets/d/1SDNX3JhDdYRuIOsj0Wh2M-Qa_eaXl0NbWmh"&amp;"AOTbfQAs/edit?usp=sharing"",""ปัตตานี!S236"")+IMPORTRANGE(""https://docs.google.com/spreadsheets/d/16JDLGguT8s5DsGCND1KcwHP_AWR_zDMTqLHPLJUKhaU/edit?usp=sharing"",""พังงา!S236"")+IMPORTRANGE(""https://docs.google.com/spreadsheets/d/17ht0gPKzzT3PObBL1XJkeR"&amp;"mntBXI7wGjpLV7QorqlTk/edit?usp=sharing"",""พัทลุง!S236"")+IMPORTRANGE(""https://docs.google.com/spreadsheets/d/1rd4qoM1q_hsgaolqNGfrim9gbsoLxQsda4-vOz5x_BM/edit?usp=sharing"",""ภูเก็ต!S236"")+IMPORTRANGE(""https://docs.google.com/spreadsheets/d/1woKwKjgoL"&amp;"ssDvPcPeVyezB5izizAn4X1JDrys69n6xI/edit?usp=sharing"",""ยะลา!S236"")+IMPORTRANGE(""https://docs.google.com/spreadsheets/d/1qfrKjzMhm2HJfxQ-qVlJlJQ25Hne1d0khsySbZyGtPA/edit?usp=sharing"",""ระนอง!S236"")+IMPORTRANGE(""https://docs.google.com/spreadsheets/d/"&amp;"1IbSCnFOKpZsnFogBHJnL_isstZVaOMnFiIN0fGTPZZw/edit?usp=sharing"",""สงขลา!S236"")+IMPORTRANGE(""https://docs.google.com/spreadsheets/d/1q9nWasZJ-K8bFGvbE9n0qSRuKGA4Toe3Y89cKCiVtCU/edit?usp=sharing"",""สตูล!S236"")+IMPORTRANGE(""https://docs.google.com/sprea"&amp;"dsheets/d/18T20gbkS_WBjdscyTOV05cvq_JqvqQ17C81mpxf7Ncs/edit?usp=sharing"",""สุราษฎร์ธานี!S236"")"),0)</f>
        <v>0</v>
      </c>
      <c r="T236" s="46"/>
      <c r="U236" s="46"/>
    </row>
    <row r="237" spans="1:21" ht="19.5" x14ac:dyDescent="0.3">
      <c r="A237" s="138"/>
      <c r="B237" s="139"/>
      <c r="C237" s="162" t="s">
        <v>18</v>
      </c>
      <c r="D237" s="140" t="s">
        <v>38</v>
      </c>
      <c r="E237" s="141"/>
      <c r="F237" s="141"/>
      <c r="G237" s="142"/>
      <c r="H237" s="143"/>
      <c r="I237" s="135"/>
      <c r="J237" s="45"/>
      <c r="K237" s="46"/>
      <c r="L237" s="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FERROR(__xludf.DUMMYFUNCTION("IMPORTRANGE(""https://docs.google.com/spreadsheets/d/1kKUcYdkIfrgTSj8iHHHB2MD2FAtwyyocFgqGQn6ADyI/edit?usp=sharing"",""กระบี่!I238"")+IMPORTRANGE(""https://docs.google.com/spreadsheets/d/1GwtLaSlNZkLk7iDqcyZz22giiy40b_usZZBXYciEN1U/edit?usp=sharing"",""ชุ"&amp;"มพร!I238"")+IMPORTRANGE(""https://docs.google.com/spreadsheets/d/16pAz3pOhQEZBhvFNMa5KGgZS6iKWpsKX0pg6tQmwFpo/edit?usp=sharing"",""ตรัง!I238"")+IMPORTRANGE(""https://docs.google.com/spreadsheets/d/1Dj4jcHCTV9JXKCaMoheSXS52JE63kDKyG7bPXnFogHk/edit?usp=shar"&amp;"ing"",""นครศรีธรรมราช!I238"")+IMPORTRANGE(""https://docs.google.com/spreadsheets/d/1iodCdmuK2GR3jzUwk8tpccY2JHQQA-87DLOtJP-ooyU/edit?usp=sharing"",""นราธิวาส!I238"")+IMPORTRANGE(""https://docs.google.com/spreadsheets/d/1SDNX3JhDdYRuIOsj0Wh2M-Qa_eaXl0NbWmh"&amp;"AOTbfQAs/edit?usp=sharing"",""ปัตตานี!I238"")+IMPORTRANGE(""https://docs.google.com/spreadsheets/d/16JDLGguT8s5DsGCND1KcwHP_AWR_zDMTqLHPLJUKhaU/edit?usp=sharing"",""พังงา!I238"")+IMPORTRANGE(""https://docs.google.com/spreadsheets/d/17ht0gPKzzT3PObBL1XJkeR"&amp;"mntBXI7wGjpLV7QorqlTk/edit?usp=sharing"",""พัทลุง!I238"")+IMPORTRANGE(""https://docs.google.com/spreadsheets/d/1rd4qoM1q_hsgaolqNGfrim9gbsoLxQsda4-vOz5x_BM/edit?usp=sharing"",""ภูเก็ต!I238"")+IMPORTRANGE(""https://docs.google.com/spreadsheets/d/1woKwKjgoL"&amp;"ssDvPcPeVyezB5izizAn4X1JDrys69n6xI/edit?usp=sharing"",""ยะลา!I238"")+IMPORTRANGE(""https://docs.google.com/spreadsheets/d/1qfrKjzMhm2HJfxQ-qVlJlJQ25Hne1d0khsySbZyGtPA/edit?usp=sharing"",""ระนอง!I238"")+IMPORTRANGE(""https://docs.google.com/spreadsheets/d/"&amp;"1IbSCnFOKpZsnFogBHJnL_isstZVaOMnFiIN0fGTPZZw/edit?usp=sharing"",""สงขลา!I238"")+IMPORTRANGE(""https://docs.google.com/spreadsheets/d/1q9nWasZJ-K8bFGvbE9n0qSRuKGA4Toe3Y89cKCiVtCU/edit?usp=sharing"",""สตูล!I238"")+IMPORTRANGE(""https://docs.google.com/sprea"&amp;"dsheets/d/18T20gbkS_WBjdscyTOV05cvq_JqvqQ17C81mpxf7Ncs/edit?usp=sharing"",""สุราษฎร์ธานี!I238"")"),110)</f>
        <v>110</v>
      </c>
      <c r="J238" s="152">
        <f ca="1">IFERROR(__xludf.DUMMYFUNCTION("IMPORTRANGE(""https://docs.google.com/spreadsheets/d/1kKUcYdkIfrgTSj8iHHHB2MD2FAtwyyocFgqGQn6ADyI/edit?usp=sharing"",""กระบี่!J238"")+IMPORTRANGE(""https://docs.google.com/spreadsheets/d/1GwtLaSlNZkLk7iDqcyZz22giiy40b_usZZBXYciEN1U/edit?usp=sharing"",""ชุ"&amp;"มพร!J238"")+IMPORTRANGE(""https://docs.google.com/spreadsheets/d/16pAz3pOhQEZBhvFNMa5KGgZS6iKWpsKX0pg6tQmwFpo/edit?usp=sharing"",""ตรัง!J238"")+IMPORTRANGE(""https://docs.google.com/spreadsheets/d/1Dj4jcHCTV9JXKCaMoheSXS52JE63kDKyG7bPXnFogHk/edit?usp=shar"&amp;"ing"",""นครศรีธรรมราช!J238"")+IMPORTRANGE(""https://docs.google.com/spreadsheets/d/1iodCdmuK2GR3jzUwk8tpccY2JHQQA-87DLOtJP-ooyU/edit?usp=sharing"",""นราธิวาส!J238"")+IMPORTRANGE(""https://docs.google.com/spreadsheets/d/1SDNX3JhDdYRuIOsj0Wh2M-Qa_eaXl0NbWmh"&amp;"AOTbfQAs/edit?usp=sharing"",""ปัตตานี!J238"")+IMPORTRANGE(""https://docs.google.com/spreadsheets/d/16JDLGguT8s5DsGCND1KcwHP_AWR_zDMTqLHPLJUKhaU/edit?usp=sharing"",""พังงา!J238"")+IMPORTRANGE(""https://docs.google.com/spreadsheets/d/17ht0gPKzzT3PObBL1XJkeR"&amp;"mntBXI7wGjpLV7QorqlTk/edit?usp=sharing"",""พัทลุง!J238"")+IMPORTRANGE(""https://docs.google.com/spreadsheets/d/1rd4qoM1q_hsgaolqNGfrim9gbsoLxQsda4-vOz5x_BM/edit?usp=sharing"",""ภูเก็ต!J238"")+IMPORTRANGE(""https://docs.google.com/spreadsheets/d/1woKwKjgoL"&amp;"ssDvPcPeVyezB5izizAn4X1JDrys69n6xI/edit?usp=sharing"",""ยะลา!J238"")+IMPORTRANGE(""https://docs.google.com/spreadsheets/d/1qfrKjzMhm2HJfxQ-qVlJlJQ25Hne1d0khsySbZyGtPA/edit?usp=sharing"",""ระนอง!J238"")+IMPORTRANGE(""https://docs.google.com/spreadsheets/d/"&amp;"1IbSCnFOKpZsnFogBHJnL_isstZVaOMnFiIN0fGTPZZw/edit?usp=sharing"",""สงขลา!J238"")+IMPORTRANGE(""https://docs.google.com/spreadsheets/d/1q9nWasZJ-K8bFGvbE9n0qSRuKGA4Toe3Y89cKCiVtCU/edit?usp=sharing"",""สตูล!J238"")+IMPORTRANGE(""https://docs.google.com/sprea"&amp;"dsheets/d/18T20gbkS_WBjdscyTOV05cvq_JqvqQ17C81mpxf7Ncs/edit?usp=sharing"",""สุราษฎร์ธานี!J238"")"),43)</f>
        <v>43</v>
      </c>
      <c r="K238" s="47">
        <f ca="1">IF(I238&gt;0,J238*100/I238,0)</f>
        <v>39.090909090909093</v>
      </c>
      <c r="L238" s="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v>0</v>
      </c>
      <c r="J240" s="152">
        <f ca="1">IFERROR(__xludf.DUMMYFUNCTION("IMPORTRANGE(""https://docs.google.com/spreadsheets/d/1kKUcYdkIfrgTSj8iHHHB2MD2FAtwyyocFgqGQn6ADyI/edit?usp=sharing"",""กระบี่!J240"")+IMPORTRANGE(""https://docs.google.com/spreadsheets/d/1GwtLaSlNZkLk7iDqcyZz22giiy40b_usZZBXYciEN1U/edit?usp=sharing"",""ชุ"&amp;"มพร!J240"")+IMPORTRANGE(""https://docs.google.com/spreadsheets/d/16pAz3pOhQEZBhvFNMa5KGgZS6iKWpsKX0pg6tQmwFpo/edit?usp=sharing"",""ตรัง!J240"")+IMPORTRANGE(""https://docs.google.com/spreadsheets/d/1Dj4jcHCTV9JXKCaMoheSXS52JE63kDKyG7bPXnFogHk/edit?usp=shar"&amp;"ing"",""นครศรีธรรมราช!J240"")+IMPORTRANGE(""https://docs.google.com/spreadsheets/d/1iodCdmuK2GR3jzUwk8tpccY2JHQQA-87DLOtJP-ooyU/edit?usp=sharing"",""นราธิวาส!J240"")+IMPORTRANGE(""https://docs.google.com/spreadsheets/d/1SDNX3JhDdYRuIOsj0Wh2M-Qa_eaXl0NbWmh"&amp;"AOTbfQAs/edit?usp=sharing"",""ปัตตานี!J240"")+IMPORTRANGE(""https://docs.google.com/spreadsheets/d/16JDLGguT8s5DsGCND1KcwHP_AWR_zDMTqLHPLJUKhaU/edit?usp=sharing"",""พังงา!J240"")+IMPORTRANGE(""https://docs.google.com/spreadsheets/d/17ht0gPKzzT3PObBL1XJkeR"&amp;"mntBXI7wGjpLV7QorqlTk/edit?usp=sharing"",""พัทลุง!J240"")+IMPORTRANGE(""https://docs.google.com/spreadsheets/d/1rd4qoM1q_hsgaolqNGfrim9gbsoLxQsda4-vOz5x_BM/edit?usp=sharing"",""ภูเก็ต!J240"")+IMPORTRANGE(""https://docs.google.com/spreadsheets/d/1woKwKjgoL"&amp;"ssDvPcPeVyezB5izizAn4X1JDrys69n6xI/edit?usp=sharing"",""ยะลา!J240"")+IMPORTRANGE(""https://docs.google.com/spreadsheets/d/1qfrKjzMhm2HJfxQ-qVlJlJQ25Hne1d0khsySbZyGtPA/edit?usp=sharing"",""ระนอง!J240"")+IMPORTRANGE(""https://docs.google.com/spreadsheets/d/"&amp;"1IbSCnFOKpZsnFogBHJnL_isstZVaOMnFiIN0fGTPZZw/edit?usp=sharing"",""สงขลา!J240"")+IMPORTRANGE(""https://docs.google.com/spreadsheets/d/1q9nWasZJ-K8bFGvbE9n0qSRuKGA4Toe3Y89cKCiVtCU/edit?usp=sharing"",""สตูล!J240"")+IMPORTRANGE(""https://docs.google.com/sprea"&amp;"dsheets/d/18T20gbkS_WBjdscyTOV05cvq_JqvqQ17C81mpxf7Ncs/edit?usp=sharing"",""สุราษฎร์ธานี!J240"")"),23)</f>
        <v>23</v>
      </c>
      <c r="K240" s="47">
        <f t="shared" ref="K240:K241" si="187">IF(I240&gt;0,J240*100/I240,0)</f>
        <v>0</v>
      </c>
      <c r="L240" s="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v>0</v>
      </c>
      <c r="J241" s="152">
        <f ca="1">IFERROR(__xludf.DUMMYFUNCTION("IMPORTRANGE(""https://docs.google.com/spreadsheets/d/1kKUcYdkIfrgTSj8iHHHB2MD2FAtwyyocFgqGQn6ADyI/edit?usp=sharing"",""กระบี่!J241"")+IMPORTRANGE(""https://docs.google.com/spreadsheets/d/1GwtLaSlNZkLk7iDqcyZz22giiy40b_usZZBXYciEN1U/edit?usp=sharing"",""ชุ"&amp;"มพร!J241"")+IMPORTRANGE(""https://docs.google.com/spreadsheets/d/16pAz3pOhQEZBhvFNMa5KGgZS6iKWpsKX0pg6tQmwFpo/edit?usp=sharing"",""ตรัง!J241"")+IMPORTRANGE(""https://docs.google.com/spreadsheets/d/1Dj4jcHCTV9JXKCaMoheSXS52JE63kDKyG7bPXnFogHk/edit?usp=shar"&amp;"ing"",""นครศรีธรรมราช!J241"")+IMPORTRANGE(""https://docs.google.com/spreadsheets/d/1iodCdmuK2GR3jzUwk8tpccY2JHQQA-87DLOtJP-ooyU/edit?usp=sharing"",""นราธิวาส!J241"")+IMPORTRANGE(""https://docs.google.com/spreadsheets/d/1SDNX3JhDdYRuIOsj0Wh2M-Qa_eaXl0NbWmh"&amp;"AOTbfQAs/edit?usp=sharing"",""ปัตตานี!J241"")+IMPORTRANGE(""https://docs.google.com/spreadsheets/d/16JDLGguT8s5DsGCND1KcwHP_AWR_zDMTqLHPLJUKhaU/edit?usp=sharing"",""พังงา!J241"")+IMPORTRANGE(""https://docs.google.com/spreadsheets/d/17ht0gPKzzT3PObBL1XJkeR"&amp;"mntBXI7wGjpLV7QorqlTk/edit?usp=sharing"",""พัทลุง!J241"")+IMPORTRANGE(""https://docs.google.com/spreadsheets/d/1rd4qoM1q_hsgaolqNGfrim9gbsoLxQsda4-vOz5x_BM/edit?usp=sharing"",""ภูเก็ต!J241"")+IMPORTRANGE(""https://docs.google.com/spreadsheets/d/1woKwKjgoL"&amp;"ssDvPcPeVyezB5izizAn4X1JDrys69n6xI/edit?usp=sharing"",""ยะลา!J241"")+IMPORTRANGE(""https://docs.google.com/spreadsheets/d/1qfrKjzMhm2HJfxQ-qVlJlJQ25Hne1d0khsySbZyGtPA/edit?usp=sharing"",""ระนอง!J241"")+IMPORTRANGE(""https://docs.google.com/spreadsheets/d/"&amp;"1IbSCnFOKpZsnFogBHJnL_isstZVaOMnFiIN0fGTPZZw/edit?usp=sharing"",""สงขลา!J241"")+IMPORTRANGE(""https://docs.google.com/spreadsheets/d/1q9nWasZJ-K8bFGvbE9n0qSRuKGA4Toe3Y89cKCiVtCU/edit?usp=sharing"",""สตูล!J241"")+IMPORTRANGE(""https://docs.google.com/sprea"&amp;"dsheets/d/18T20gbkS_WBjdscyTOV05cvq_JqvqQ17C81mpxf7Ncs/edit?usp=sharing"",""สุราษฎร์ธานี!J241"")"),6)</f>
        <v>6</v>
      </c>
      <c r="K241" s="47">
        <f t="shared" si="187"/>
        <v>0</v>
      </c>
      <c r="L241" s="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41"/>
      <c r="B242" s="242"/>
      <c r="C242" s="249" t="s">
        <v>111</v>
      </c>
      <c r="D242" s="243"/>
      <c r="E242" s="243"/>
      <c r="F242" s="243"/>
      <c r="G242" s="244"/>
      <c r="H242" s="250" t="s">
        <v>35</v>
      </c>
      <c r="I242" s="246"/>
      <c r="J242" s="246"/>
      <c r="K242" s="247"/>
      <c r="L242" s="247"/>
      <c r="M242" s="247"/>
      <c r="N242" s="247"/>
      <c r="O242" s="247"/>
      <c r="P242" s="247"/>
      <c r="Q242" s="247"/>
      <c r="R242" s="247"/>
      <c r="S242" s="247"/>
      <c r="T242" s="230"/>
      <c r="U242" s="230"/>
    </row>
    <row r="243" spans="1:21" ht="19.5" hidden="1" x14ac:dyDescent="0.3">
      <c r="A243" s="251"/>
      <c r="B243" s="243"/>
      <c r="C243" s="249" t="s">
        <v>18</v>
      </c>
      <c r="D243" s="252" t="s">
        <v>19</v>
      </c>
      <c r="E243" s="243"/>
      <c r="F243" s="243"/>
      <c r="G243" s="244"/>
      <c r="H243" s="253" t="s">
        <v>14</v>
      </c>
      <c r="I243" s="246"/>
      <c r="J243" s="246"/>
      <c r="K243" s="247"/>
      <c r="L243" s="247"/>
      <c r="M243" s="247"/>
      <c r="N243" s="247"/>
      <c r="O243" s="247"/>
      <c r="P243" s="247"/>
      <c r="Q243" s="247"/>
      <c r="R243" s="247"/>
      <c r="S243" s="247"/>
      <c r="T243" s="46"/>
      <c r="U243" s="46"/>
    </row>
    <row r="244" spans="1:21" ht="18.75" hidden="1" x14ac:dyDescent="0.25">
      <c r="A244" s="251"/>
      <c r="B244" s="242"/>
      <c r="C244" s="243"/>
      <c r="D244" s="254" t="s">
        <v>86</v>
      </c>
      <c r="E244" s="243"/>
      <c r="F244" s="243"/>
      <c r="G244" s="244"/>
      <c r="H244" s="255" t="s">
        <v>14</v>
      </c>
      <c r="I244" s="246"/>
      <c r="J244" s="246"/>
      <c r="K244" s="247"/>
      <c r="L244" s="247"/>
      <c r="M244" s="247"/>
      <c r="N244" s="247"/>
      <c r="O244" s="247"/>
      <c r="P244" s="247"/>
      <c r="Q244" s="247"/>
      <c r="R244" s="247"/>
      <c r="S244" s="247"/>
      <c r="T244" s="46"/>
      <c r="U244" s="46"/>
    </row>
    <row r="245" spans="1:21" ht="18.75" hidden="1" x14ac:dyDescent="0.25">
      <c r="A245" s="241"/>
      <c r="B245" s="242"/>
      <c r="C245" s="242"/>
      <c r="D245" s="254" t="s">
        <v>88</v>
      </c>
      <c r="E245" s="243"/>
      <c r="F245" s="243"/>
      <c r="G245" s="244"/>
      <c r="H245" s="255" t="s">
        <v>14</v>
      </c>
      <c r="I245" s="246"/>
      <c r="J245" s="246"/>
      <c r="K245" s="247"/>
      <c r="L245" s="247"/>
      <c r="M245" s="247"/>
      <c r="N245" s="247"/>
      <c r="O245" s="247"/>
      <c r="P245" s="247"/>
      <c r="Q245" s="247"/>
      <c r="R245" s="247"/>
      <c r="S245" s="247"/>
      <c r="T245" s="46"/>
      <c r="U245" s="46"/>
    </row>
    <row r="246" spans="1:21" ht="18.75" hidden="1" x14ac:dyDescent="0.25">
      <c r="A246" s="241"/>
      <c r="B246" s="242"/>
      <c r="C246" s="242"/>
      <c r="D246" s="254" t="s">
        <v>106</v>
      </c>
      <c r="E246" s="243"/>
      <c r="F246" s="243"/>
      <c r="G246" s="244"/>
      <c r="H246" s="255" t="s">
        <v>14</v>
      </c>
      <c r="I246" s="246"/>
      <c r="J246" s="246"/>
      <c r="K246" s="247"/>
      <c r="L246" s="247"/>
      <c r="M246" s="247"/>
      <c r="N246" s="247"/>
      <c r="O246" s="247"/>
      <c r="P246" s="247"/>
      <c r="Q246" s="247"/>
      <c r="R246" s="247"/>
      <c r="S246" s="247"/>
      <c r="T246" s="46"/>
      <c r="U246" s="46"/>
    </row>
    <row r="247" spans="1:21" ht="18.75" hidden="1" x14ac:dyDescent="0.25">
      <c r="A247" s="241"/>
      <c r="B247" s="242"/>
      <c r="C247" s="242"/>
      <c r="D247" s="254" t="s">
        <v>107</v>
      </c>
      <c r="E247" s="243"/>
      <c r="F247" s="243"/>
      <c r="G247" s="244"/>
      <c r="H247" s="255" t="s">
        <v>14</v>
      </c>
      <c r="I247" s="246"/>
      <c r="J247" s="246"/>
      <c r="K247" s="247"/>
      <c r="L247" s="247"/>
      <c r="M247" s="247"/>
      <c r="N247" s="247"/>
      <c r="O247" s="247"/>
      <c r="P247" s="247"/>
      <c r="Q247" s="247"/>
      <c r="R247" s="247"/>
      <c r="S247" s="247"/>
      <c r="T247" s="46"/>
      <c r="U247" s="46"/>
    </row>
    <row r="248" spans="1:21" ht="19.5" hidden="1" x14ac:dyDescent="0.3">
      <c r="A248" s="241"/>
      <c r="B248" s="242"/>
      <c r="C248" s="256" t="s">
        <v>18</v>
      </c>
      <c r="D248" s="257" t="s">
        <v>38</v>
      </c>
      <c r="E248" s="243"/>
      <c r="F248" s="243"/>
      <c r="G248" s="244"/>
      <c r="H248" s="244"/>
      <c r="I248" s="246"/>
      <c r="J248" s="246"/>
      <c r="K248" s="247"/>
      <c r="L248" s="247"/>
      <c r="M248" s="247"/>
      <c r="N248" s="247"/>
      <c r="O248" s="247"/>
      <c r="P248" s="247"/>
      <c r="Q248" s="247"/>
      <c r="R248" s="247"/>
      <c r="S248" s="247"/>
      <c r="T248" s="136"/>
      <c r="U248" s="136"/>
    </row>
    <row r="249" spans="1:21" ht="18.75" hidden="1" x14ac:dyDescent="0.25">
      <c r="A249" s="241"/>
      <c r="B249" s="242"/>
      <c r="C249" s="242"/>
      <c r="D249" s="254" t="s">
        <v>108</v>
      </c>
      <c r="E249" s="243"/>
      <c r="F249" s="243"/>
      <c r="G249" s="244"/>
      <c r="H249" s="258" t="s">
        <v>35</v>
      </c>
      <c r="I249" s="246"/>
      <c r="J249" s="246"/>
      <c r="K249" s="247"/>
      <c r="L249" s="247"/>
      <c r="M249" s="247"/>
      <c r="N249" s="247"/>
      <c r="O249" s="247"/>
      <c r="P249" s="247"/>
      <c r="Q249" s="247"/>
      <c r="R249" s="247"/>
      <c r="S249" s="247"/>
      <c r="T249" s="46"/>
      <c r="U249" s="46"/>
    </row>
    <row r="250" spans="1:21" ht="18.75" hidden="1" x14ac:dyDescent="0.25">
      <c r="A250" s="241"/>
      <c r="B250" s="242"/>
      <c r="C250" s="242"/>
      <c r="D250" s="259" t="s">
        <v>43</v>
      </c>
      <c r="E250" s="243"/>
      <c r="F250" s="243"/>
      <c r="G250" s="244"/>
      <c r="H250" s="244"/>
      <c r="I250" s="246"/>
      <c r="J250" s="246"/>
      <c r="K250" s="247"/>
      <c r="L250" s="247"/>
      <c r="M250" s="247"/>
      <c r="N250" s="247"/>
      <c r="O250" s="247"/>
      <c r="P250" s="247"/>
      <c r="Q250" s="247"/>
      <c r="R250" s="247"/>
      <c r="S250" s="247"/>
      <c r="T250" s="136"/>
      <c r="U250" s="136"/>
    </row>
    <row r="251" spans="1:21" ht="18.75" hidden="1" x14ac:dyDescent="0.25">
      <c r="A251" s="241"/>
      <c r="B251" s="242"/>
      <c r="C251" s="242"/>
      <c r="D251" s="242"/>
      <c r="E251" s="260" t="s">
        <v>109</v>
      </c>
      <c r="F251" s="243"/>
      <c r="G251" s="244"/>
      <c r="H251" s="258" t="s">
        <v>35</v>
      </c>
      <c r="I251" s="246"/>
      <c r="J251" s="246"/>
      <c r="K251" s="247"/>
      <c r="L251" s="247"/>
      <c r="M251" s="247"/>
      <c r="N251" s="247"/>
      <c r="O251" s="247"/>
      <c r="P251" s="247"/>
      <c r="Q251" s="247"/>
      <c r="R251" s="247"/>
      <c r="S251" s="247"/>
      <c r="T251" s="46"/>
      <c r="U251" s="46"/>
    </row>
    <row r="252" spans="1:21" ht="18.75" hidden="1" x14ac:dyDescent="0.25">
      <c r="A252" s="241"/>
      <c r="B252" s="242"/>
      <c r="C252" s="242"/>
      <c r="D252" s="242"/>
      <c r="E252" s="260" t="s">
        <v>110</v>
      </c>
      <c r="F252" s="243"/>
      <c r="G252" s="244"/>
      <c r="H252" s="258" t="s">
        <v>61</v>
      </c>
      <c r="I252" s="246"/>
      <c r="J252" s="246"/>
      <c r="K252" s="247"/>
      <c r="L252" s="247"/>
      <c r="M252" s="247"/>
      <c r="N252" s="247"/>
      <c r="O252" s="247"/>
      <c r="P252" s="247"/>
      <c r="Q252" s="247"/>
      <c r="R252" s="247"/>
      <c r="S252" s="247"/>
      <c r="T252" s="46"/>
      <c r="U252" s="46"/>
    </row>
    <row r="253" spans="1:21" ht="19.5" hidden="1" x14ac:dyDescent="0.3">
      <c r="A253" s="241"/>
      <c r="B253" s="242"/>
      <c r="C253" s="249" t="s">
        <v>112</v>
      </c>
      <c r="D253" s="243"/>
      <c r="E253" s="243"/>
      <c r="F253" s="243"/>
      <c r="G253" s="244"/>
      <c r="H253" s="250" t="s">
        <v>35</v>
      </c>
      <c r="I253" s="246"/>
      <c r="J253" s="246"/>
      <c r="K253" s="247"/>
      <c r="L253" s="247"/>
      <c r="M253" s="247"/>
      <c r="N253" s="247"/>
      <c r="O253" s="247"/>
      <c r="P253" s="247"/>
      <c r="Q253" s="247"/>
      <c r="R253" s="247"/>
      <c r="S253" s="247"/>
      <c r="T253" s="230"/>
      <c r="U253" s="230"/>
    </row>
    <row r="254" spans="1:21" ht="19.5" hidden="1" x14ac:dyDescent="0.3">
      <c r="A254" s="251"/>
      <c r="B254" s="243"/>
      <c r="C254" s="249" t="s">
        <v>18</v>
      </c>
      <c r="D254" s="257" t="s">
        <v>19</v>
      </c>
      <c r="E254" s="243"/>
      <c r="F254" s="243"/>
      <c r="G254" s="244"/>
      <c r="H254" s="253" t="s">
        <v>14</v>
      </c>
      <c r="I254" s="246"/>
      <c r="J254" s="246"/>
      <c r="K254" s="247"/>
      <c r="L254" s="247"/>
      <c r="M254" s="247"/>
      <c r="N254" s="247"/>
      <c r="O254" s="247"/>
      <c r="P254" s="247"/>
      <c r="Q254" s="247"/>
      <c r="R254" s="247"/>
      <c r="S254" s="247"/>
      <c r="T254" s="46"/>
      <c r="U254" s="46"/>
    </row>
    <row r="255" spans="1:21" ht="18.75" hidden="1" x14ac:dyDescent="0.25">
      <c r="A255" s="251"/>
      <c r="B255" s="242"/>
      <c r="C255" s="243"/>
      <c r="D255" s="254" t="s">
        <v>86</v>
      </c>
      <c r="E255" s="243"/>
      <c r="F255" s="243"/>
      <c r="G255" s="244"/>
      <c r="H255" s="255" t="s">
        <v>14</v>
      </c>
      <c r="I255" s="246"/>
      <c r="J255" s="246"/>
      <c r="K255" s="247"/>
      <c r="L255" s="247"/>
      <c r="M255" s="247"/>
      <c r="N255" s="247"/>
      <c r="O255" s="247"/>
      <c r="P255" s="247"/>
      <c r="Q255" s="247"/>
      <c r="R255" s="247"/>
      <c r="S255" s="247"/>
      <c r="T255" s="46"/>
      <c r="U255" s="46"/>
    </row>
    <row r="256" spans="1:21" ht="18.75" hidden="1" x14ac:dyDescent="0.25">
      <c r="A256" s="241"/>
      <c r="B256" s="242"/>
      <c r="C256" s="242"/>
      <c r="D256" s="254" t="s">
        <v>88</v>
      </c>
      <c r="E256" s="243"/>
      <c r="F256" s="243"/>
      <c r="G256" s="244"/>
      <c r="H256" s="255" t="s">
        <v>14</v>
      </c>
      <c r="I256" s="246"/>
      <c r="J256" s="246"/>
      <c r="K256" s="247"/>
      <c r="L256" s="247"/>
      <c r="M256" s="247"/>
      <c r="N256" s="247"/>
      <c r="O256" s="247"/>
      <c r="P256" s="247"/>
      <c r="Q256" s="247"/>
      <c r="R256" s="247"/>
      <c r="S256" s="247"/>
      <c r="T256" s="46"/>
      <c r="U256" s="46"/>
    </row>
    <row r="257" spans="1:21" ht="18.75" hidden="1" x14ac:dyDescent="0.25">
      <c r="A257" s="241"/>
      <c r="B257" s="242"/>
      <c r="C257" s="242"/>
      <c r="D257" s="254" t="s">
        <v>106</v>
      </c>
      <c r="E257" s="243"/>
      <c r="F257" s="243"/>
      <c r="G257" s="244"/>
      <c r="H257" s="255" t="s">
        <v>14</v>
      </c>
      <c r="I257" s="246"/>
      <c r="J257" s="246"/>
      <c r="K257" s="247"/>
      <c r="L257" s="247"/>
      <c r="M257" s="247"/>
      <c r="N257" s="247"/>
      <c r="O257" s="247"/>
      <c r="P257" s="247"/>
      <c r="Q257" s="247"/>
      <c r="R257" s="247"/>
      <c r="S257" s="247"/>
      <c r="T257" s="46"/>
      <c r="U257" s="46"/>
    </row>
    <row r="258" spans="1:21" ht="18.75" hidden="1" x14ac:dyDescent="0.25">
      <c r="A258" s="241"/>
      <c r="B258" s="242"/>
      <c r="C258" s="242"/>
      <c r="D258" s="254" t="s">
        <v>107</v>
      </c>
      <c r="E258" s="243"/>
      <c r="F258" s="243"/>
      <c r="G258" s="244"/>
      <c r="H258" s="255" t="s">
        <v>14</v>
      </c>
      <c r="I258" s="246"/>
      <c r="J258" s="246"/>
      <c r="K258" s="247"/>
      <c r="L258" s="247"/>
      <c r="M258" s="247"/>
      <c r="N258" s="247"/>
      <c r="O258" s="247"/>
      <c r="P258" s="247"/>
      <c r="Q258" s="247"/>
      <c r="R258" s="247"/>
      <c r="S258" s="247"/>
      <c r="T258" s="46"/>
      <c r="U258" s="46"/>
    </row>
    <row r="259" spans="1:21" ht="19.5" hidden="1" x14ac:dyDescent="0.3">
      <c r="A259" s="241"/>
      <c r="B259" s="242"/>
      <c r="C259" s="256" t="s">
        <v>18</v>
      </c>
      <c r="D259" s="257" t="s">
        <v>38</v>
      </c>
      <c r="E259" s="243"/>
      <c r="F259" s="243"/>
      <c r="G259" s="244"/>
      <c r="H259" s="244"/>
      <c r="I259" s="246"/>
      <c r="J259" s="246"/>
      <c r="K259" s="247"/>
      <c r="L259" s="247"/>
      <c r="M259" s="247"/>
      <c r="N259" s="247"/>
      <c r="O259" s="247"/>
      <c r="P259" s="247"/>
      <c r="Q259" s="247"/>
      <c r="R259" s="247"/>
      <c r="S259" s="247"/>
      <c r="T259" s="136"/>
      <c r="U259" s="136"/>
    </row>
    <row r="260" spans="1:21" ht="18.75" hidden="1" x14ac:dyDescent="0.25">
      <c r="A260" s="241"/>
      <c r="B260" s="242"/>
      <c r="C260" s="242"/>
      <c r="D260" s="254" t="s">
        <v>108</v>
      </c>
      <c r="E260" s="243"/>
      <c r="F260" s="243"/>
      <c r="G260" s="244"/>
      <c r="H260" s="258" t="s">
        <v>35</v>
      </c>
      <c r="I260" s="246"/>
      <c r="J260" s="246"/>
      <c r="K260" s="247"/>
      <c r="L260" s="247"/>
      <c r="M260" s="247"/>
      <c r="N260" s="247"/>
      <c r="O260" s="247"/>
      <c r="P260" s="247"/>
      <c r="Q260" s="247"/>
      <c r="R260" s="247"/>
      <c r="S260" s="247"/>
      <c r="T260" s="46"/>
      <c r="U260" s="46"/>
    </row>
    <row r="261" spans="1:21" ht="18.75" hidden="1" x14ac:dyDescent="0.25">
      <c r="A261" s="241"/>
      <c r="B261" s="242"/>
      <c r="C261" s="242"/>
      <c r="D261" s="259" t="s">
        <v>43</v>
      </c>
      <c r="E261" s="243"/>
      <c r="F261" s="243"/>
      <c r="G261" s="244"/>
      <c r="H261" s="244"/>
      <c r="I261" s="246"/>
      <c r="J261" s="246"/>
      <c r="K261" s="247"/>
      <c r="L261" s="247"/>
      <c r="M261" s="247"/>
      <c r="N261" s="247"/>
      <c r="O261" s="247"/>
      <c r="P261" s="247"/>
      <c r="Q261" s="247"/>
      <c r="R261" s="247"/>
      <c r="S261" s="247"/>
      <c r="T261" s="136"/>
      <c r="U261" s="136"/>
    </row>
    <row r="262" spans="1:21" ht="18.75" hidden="1" x14ac:dyDescent="0.25">
      <c r="A262" s="241"/>
      <c r="B262" s="242"/>
      <c r="C262" s="242"/>
      <c r="D262" s="242"/>
      <c r="E262" s="260" t="s">
        <v>109</v>
      </c>
      <c r="F262" s="243"/>
      <c r="G262" s="244"/>
      <c r="H262" s="258" t="s">
        <v>35</v>
      </c>
      <c r="I262" s="246"/>
      <c r="J262" s="246"/>
      <c r="K262" s="247"/>
      <c r="L262" s="247"/>
      <c r="M262" s="247"/>
      <c r="N262" s="247"/>
      <c r="O262" s="247"/>
      <c r="P262" s="247"/>
      <c r="Q262" s="247"/>
      <c r="R262" s="247"/>
      <c r="S262" s="247"/>
      <c r="T262" s="46"/>
      <c r="U262" s="46"/>
    </row>
    <row r="263" spans="1:21" ht="18.75" hidden="1" x14ac:dyDescent="0.25">
      <c r="A263" s="241"/>
      <c r="B263" s="242"/>
      <c r="C263" s="242"/>
      <c r="D263" s="242"/>
      <c r="E263" s="260" t="s">
        <v>110</v>
      </c>
      <c r="F263" s="243"/>
      <c r="G263" s="244"/>
      <c r="H263" s="258" t="s">
        <v>61</v>
      </c>
      <c r="I263" s="246"/>
      <c r="J263" s="246"/>
      <c r="K263" s="247"/>
      <c r="L263" s="247"/>
      <c r="M263" s="247"/>
      <c r="N263" s="247"/>
      <c r="O263" s="247"/>
      <c r="P263" s="247"/>
      <c r="Q263" s="247"/>
      <c r="R263" s="247"/>
      <c r="S263" s="247"/>
      <c r="T263" s="46"/>
      <c r="U263" s="46"/>
    </row>
    <row r="264" spans="1:21" ht="19.5" x14ac:dyDescent="0.3">
      <c r="A264" s="204" t="s">
        <v>113</v>
      </c>
      <c r="B264" s="205"/>
      <c r="C264" s="205"/>
      <c r="D264" s="206"/>
      <c r="E264" s="206"/>
      <c r="F264" s="206"/>
      <c r="G264" s="207"/>
      <c r="H264" s="207"/>
      <c r="I264" s="208"/>
      <c r="J264" s="208"/>
      <c r="K264" s="209"/>
      <c r="L264" s="209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210"/>
      <c r="B265" s="211" t="s">
        <v>114</v>
      </c>
      <c r="C265" s="212"/>
      <c r="D265" s="141"/>
      <c r="E265" s="141"/>
      <c r="F265" s="141"/>
      <c r="G265" s="142"/>
      <c r="H265" s="213" t="s">
        <v>35</v>
      </c>
      <c r="I265" s="214">
        <f ca="1">IFERROR(__xludf.DUMMYFUNCTION("IMPORTRANGE(""https://docs.google.com/spreadsheets/d/1kKUcYdkIfrgTSj8iHHHB2MD2FAtwyyocFgqGQn6ADyI/edit?usp=sharing"",""กระบี่!I265"")+IMPORTRANGE(""https://docs.google.com/spreadsheets/d/1GwtLaSlNZkLk7iDqcyZz22giiy40b_usZZBXYciEN1U/edit?usp=sharing"",""ชุ"&amp;"มพร!I265"")+IMPORTRANGE(""https://docs.google.com/spreadsheets/d/16pAz3pOhQEZBhvFNMa5KGgZS6iKWpsKX0pg6tQmwFpo/edit?usp=sharing"",""ตรัง!I265"")+IMPORTRANGE(""https://docs.google.com/spreadsheets/d/1Dj4jcHCTV9JXKCaMoheSXS52JE63kDKyG7bPXnFogHk/edit?usp=shar"&amp;"ing"",""นครศรีธรรมราช!I265"")+IMPORTRANGE(""https://docs.google.com/spreadsheets/d/1iodCdmuK2GR3jzUwk8tpccY2JHQQA-87DLOtJP-ooyU/edit?usp=sharing"",""นราธิวาส!I265"")+IMPORTRANGE(""https://docs.google.com/spreadsheets/d/1SDNX3JhDdYRuIOsj0Wh2M-Qa_eaXl0NbWmh"&amp;"AOTbfQAs/edit?usp=sharing"",""ปัตตานี!I265"")+IMPORTRANGE(""https://docs.google.com/spreadsheets/d/16JDLGguT8s5DsGCND1KcwHP_AWR_zDMTqLHPLJUKhaU/edit?usp=sharing"",""พังงา!I265"")+IMPORTRANGE(""https://docs.google.com/spreadsheets/d/17ht0gPKzzT3PObBL1XJkeR"&amp;"mntBXI7wGjpLV7QorqlTk/edit?usp=sharing"",""พัทลุง!I265"")+IMPORTRANGE(""https://docs.google.com/spreadsheets/d/1rd4qoM1q_hsgaolqNGfrim9gbsoLxQsda4-vOz5x_BM/edit?usp=sharing"",""ภูเก็ต!I265"")+IMPORTRANGE(""https://docs.google.com/spreadsheets/d/1woKwKjgoL"&amp;"ssDvPcPeVyezB5izizAn4X1JDrys69n6xI/edit?usp=sharing"",""ยะลา!I265"")+IMPORTRANGE(""https://docs.google.com/spreadsheets/d/1qfrKjzMhm2HJfxQ-qVlJlJQ25Hne1d0khsySbZyGtPA/edit?usp=sharing"",""ระนอง!I265"")+IMPORTRANGE(""https://docs.google.com/spreadsheets/d/"&amp;"1IbSCnFOKpZsnFogBHJnL_isstZVaOMnFiIN0fGTPZZw/edit?usp=sharing"",""สงขลา!I265"")+IMPORTRANGE(""https://docs.google.com/spreadsheets/d/1q9nWasZJ-K8bFGvbE9n0qSRuKGA4Toe3Y89cKCiVtCU/edit?usp=sharing"",""สตูล!I265"")+IMPORTRANGE(""https://docs.google.com/sprea"&amp;"dsheets/d/18T20gbkS_WBjdscyTOV05cvq_JqvqQ17C81mpxf7Ncs/edit?usp=sharing"",""สุราษฎร์ธานี!I265"")"),306)</f>
        <v>306</v>
      </c>
      <c r="J265" s="214">
        <f ca="1">IFERROR(__xludf.DUMMYFUNCTION("IMPORTRANGE(""https://docs.google.com/spreadsheets/d/1kKUcYdkIfrgTSj8iHHHB2MD2FAtwyyocFgqGQn6ADyI/edit?usp=sharing"",""กระบี่!J265"")+IMPORTRANGE(""https://docs.google.com/spreadsheets/d/1GwtLaSlNZkLk7iDqcyZz22giiy40b_usZZBXYciEN1U/edit?usp=sharing"",""ชุ"&amp;"มพร!J265"")+IMPORTRANGE(""https://docs.google.com/spreadsheets/d/16pAz3pOhQEZBhvFNMa5KGgZS6iKWpsKX0pg6tQmwFpo/edit?usp=sharing"",""ตรัง!J265"")+IMPORTRANGE(""https://docs.google.com/spreadsheets/d/1Dj4jcHCTV9JXKCaMoheSXS52JE63kDKyG7bPXnFogHk/edit?usp=shar"&amp;"ing"",""นครศรีธรรมราช!J265"")+IMPORTRANGE(""https://docs.google.com/spreadsheets/d/1iodCdmuK2GR3jzUwk8tpccY2JHQQA-87DLOtJP-ooyU/edit?usp=sharing"",""นราธิวาส!J265"")+IMPORTRANGE(""https://docs.google.com/spreadsheets/d/1SDNX3JhDdYRuIOsj0Wh2M-Qa_eaXl0NbWmh"&amp;"AOTbfQAs/edit?usp=sharing"",""ปัตตานี!J265"")+IMPORTRANGE(""https://docs.google.com/spreadsheets/d/16JDLGguT8s5DsGCND1KcwHP_AWR_zDMTqLHPLJUKhaU/edit?usp=sharing"",""พังงา!J265"")+IMPORTRANGE(""https://docs.google.com/spreadsheets/d/17ht0gPKzzT3PObBL1XJkeR"&amp;"mntBXI7wGjpLV7QorqlTk/edit?usp=sharing"",""พัทลุง!J265"")+IMPORTRANGE(""https://docs.google.com/spreadsheets/d/1rd4qoM1q_hsgaolqNGfrim9gbsoLxQsda4-vOz5x_BM/edit?usp=sharing"",""ภูเก็ต!J265"")+IMPORTRANGE(""https://docs.google.com/spreadsheets/d/1woKwKjgoL"&amp;"ssDvPcPeVyezB5izizAn4X1JDrys69n6xI/edit?usp=sharing"",""ยะลา!J265"")+IMPORTRANGE(""https://docs.google.com/spreadsheets/d/1qfrKjzMhm2HJfxQ-qVlJlJQ25Hne1d0khsySbZyGtPA/edit?usp=sharing"",""ระนอง!J265"")+IMPORTRANGE(""https://docs.google.com/spreadsheets/d/"&amp;"1IbSCnFOKpZsnFogBHJnL_isstZVaOMnFiIN0fGTPZZw/edit?usp=sharing"",""สงขลา!J265"")+IMPORTRANGE(""https://docs.google.com/spreadsheets/d/1q9nWasZJ-K8bFGvbE9n0qSRuKGA4Toe3Y89cKCiVtCU/edit?usp=sharing"",""สตูล!J265"")+IMPORTRANGE(""https://docs.google.com/sprea"&amp;"dsheets/d/18T20gbkS_WBjdscyTOV05cvq_JqvqQ17C81mpxf7Ncs/edit?usp=sharing"",""สุราษฎร์ธานี!J265"")"),176)</f>
        <v>176</v>
      </c>
      <c r="K265" s="215">
        <f ca="1">IF(I265&gt;0,J265*100/I265,0)</f>
        <v>57.516339869281047</v>
      </c>
      <c r="L265" s="216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128"/>
      <c r="B266" s="41"/>
      <c r="C266" s="129" t="s">
        <v>18</v>
      </c>
      <c r="D266" s="130" t="s">
        <v>19</v>
      </c>
      <c r="E266" s="41"/>
      <c r="F266" s="41"/>
      <c r="G266" s="43"/>
      <c r="H266" s="131" t="s">
        <v>14</v>
      </c>
      <c r="I266" s="45"/>
      <c r="J266" s="45"/>
      <c r="K266" s="46"/>
      <c r="L266" s="132">
        <f t="shared" ref="L266:N266" ca="1" si="188">L267+L268</f>
        <v>70000</v>
      </c>
      <c r="M266" s="132">
        <f t="shared" ca="1" si="188"/>
        <v>102190</v>
      </c>
      <c r="N266" s="132">
        <f t="shared" ca="1" si="188"/>
        <v>60570</v>
      </c>
      <c r="O266" s="132">
        <f t="shared" ref="O266:O274" ca="1" si="189">IF(L266&gt;0,N266*100/L266,0)</f>
        <v>86.528571428571425</v>
      </c>
      <c r="P266" s="132">
        <f t="shared" ref="P266:P274" ca="1" si="190">IF(M266&gt;0,N266*100/M266,0)</f>
        <v>59.271944417261963</v>
      </c>
      <c r="Q266" s="132">
        <f t="shared" ref="Q266:S266" ca="1" si="191">Q267+Q268</f>
        <v>706460</v>
      </c>
      <c r="R266" s="132">
        <f t="shared" ca="1" si="191"/>
        <v>706460</v>
      </c>
      <c r="S266" s="132">
        <f t="shared" ca="1" si="191"/>
        <v>455545</v>
      </c>
      <c r="T266" s="132">
        <f t="shared" ref="T266:T274" ca="1" si="192">IF(Q266&gt;0,S266*100/Q266,0)</f>
        <v>64.482773263879054</v>
      </c>
      <c r="U266" s="132">
        <f t="shared" ref="U266:U274" ca="1" si="193">IF(R266&gt;0,S266*100/R266,0)</f>
        <v>64.482773263879054</v>
      </c>
    </row>
    <row r="267" spans="1:21" ht="18.75" hidden="1" x14ac:dyDescent="0.25">
      <c r="A267" s="128"/>
      <c r="B267" s="41"/>
      <c r="C267" s="41"/>
      <c r="D267" s="41"/>
      <c r="E267" s="48" t="s">
        <v>20</v>
      </c>
      <c r="F267" s="41"/>
      <c r="G267" s="43"/>
      <c r="H267" s="133" t="s">
        <v>14</v>
      </c>
      <c r="I267" s="45"/>
      <c r="J267" s="45"/>
      <c r="K267" s="46"/>
      <c r="L267" s="47">
        <f t="shared" ref="L267:N267" ca="1" si="194">L270+L273</f>
        <v>0</v>
      </c>
      <c r="M267" s="47">
        <f t="shared" ca="1" si="194"/>
        <v>0</v>
      </c>
      <c r="N267" s="47">
        <f t="shared" ca="1" si="194"/>
        <v>0</v>
      </c>
      <c r="O267" s="47">
        <f t="shared" ca="1" si="189"/>
        <v>0</v>
      </c>
      <c r="P267" s="47">
        <f t="shared" ca="1" si="190"/>
        <v>0</v>
      </c>
      <c r="Q267" s="47">
        <f t="shared" ref="Q267:S267" ca="1" si="195">Q270+Q273</f>
        <v>0</v>
      </c>
      <c r="R267" s="47">
        <f t="shared" ca="1" si="195"/>
        <v>0</v>
      </c>
      <c r="S267" s="47">
        <f t="shared" ca="1" si="195"/>
        <v>0</v>
      </c>
      <c r="T267" s="49">
        <f t="shared" ca="1" si="192"/>
        <v>0</v>
      </c>
      <c r="U267" s="49">
        <f t="shared" ca="1" si="193"/>
        <v>0</v>
      </c>
    </row>
    <row r="268" spans="1:21" ht="18.75" hidden="1" x14ac:dyDescent="0.25">
      <c r="A268" s="128"/>
      <c r="B268" s="41"/>
      <c r="C268" s="41"/>
      <c r="D268" s="41"/>
      <c r="E268" s="48" t="s">
        <v>21</v>
      </c>
      <c r="F268" s="41"/>
      <c r="G268" s="43"/>
      <c r="H268" s="133" t="s">
        <v>14</v>
      </c>
      <c r="I268" s="45"/>
      <c r="J268" s="45"/>
      <c r="K268" s="46"/>
      <c r="L268" s="47">
        <f t="shared" ref="L268:N268" ca="1" si="196">L271+L274</f>
        <v>70000</v>
      </c>
      <c r="M268" s="47">
        <f t="shared" ca="1" si="196"/>
        <v>102190</v>
      </c>
      <c r="N268" s="47">
        <f t="shared" ca="1" si="196"/>
        <v>60570</v>
      </c>
      <c r="O268" s="47">
        <f t="shared" ca="1" si="189"/>
        <v>86.528571428571425</v>
      </c>
      <c r="P268" s="47">
        <f t="shared" ca="1" si="190"/>
        <v>59.271944417261963</v>
      </c>
      <c r="Q268" s="47">
        <f t="shared" ref="Q268:S268" ca="1" si="197">Q271+Q274</f>
        <v>706460</v>
      </c>
      <c r="R268" s="47">
        <f t="shared" ca="1" si="197"/>
        <v>706460</v>
      </c>
      <c r="S268" s="47">
        <f t="shared" ca="1" si="197"/>
        <v>455545</v>
      </c>
      <c r="T268" s="47">
        <f t="shared" ca="1" si="192"/>
        <v>64.482773263879054</v>
      </c>
      <c r="U268" s="47">
        <f t="shared" ca="1" si="193"/>
        <v>64.482773263879054</v>
      </c>
    </row>
    <row r="269" spans="1:21" ht="18.75" x14ac:dyDescent="0.25">
      <c r="A269" s="128"/>
      <c r="B269" s="41"/>
      <c r="C269" s="41"/>
      <c r="D269" s="42" t="s">
        <v>22</v>
      </c>
      <c r="E269" s="41"/>
      <c r="F269" s="41"/>
      <c r="G269" s="43"/>
      <c r="H269" s="134" t="s">
        <v>14</v>
      </c>
      <c r="I269" s="135"/>
      <c r="J269" s="135"/>
      <c r="K269" s="136"/>
      <c r="L269" s="47">
        <f t="shared" ref="L269:N269" ca="1" si="198">L270+L271</f>
        <v>70000</v>
      </c>
      <c r="M269" s="47">
        <f t="shared" ca="1" si="198"/>
        <v>102190</v>
      </c>
      <c r="N269" s="47">
        <f t="shared" ca="1" si="198"/>
        <v>60570</v>
      </c>
      <c r="O269" s="47">
        <f t="shared" ca="1" si="189"/>
        <v>86.528571428571425</v>
      </c>
      <c r="P269" s="47">
        <f t="shared" ca="1" si="190"/>
        <v>59.271944417261963</v>
      </c>
      <c r="Q269" s="47">
        <f t="shared" ref="Q269:S269" ca="1" si="199">Q270+Q271</f>
        <v>706460</v>
      </c>
      <c r="R269" s="47">
        <f t="shared" ca="1" si="199"/>
        <v>706460</v>
      </c>
      <c r="S269" s="47">
        <f t="shared" ca="1" si="199"/>
        <v>455545</v>
      </c>
      <c r="T269" s="47">
        <f t="shared" ca="1" si="192"/>
        <v>64.482773263879054</v>
      </c>
      <c r="U269" s="47">
        <f t="shared" ca="1" si="193"/>
        <v>64.482773263879054</v>
      </c>
    </row>
    <row r="270" spans="1:21" ht="18.75" hidden="1" x14ac:dyDescent="0.25">
      <c r="A270" s="128"/>
      <c r="B270" s="41"/>
      <c r="C270" s="41"/>
      <c r="D270" s="41"/>
      <c r="E270" s="48" t="s">
        <v>36</v>
      </c>
      <c r="F270" s="41"/>
      <c r="G270" s="43"/>
      <c r="H270" s="134" t="s">
        <v>14</v>
      </c>
      <c r="I270" s="135"/>
      <c r="J270" s="135"/>
      <c r="K270" s="136"/>
      <c r="L270" s="47">
        <f ca="1">IFERROR(__xludf.DUMMYFUNCTION("IMPORTRANGE(""https://docs.google.com/spreadsheets/d/1kKUcYdkIfrgTSj8iHHHB2MD2FAtwyyocFgqGQn6ADyI/edit?usp=sharing"",""กระบี่!L270"")+IMPORTRANGE(""https://docs.google.com/spreadsheets/d/1GwtLaSlNZkLk7iDqcyZz22giiy40b_usZZBXYciEN1U/edit?usp=sharing"",""ชุ"&amp;"มพร!L270"")+IMPORTRANGE(""https://docs.google.com/spreadsheets/d/16pAz3pOhQEZBhvFNMa5KGgZS6iKWpsKX0pg6tQmwFpo/edit?usp=sharing"",""ตรัง!L270"")+IMPORTRANGE(""https://docs.google.com/spreadsheets/d/1Dj4jcHCTV9JXKCaMoheSXS52JE63kDKyG7bPXnFogHk/edit?usp=shar"&amp;"ing"",""นครศรีธรรมราช!L270"")+IMPORTRANGE(""https://docs.google.com/spreadsheets/d/1iodCdmuK2GR3jzUwk8tpccY2JHQQA-87DLOtJP-ooyU/edit?usp=sharing"",""นราธิวาส!L270"")+IMPORTRANGE(""https://docs.google.com/spreadsheets/d/1SDNX3JhDdYRuIOsj0Wh2M-Qa_eaXl0NbWmh"&amp;"AOTbfQAs/edit?usp=sharing"",""ปัตตานี!L270"")+IMPORTRANGE(""https://docs.google.com/spreadsheets/d/16JDLGguT8s5DsGCND1KcwHP_AWR_zDMTqLHPLJUKhaU/edit?usp=sharing"",""พังงา!L270"")+IMPORTRANGE(""https://docs.google.com/spreadsheets/d/17ht0gPKzzT3PObBL1XJkeR"&amp;"mntBXI7wGjpLV7QorqlTk/edit?usp=sharing"",""พัทลุง!L270"")+IMPORTRANGE(""https://docs.google.com/spreadsheets/d/1rd4qoM1q_hsgaolqNGfrim9gbsoLxQsda4-vOz5x_BM/edit?usp=sharing"",""ภูเก็ต!L270"")+IMPORTRANGE(""https://docs.google.com/spreadsheets/d/1woKwKjgoL"&amp;"ssDvPcPeVyezB5izizAn4X1JDrys69n6xI/edit?usp=sharing"",""ยะลา!L270"")+IMPORTRANGE(""https://docs.google.com/spreadsheets/d/1qfrKjzMhm2HJfxQ-qVlJlJQ25Hne1d0khsySbZyGtPA/edit?usp=sharing"",""ระนอง!L270"")+IMPORTRANGE(""https://docs.google.com/spreadsheets/d/"&amp;"1IbSCnFOKpZsnFogBHJnL_isstZVaOMnFiIN0fGTPZZw/edit?usp=sharing"",""สงขลา!L270"")+IMPORTRANGE(""https://docs.google.com/spreadsheets/d/1q9nWasZJ-K8bFGvbE9n0qSRuKGA4Toe3Y89cKCiVtCU/edit?usp=sharing"",""สตูล!L270"")+IMPORTRANGE(""https://docs.google.com/sprea"&amp;"dsheets/d/18T20gbkS_WBjdscyTOV05cvq_JqvqQ17C81mpxf7Ncs/edit?usp=sharing"",""สุราษฎร์ธานี!L270"")"),0)</f>
        <v>0</v>
      </c>
      <c r="M270" s="47">
        <f ca="1">IFERROR(__xludf.DUMMYFUNCTION("IMPORTRANGE(""https://docs.google.com/spreadsheets/d/1kKUcYdkIfrgTSj8iHHHB2MD2FAtwyyocFgqGQn6ADyI/edit?usp=sharing"",""กระบี่!M270"")+IMPORTRANGE(""https://docs.google.com/spreadsheets/d/1GwtLaSlNZkLk7iDqcyZz22giiy40b_usZZBXYciEN1U/edit?usp=sharing"",""ชุ"&amp;"มพร!M270"")+IMPORTRANGE(""https://docs.google.com/spreadsheets/d/16pAz3pOhQEZBhvFNMa5KGgZS6iKWpsKX0pg6tQmwFpo/edit?usp=sharing"",""ตรัง!M270"")+IMPORTRANGE(""https://docs.google.com/spreadsheets/d/1Dj4jcHCTV9JXKCaMoheSXS52JE63kDKyG7bPXnFogHk/edit?usp=shar"&amp;"ing"",""นครศรีธรรมราช!M270"")+IMPORTRANGE(""https://docs.google.com/spreadsheets/d/1iodCdmuK2GR3jzUwk8tpccY2JHQQA-87DLOtJP-ooyU/edit?usp=sharing"",""นราธิวาส!M270"")+IMPORTRANGE(""https://docs.google.com/spreadsheets/d/1SDNX3JhDdYRuIOsj0Wh2M-Qa_eaXl0NbWmh"&amp;"AOTbfQAs/edit?usp=sharing"",""ปัตตานี!M270"")+IMPORTRANGE(""https://docs.google.com/spreadsheets/d/16JDLGguT8s5DsGCND1KcwHP_AWR_zDMTqLHPLJUKhaU/edit?usp=sharing"",""พังงา!M270"")+IMPORTRANGE(""https://docs.google.com/spreadsheets/d/17ht0gPKzzT3PObBL1XJkeR"&amp;"mntBXI7wGjpLV7QorqlTk/edit?usp=sharing"",""พัทลุง!M270"")+IMPORTRANGE(""https://docs.google.com/spreadsheets/d/1rd4qoM1q_hsgaolqNGfrim9gbsoLxQsda4-vOz5x_BM/edit?usp=sharing"",""ภูเก็ต!M270"")+IMPORTRANGE(""https://docs.google.com/spreadsheets/d/1woKwKjgoL"&amp;"ssDvPcPeVyezB5izizAn4X1JDrys69n6xI/edit?usp=sharing"",""ยะลา!M270"")+IMPORTRANGE(""https://docs.google.com/spreadsheets/d/1qfrKjzMhm2HJfxQ-qVlJlJQ25Hne1d0khsySbZyGtPA/edit?usp=sharing"",""ระนอง!M270"")+IMPORTRANGE(""https://docs.google.com/spreadsheets/d/"&amp;"1IbSCnFOKpZsnFogBHJnL_isstZVaOMnFiIN0fGTPZZw/edit?usp=sharing"",""สงขลา!M270"")+IMPORTRANGE(""https://docs.google.com/spreadsheets/d/1q9nWasZJ-K8bFGvbE9n0qSRuKGA4Toe3Y89cKCiVtCU/edit?usp=sharing"",""สตูล!M270"")+IMPORTRANGE(""https://docs.google.com/sprea"&amp;"dsheets/d/18T20gbkS_WBjdscyTOV05cvq_JqvqQ17C81mpxf7Ncs/edit?usp=sharing"",""สุราษฎร์ธานี!M270"")"),0)</f>
        <v>0</v>
      </c>
      <c r="N270" s="47">
        <f ca="1">IFERROR(__xludf.DUMMYFUNCTION("IMPORTRANGE(""https://docs.google.com/spreadsheets/d/1kKUcYdkIfrgTSj8iHHHB2MD2FAtwyyocFgqGQn6ADyI/edit?usp=sharing"",""กระบี่!N270"")+IMPORTRANGE(""https://docs.google.com/spreadsheets/d/1GwtLaSlNZkLk7iDqcyZz22giiy40b_usZZBXYciEN1U/edit?usp=sharing"",""ชุ"&amp;"มพร!N270"")+IMPORTRANGE(""https://docs.google.com/spreadsheets/d/16pAz3pOhQEZBhvFNMa5KGgZS6iKWpsKX0pg6tQmwFpo/edit?usp=sharing"",""ตรัง!N270"")+IMPORTRANGE(""https://docs.google.com/spreadsheets/d/1Dj4jcHCTV9JXKCaMoheSXS52JE63kDKyG7bPXnFogHk/edit?usp=shar"&amp;"ing"",""นครศรีธรรมราช!N270"")+IMPORTRANGE(""https://docs.google.com/spreadsheets/d/1iodCdmuK2GR3jzUwk8tpccY2JHQQA-87DLOtJP-ooyU/edit?usp=sharing"",""นราธิวาส!N270"")+IMPORTRANGE(""https://docs.google.com/spreadsheets/d/1SDNX3JhDdYRuIOsj0Wh2M-Qa_eaXl0NbWmh"&amp;"AOTbfQAs/edit?usp=sharing"",""ปัตตานี!N270"")+IMPORTRANGE(""https://docs.google.com/spreadsheets/d/16JDLGguT8s5DsGCND1KcwHP_AWR_zDMTqLHPLJUKhaU/edit?usp=sharing"",""พังงา!N270"")+IMPORTRANGE(""https://docs.google.com/spreadsheets/d/17ht0gPKzzT3PObBL1XJkeR"&amp;"mntBXI7wGjpLV7QorqlTk/edit?usp=sharing"",""พัทลุง!N270"")+IMPORTRANGE(""https://docs.google.com/spreadsheets/d/1rd4qoM1q_hsgaolqNGfrim9gbsoLxQsda4-vOz5x_BM/edit?usp=sharing"",""ภูเก็ต!N270"")+IMPORTRANGE(""https://docs.google.com/spreadsheets/d/1woKwKjgoL"&amp;"ssDvPcPeVyezB5izizAn4X1JDrys69n6xI/edit?usp=sharing"",""ยะลา!N270"")+IMPORTRANGE(""https://docs.google.com/spreadsheets/d/1qfrKjzMhm2HJfxQ-qVlJlJQ25Hne1d0khsySbZyGtPA/edit?usp=sharing"",""ระนอง!N270"")+IMPORTRANGE(""https://docs.google.com/spreadsheets/d/"&amp;"1IbSCnFOKpZsnFogBHJnL_isstZVaOMnFiIN0fGTPZZw/edit?usp=sharing"",""สงขลา!N270"")+IMPORTRANGE(""https://docs.google.com/spreadsheets/d/1q9nWasZJ-K8bFGvbE9n0qSRuKGA4Toe3Y89cKCiVtCU/edit?usp=sharing"",""สตูล!N270"")+IMPORTRANGE(""https://docs.google.com/sprea"&amp;"dsheets/d/18T20gbkS_WBjdscyTOV05cvq_JqvqQ17C81mpxf7Ncs/edit?usp=sharing"",""สุราษฎร์ธานี!N270"")"),0)</f>
        <v>0</v>
      </c>
      <c r="O270" s="47">
        <f t="shared" ca="1" si="189"/>
        <v>0</v>
      </c>
      <c r="P270" s="47">
        <f t="shared" ca="1" si="190"/>
        <v>0</v>
      </c>
      <c r="Q270" s="47">
        <f ca="1">IFERROR(__xludf.DUMMYFUNCTION("IMPORTRANGE(""https://docs.google.com/spreadsheets/d/1kKUcYdkIfrgTSj8iHHHB2MD2FAtwyyocFgqGQn6ADyI/edit?usp=sharing"",""กระบี่!Q270"")+IMPORTRANGE(""https://docs.google.com/spreadsheets/d/1GwtLaSlNZkLk7iDqcyZz22giiy40b_usZZBXYciEN1U/edit?usp=sharing"",""ชุ"&amp;"มพร!Q270"")+IMPORTRANGE(""https://docs.google.com/spreadsheets/d/16pAz3pOhQEZBhvFNMa5KGgZS6iKWpsKX0pg6tQmwFpo/edit?usp=sharing"",""ตรัง!Q270"")+IMPORTRANGE(""https://docs.google.com/spreadsheets/d/1Dj4jcHCTV9JXKCaMoheSXS52JE63kDKyG7bPXnFogHk/edit?usp=shar"&amp;"ing"",""นครศรีธรรมราช!Q270"")+IMPORTRANGE(""https://docs.google.com/spreadsheets/d/1iodCdmuK2GR3jzUwk8tpccY2JHQQA-87DLOtJP-ooyU/edit?usp=sharing"",""นราธิวาส!Q270"")+IMPORTRANGE(""https://docs.google.com/spreadsheets/d/1SDNX3JhDdYRuIOsj0Wh2M-Qa_eaXl0NbWmh"&amp;"AOTbfQAs/edit?usp=sharing"",""ปัตตานี!Q270"")+IMPORTRANGE(""https://docs.google.com/spreadsheets/d/16JDLGguT8s5DsGCND1KcwHP_AWR_zDMTqLHPLJUKhaU/edit?usp=sharing"",""พังงา!Q270"")+IMPORTRANGE(""https://docs.google.com/spreadsheets/d/17ht0gPKzzT3PObBL1XJkeR"&amp;"mntBXI7wGjpLV7QorqlTk/edit?usp=sharing"",""พัทลุง!Q270"")+IMPORTRANGE(""https://docs.google.com/spreadsheets/d/1rd4qoM1q_hsgaolqNGfrim9gbsoLxQsda4-vOz5x_BM/edit?usp=sharing"",""ภูเก็ต!Q270"")+IMPORTRANGE(""https://docs.google.com/spreadsheets/d/1woKwKjgoL"&amp;"ssDvPcPeVyezB5izizAn4X1JDrys69n6xI/edit?usp=sharing"",""ยะลา!Q270"")+IMPORTRANGE(""https://docs.google.com/spreadsheets/d/1qfrKjzMhm2HJfxQ-qVlJlJQ25Hne1d0khsySbZyGtPA/edit?usp=sharing"",""ระนอง!Q270"")+IMPORTRANGE(""https://docs.google.com/spreadsheets/d/"&amp;"1IbSCnFOKpZsnFogBHJnL_isstZVaOMnFiIN0fGTPZZw/edit?usp=sharing"",""สงขลา!Q270"")+IMPORTRANGE(""https://docs.google.com/spreadsheets/d/1q9nWasZJ-K8bFGvbE9n0qSRuKGA4Toe3Y89cKCiVtCU/edit?usp=sharing"",""สตูล!Q270"")+IMPORTRANGE(""https://docs.google.com/sprea"&amp;"dsheets/d/18T20gbkS_WBjdscyTOV05cvq_JqvqQ17C81mpxf7Ncs/edit?usp=sharing"",""สุราษฎร์ธานี!Q270"")"),0)</f>
        <v>0</v>
      </c>
      <c r="R270" s="47">
        <f ca="1">IFERROR(__xludf.DUMMYFUNCTION("IMPORTRANGE(""https://docs.google.com/spreadsheets/d/1kKUcYdkIfrgTSj8iHHHB2MD2FAtwyyocFgqGQn6ADyI/edit?usp=sharing"",""กระบี่!R270"")+IMPORTRANGE(""https://docs.google.com/spreadsheets/d/1GwtLaSlNZkLk7iDqcyZz22giiy40b_usZZBXYciEN1U/edit?usp=sharing"",""ชุ"&amp;"มพร!R270"")+IMPORTRANGE(""https://docs.google.com/spreadsheets/d/16pAz3pOhQEZBhvFNMa5KGgZS6iKWpsKX0pg6tQmwFpo/edit?usp=sharing"",""ตรัง!R270"")+IMPORTRANGE(""https://docs.google.com/spreadsheets/d/1Dj4jcHCTV9JXKCaMoheSXS52JE63kDKyG7bPXnFogHk/edit?usp=shar"&amp;"ing"",""นครศรีธรรมราช!R270"")+IMPORTRANGE(""https://docs.google.com/spreadsheets/d/1iodCdmuK2GR3jzUwk8tpccY2JHQQA-87DLOtJP-ooyU/edit?usp=sharing"",""นราธิวาส!R270"")+IMPORTRANGE(""https://docs.google.com/spreadsheets/d/1SDNX3JhDdYRuIOsj0Wh2M-Qa_eaXl0NbWmh"&amp;"AOTbfQAs/edit?usp=sharing"",""ปัตตานี!R270"")+IMPORTRANGE(""https://docs.google.com/spreadsheets/d/16JDLGguT8s5DsGCND1KcwHP_AWR_zDMTqLHPLJUKhaU/edit?usp=sharing"",""พังงา!R270"")+IMPORTRANGE(""https://docs.google.com/spreadsheets/d/17ht0gPKzzT3PObBL1XJkeR"&amp;"mntBXI7wGjpLV7QorqlTk/edit?usp=sharing"",""พัทลุง!R270"")+IMPORTRANGE(""https://docs.google.com/spreadsheets/d/1rd4qoM1q_hsgaolqNGfrim9gbsoLxQsda4-vOz5x_BM/edit?usp=sharing"",""ภูเก็ต!R270"")+IMPORTRANGE(""https://docs.google.com/spreadsheets/d/1woKwKjgoL"&amp;"ssDvPcPeVyezB5izizAn4X1JDrys69n6xI/edit?usp=sharing"",""ยะลา!R270"")+IMPORTRANGE(""https://docs.google.com/spreadsheets/d/1qfrKjzMhm2HJfxQ-qVlJlJQ25Hne1d0khsySbZyGtPA/edit?usp=sharing"",""ระนอง!R270"")+IMPORTRANGE(""https://docs.google.com/spreadsheets/d/"&amp;"1IbSCnFOKpZsnFogBHJnL_isstZVaOMnFiIN0fGTPZZw/edit?usp=sharing"",""สงขลา!R270"")+IMPORTRANGE(""https://docs.google.com/spreadsheets/d/1q9nWasZJ-K8bFGvbE9n0qSRuKGA4Toe3Y89cKCiVtCU/edit?usp=sharing"",""สตูล!R270"")+IMPORTRANGE(""https://docs.google.com/sprea"&amp;"dsheets/d/18T20gbkS_WBjdscyTOV05cvq_JqvqQ17C81mpxf7Ncs/edit?usp=sharing"",""สุราษฎร์ธานี!R270"")"),0)</f>
        <v>0</v>
      </c>
      <c r="S270" s="47">
        <f ca="1">IFERROR(__xludf.DUMMYFUNCTION("IMPORTRANGE(""https://docs.google.com/spreadsheets/d/1kKUcYdkIfrgTSj8iHHHB2MD2FAtwyyocFgqGQn6ADyI/edit?usp=sharing"",""กระบี่!S270"")+IMPORTRANGE(""https://docs.google.com/spreadsheets/d/1GwtLaSlNZkLk7iDqcyZz22giiy40b_usZZBXYciEN1U/edit?usp=sharing"",""ชุ"&amp;"มพร!S270"")+IMPORTRANGE(""https://docs.google.com/spreadsheets/d/16pAz3pOhQEZBhvFNMa5KGgZS6iKWpsKX0pg6tQmwFpo/edit?usp=sharing"",""ตรัง!S270"")+IMPORTRANGE(""https://docs.google.com/spreadsheets/d/1Dj4jcHCTV9JXKCaMoheSXS52JE63kDKyG7bPXnFogHk/edit?usp=shar"&amp;"ing"",""นครศรีธรรมราช!S270"")+IMPORTRANGE(""https://docs.google.com/spreadsheets/d/1iodCdmuK2GR3jzUwk8tpccY2JHQQA-87DLOtJP-ooyU/edit?usp=sharing"",""นราธิวาส!S270"")+IMPORTRANGE(""https://docs.google.com/spreadsheets/d/1SDNX3JhDdYRuIOsj0Wh2M-Qa_eaXl0NbWmh"&amp;"AOTbfQAs/edit?usp=sharing"",""ปัตตานี!S270"")+IMPORTRANGE(""https://docs.google.com/spreadsheets/d/16JDLGguT8s5DsGCND1KcwHP_AWR_zDMTqLHPLJUKhaU/edit?usp=sharing"",""พังงา!S270"")+IMPORTRANGE(""https://docs.google.com/spreadsheets/d/17ht0gPKzzT3PObBL1XJkeR"&amp;"mntBXI7wGjpLV7QorqlTk/edit?usp=sharing"",""พัทลุง!S270"")+IMPORTRANGE(""https://docs.google.com/spreadsheets/d/1rd4qoM1q_hsgaolqNGfrim9gbsoLxQsda4-vOz5x_BM/edit?usp=sharing"",""ภูเก็ต!S270"")+IMPORTRANGE(""https://docs.google.com/spreadsheets/d/1woKwKjgoL"&amp;"ssDvPcPeVyezB5izizAn4X1JDrys69n6xI/edit?usp=sharing"",""ยะลา!S270"")+IMPORTRANGE(""https://docs.google.com/spreadsheets/d/1qfrKjzMhm2HJfxQ-qVlJlJQ25Hne1d0khsySbZyGtPA/edit?usp=sharing"",""ระนอง!S270"")+IMPORTRANGE(""https://docs.google.com/spreadsheets/d/"&amp;"1IbSCnFOKpZsnFogBHJnL_isstZVaOMnFiIN0fGTPZZw/edit?usp=sharing"",""สงขลา!S270"")+IMPORTRANGE(""https://docs.google.com/spreadsheets/d/1q9nWasZJ-K8bFGvbE9n0qSRuKGA4Toe3Y89cKCiVtCU/edit?usp=sharing"",""สตูล!S270"")+IMPORTRANGE(""https://docs.google.com/sprea"&amp;"dsheets/d/18T20gbkS_WBjdscyTOV05cvq_JqvqQ17C81mpxf7Ncs/edit?usp=sharing"",""สุราษฎร์ธานี!S270"")"),0)</f>
        <v>0</v>
      </c>
      <c r="T270" s="49">
        <f t="shared" ca="1" si="192"/>
        <v>0</v>
      </c>
      <c r="U270" s="49">
        <f t="shared" ca="1" si="193"/>
        <v>0</v>
      </c>
    </row>
    <row r="271" spans="1:21" ht="18.75" hidden="1" x14ac:dyDescent="0.25">
      <c r="A271" s="128"/>
      <c r="B271" s="41"/>
      <c r="C271" s="41"/>
      <c r="D271" s="41"/>
      <c r="E271" s="48" t="s">
        <v>37</v>
      </c>
      <c r="F271" s="41"/>
      <c r="G271" s="43"/>
      <c r="H271" s="134" t="s">
        <v>14</v>
      </c>
      <c r="I271" s="135"/>
      <c r="J271" s="135"/>
      <c r="K271" s="136"/>
      <c r="L271" s="47">
        <f ca="1">IFERROR(__xludf.DUMMYFUNCTION("IMPORTRANGE(""https://docs.google.com/spreadsheets/d/1kKUcYdkIfrgTSj8iHHHB2MD2FAtwyyocFgqGQn6ADyI/edit?usp=sharing"",""กระบี่!L271"")+IMPORTRANGE(""https://docs.google.com/spreadsheets/d/1GwtLaSlNZkLk7iDqcyZz22giiy40b_usZZBXYciEN1U/edit?usp=sharing"",""ชุ"&amp;"มพร!L271"")+IMPORTRANGE(""https://docs.google.com/spreadsheets/d/16pAz3pOhQEZBhvFNMa5KGgZS6iKWpsKX0pg6tQmwFpo/edit?usp=sharing"",""ตรัง!L271"")+IMPORTRANGE(""https://docs.google.com/spreadsheets/d/1Dj4jcHCTV9JXKCaMoheSXS52JE63kDKyG7bPXnFogHk/edit?usp=shar"&amp;"ing"",""นครศรีธรรมราช!L271"")+IMPORTRANGE(""https://docs.google.com/spreadsheets/d/1iodCdmuK2GR3jzUwk8tpccY2JHQQA-87DLOtJP-ooyU/edit?usp=sharing"",""นราธิวาส!L271"")+IMPORTRANGE(""https://docs.google.com/spreadsheets/d/1SDNX3JhDdYRuIOsj0Wh2M-Qa_eaXl0NbWmh"&amp;"AOTbfQAs/edit?usp=sharing"",""ปัตตานี!L271"")+IMPORTRANGE(""https://docs.google.com/spreadsheets/d/16JDLGguT8s5DsGCND1KcwHP_AWR_zDMTqLHPLJUKhaU/edit?usp=sharing"",""พังงา!L271"")+IMPORTRANGE(""https://docs.google.com/spreadsheets/d/17ht0gPKzzT3PObBL1XJkeR"&amp;"mntBXI7wGjpLV7QorqlTk/edit?usp=sharing"",""พัทลุง!L271"")+IMPORTRANGE(""https://docs.google.com/spreadsheets/d/1rd4qoM1q_hsgaolqNGfrim9gbsoLxQsda4-vOz5x_BM/edit?usp=sharing"",""ภูเก็ต!L271"")+IMPORTRANGE(""https://docs.google.com/spreadsheets/d/1woKwKjgoL"&amp;"ssDvPcPeVyezB5izizAn4X1JDrys69n6xI/edit?usp=sharing"",""ยะลา!L271"")+IMPORTRANGE(""https://docs.google.com/spreadsheets/d/1qfrKjzMhm2HJfxQ-qVlJlJQ25Hne1d0khsySbZyGtPA/edit?usp=sharing"",""ระนอง!L271"")+IMPORTRANGE(""https://docs.google.com/spreadsheets/d/"&amp;"1IbSCnFOKpZsnFogBHJnL_isstZVaOMnFiIN0fGTPZZw/edit?usp=sharing"",""สงขลา!L271"")+IMPORTRANGE(""https://docs.google.com/spreadsheets/d/1q9nWasZJ-K8bFGvbE9n0qSRuKGA4Toe3Y89cKCiVtCU/edit?usp=sharing"",""สตูล!L271"")+IMPORTRANGE(""https://docs.google.com/sprea"&amp;"dsheets/d/18T20gbkS_WBjdscyTOV05cvq_JqvqQ17C81mpxf7Ncs/edit?usp=sharing"",""สุราษฎร์ธานี!L271"")"),70000)</f>
        <v>70000</v>
      </c>
      <c r="M271" s="47">
        <f ca="1">IFERROR(__xludf.DUMMYFUNCTION("IMPORTRANGE(""https://docs.google.com/spreadsheets/d/1kKUcYdkIfrgTSj8iHHHB2MD2FAtwyyocFgqGQn6ADyI/edit?usp=sharing"",""กระบี่!M271"")+IMPORTRANGE(""https://docs.google.com/spreadsheets/d/1GwtLaSlNZkLk7iDqcyZz22giiy40b_usZZBXYciEN1U/edit?usp=sharing"",""ชุ"&amp;"มพร!M271"")+IMPORTRANGE(""https://docs.google.com/spreadsheets/d/16pAz3pOhQEZBhvFNMa5KGgZS6iKWpsKX0pg6tQmwFpo/edit?usp=sharing"",""ตรัง!M271"")+IMPORTRANGE(""https://docs.google.com/spreadsheets/d/1Dj4jcHCTV9JXKCaMoheSXS52JE63kDKyG7bPXnFogHk/edit?usp=shar"&amp;"ing"",""นครศรีธรรมราช!M271"")+IMPORTRANGE(""https://docs.google.com/spreadsheets/d/1iodCdmuK2GR3jzUwk8tpccY2JHQQA-87DLOtJP-ooyU/edit?usp=sharing"",""นราธิวาส!M271"")+IMPORTRANGE(""https://docs.google.com/spreadsheets/d/1SDNX3JhDdYRuIOsj0Wh2M-Qa_eaXl0NbWmh"&amp;"AOTbfQAs/edit?usp=sharing"",""ปัตตานี!M271"")+IMPORTRANGE(""https://docs.google.com/spreadsheets/d/16JDLGguT8s5DsGCND1KcwHP_AWR_zDMTqLHPLJUKhaU/edit?usp=sharing"",""พังงา!M271"")+IMPORTRANGE(""https://docs.google.com/spreadsheets/d/17ht0gPKzzT3PObBL1XJkeR"&amp;"mntBXI7wGjpLV7QorqlTk/edit?usp=sharing"",""พัทลุง!M271"")+IMPORTRANGE(""https://docs.google.com/spreadsheets/d/1rd4qoM1q_hsgaolqNGfrim9gbsoLxQsda4-vOz5x_BM/edit?usp=sharing"",""ภูเก็ต!M271"")+IMPORTRANGE(""https://docs.google.com/spreadsheets/d/1woKwKjgoL"&amp;"ssDvPcPeVyezB5izizAn4X1JDrys69n6xI/edit?usp=sharing"",""ยะลา!M271"")+IMPORTRANGE(""https://docs.google.com/spreadsheets/d/1qfrKjzMhm2HJfxQ-qVlJlJQ25Hne1d0khsySbZyGtPA/edit?usp=sharing"",""ระนอง!M271"")+IMPORTRANGE(""https://docs.google.com/spreadsheets/d/"&amp;"1IbSCnFOKpZsnFogBHJnL_isstZVaOMnFiIN0fGTPZZw/edit?usp=sharing"",""สงขลา!M271"")+IMPORTRANGE(""https://docs.google.com/spreadsheets/d/1q9nWasZJ-K8bFGvbE9n0qSRuKGA4Toe3Y89cKCiVtCU/edit?usp=sharing"",""สตูล!M271"")+IMPORTRANGE(""https://docs.google.com/sprea"&amp;"dsheets/d/18T20gbkS_WBjdscyTOV05cvq_JqvqQ17C81mpxf7Ncs/edit?usp=sharing"",""สุราษฎร์ธานี!M271"")"),102190)</f>
        <v>102190</v>
      </c>
      <c r="N271" s="47">
        <f ca="1">IFERROR(__xludf.DUMMYFUNCTION("IMPORTRANGE(""https://docs.google.com/spreadsheets/d/1kKUcYdkIfrgTSj8iHHHB2MD2FAtwyyocFgqGQn6ADyI/edit?usp=sharing"",""กระบี่!N271"")+IMPORTRANGE(""https://docs.google.com/spreadsheets/d/1GwtLaSlNZkLk7iDqcyZz22giiy40b_usZZBXYciEN1U/edit?usp=sharing"",""ชุ"&amp;"มพร!N271"")+IMPORTRANGE(""https://docs.google.com/spreadsheets/d/16pAz3pOhQEZBhvFNMa5KGgZS6iKWpsKX0pg6tQmwFpo/edit?usp=sharing"",""ตรัง!N271"")+IMPORTRANGE(""https://docs.google.com/spreadsheets/d/1Dj4jcHCTV9JXKCaMoheSXS52JE63kDKyG7bPXnFogHk/edit?usp=shar"&amp;"ing"",""นครศรีธรรมราช!N271"")+IMPORTRANGE(""https://docs.google.com/spreadsheets/d/1iodCdmuK2GR3jzUwk8tpccY2JHQQA-87DLOtJP-ooyU/edit?usp=sharing"",""นราธิวาส!N271"")+IMPORTRANGE(""https://docs.google.com/spreadsheets/d/1SDNX3JhDdYRuIOsj0Wh2M-Qa_eaXl0NbWmh"&amp;"AOTbfQAs/edit?usp=sharing"",""ปัตตานี!N271"")+IMPORTRANGE(""https://docs.google.com/spreadsheets/d/16JDLGguT8s5DsGCND1KcwHP_AWR_zDMTqLHPLJUKhaU/edit?usp=sharing"",""พังงา!N271"")+IMPORTRANGE(""https://docs.google.com/spreadsheets/d/17ht0gPKzzT3PObBL1XJkeR"&amp;"mntBXI7wGjpLV7QorqlTk/edit?usp=sharing"",""พัทลุง!N271"")+IMPORTRANGE(""https://docs.google.com/spreadsheets/d/1rd4qoM1q_hsgaolqNGfrim9gbsoLxQsda4-vOz5x_BM/edit?usp=sharing"",""ภูเก็ต!N271"")+IMPORTRANGE(""https://docs.google.com/spreadsheets/d/1woKwKjgoL"&amp;"ssDvPcPeVyezB5izizAn4X1JDrys69n6xI/edit?usp=sharing"",""ยะลา!N271"")+IMPORTRANGE(""https://docs.google.com/spreadsheets/d/1qfrKjzMhm2HJfxQ-qVlJlJQ25Hne1d0khsySbZyGtPA/edit?usp=sharing"",""ระนอง!N271"")+IMPORTRANGE(""https://docs.google.com/spreadsheets/d/"&amp;"1IbSCnFOKpZsnFogBHJnL_isstZVaOMnFiIN0fGTPZZw/edit?usp=sharing"",""สงขลา!N271"")+IMPORTRANGE(""https://docs.google.com/spreadsheets/d/1q9nWasZJ-K8bFGvbE9n0qSRuKGA4Toe3Y89cKCiVtCU/edit?usp=sharing"",""สตูล!N271"")+IMPORTRANGE(""https://docs.google.com/sprea"&amp;"dsheets/d/18T20gbkS_WBjdscyTOV05cvq_JqvqQ17C81mpxf7Ncs/edit?usp=sharing"",""สุราษฎร์ธานี!N271"")"),60570)</f>
        <v>60570</v>
      </c>
      <c r="O271" s="47">
        <f t="shared" ca="1" si="189"/>
        <v>86.528571428571425</v>
      </c>
      <c r="P271" s="47">
        <f t="shared" ca="1" si="190"/>
        <v>59.271944417261963</v>
      </c>
      <c r="Q271" s="47">
        <f ca="1">IFERROR(__xludf.DUMMYFUNCTION("IMPORTRANGE(""https://docs.google.com/spreadsheets/d/1kKUcYdkIfrgTSj8iHHHB2MD2FAtwyyocFgqGQn6ADyI/edit?usp=sharing"",""กระบี่!Q271"")+IMPORTRANGE(""https://docs.google.com/spreadsheets/d/1GwtLaSlNZkLk7iDqcyZz22giiy40b_usZZBXYciEN1U/edit?usp=sharing"",""ชุ"&amp;"มพร!Q271"")+IMPORTRANGE(""https://docs.google.com/spreadsheets/d/16pAz3pOhQEZBhvFNMa5KGgZS6iKWpsKX0pg6tQmwFpo/edit?usp=sharing"",""ตรัง!Q271"")+IMPORTRANGE(""https://docs.google.com/spreadsheets/d/1Dj4jcHCTV9JXKCaMoheSXS52JE63kDKyG7bPXnFogHk/edit?usp=shar"&amp;"ing"",""นครศรีธรรมราช!Q271"")+IMPORTRANGE(""https://docs.google.com/spreadsheets/d/1iodCdmuK2GR3jzUwk8tpccY2JHQQA-87DLOtJP-ooyU/edit?usp=sharing"",""นราธิวาส!Q271"")+IMPORTRANGE(""https://docs.google.com/spreadsheets/d/1SDNX3JhDdYRuIOsj0Wh2M-Qa_eaXl0NbWmh"&amp;"AOTbfQAs/edit?usp=sharing"",""ปัตตานี!Q271"")+IMPORTRANGE(""https://docs.google.com/spreadsheets/d/16JDLGguT8s5DsGCND1KcwHP_AWR_zDMTqLHPLJUKhaU/edit?usp=sharing"",""พังงา!Q271"")+IMPORTRANGE(""https://docs.google.com/spreadsheets/d/17ht0gPKzzT3PObBL1XJkeR"&amp;"mntBXI7wGjpLV7QorqlTk/edit?usp=sharing"",""พัทลุง!Q271"")+IMPORTRANGE(""https://docs.google.com/spreadsheets/d/1rd4qoM1q_hsgaolqNGfrim9gbsoLxQsda4-vOz5x_BM/edit?usp=sharing"",""ภูเก็ต!Q271"")+IMPORTRANGE(""https://docs.google.com/spreadsheets/d/1woKwKjgoL"&amp;"ssDvPcPeVyezB5izizAn4X1JDrys69n6xI/edit?usp=sharing"",""ยะลา!Q271"")+IMPORTRANGE(""https://docs.google.com/spreadsheets/d/1qfrKjzMhm2HJfxQ-qVlJlJQ25Hne1d0khsySbZyGtPA/edit?usp=sharing"",""ระนอง!Q271"")+IMPORTRANGE(""https://docs.google.com/spreadsheets/d/"&amp;"1IbSCnFOKpZsnFogBHJnL_isstZVaOMnFiIN0fGTPZZw/edit?usp=sharing"",""สงขลา!Q271"")+IMPORTRANGE(""https://docs.google.com/spreadsheets/d/1q9nWasZJ-K8bFGvbE9n0qSRuKGA4Toe3Y89cKCiVtCU/edit?usp=sharing"",""สตูล!Q271"")+IMPORTRANGE(""https://docs.google.com/sprea"&amp;"dsheets/d/18T20gbkS_WBjdscyTOV05cvq_JqvqQ17C81mpxf7Ncs/edit?usp=sharing"",""สุราษฎร์ธานี!Q271"")"),706460)</f>
        <v>706460</v>
      </c>
      <c r="R271" s="47">
        <f ca="1">IFERROR(__xludf.DUMMYFUNCTION("IMPORTRANGE(""https://docs.google.com/spreadsheets/d/1kKUcYdkIfrgTSj8iHHHB2MD2FAtwyyocFgqGQn6ADyI/edit?usp=sharing"",""กระบี่!R271"")+IMPORTRANGE(""https://docs.google.com/spreadsheets/d/1GwtLaSlNZkLk7iDqcyZz22giiy40b_usZZBXYciEN1U/edit?usp=sharing"",""ชุ"&amp;"มพร!R271"")+IMPORTRANGE(""https://docs.google.com/spreadsheets/d/16pAz3pOhQEZBhvFNMa5KGgZS6iKWpsKX0pg6tQmwFpo/edit?usp=sharing"",""ตรัง!R271"")+IMPORTRANGE(""https://docs.google.com/spreadsheets/d/1Dj4jcHCTV9JXKCaMoheSXS52JE63kDKyG7bPXnFogHk/edit?usp=shar"&amp;"ing"",""นครศรีธรรมราช!R271"")+IMPORTRANGE(""https://docs.google.com/spreadsheets/d/1iodCdmuK2GR3jzUwk8tpccY2JHQQA-87DLOtJP-ooyU/edit?usp=sharing"",""นราธิวาส!R271"")+IMPORTRANGE(""https://docs.google.com/spreadsheets/d/1SDNX3JhDdYRuIOsj0Wh2M-Qa_eaXl0NbWmh"&amp;"AOTbfQAs/edit?usp=sharing"",""ปัตตานี!R271"")+IMPORTRANGE(""https://docs.google.com/spreadsheets/d/16JDLGguT8s5DsGCND1KcwHP_AWR_zDMTqLHPLJUKhaU/edit?usp=sharing"",""พังงา!R271"")+IMPORTRANGE(""https://docs.google.com/spreadsheets/d/17ht0gPKzzT3PObBL1XJkeR"&amp;"mntBXI7wGjpLV7QorqlTk/edit?usp=sharing"",""พัทลุง!R271"")+IMPORTRANGE(""https://docs.google.com/spreadsheets/d/1rd4qoM1q_hsgaolqNGfrim9gbsoLxQsda4-vOz5x_BM/edit?usp=sharing"",""ภูเก็ต!R271"")+IMPORTRANGE(""https://docs.google.com/spreadsheets/d/1woKwKjgoL"&amp;"ssDvPcPeVyezB5izizAn4X1JDrys69n6xI/edit?usp=sharing"",""ยะลา!R271"")+IMPORTRANGE(""https://docs.google.com/spreadsheets/d/1qfrKjzMhm2HJfxQ-qVlJlJQ25Hne1d0khsySbZyGtPA/edit?usp=sharing"",""ระนอง!R271"")+IMPORTRANGE(""https://docs.google.com/spreadsheets/d/"&amp;"1IbSCnFOKpZsnFogBHJnL_isstZVaOMnFiIN0fGTPZZw/edit?usp=sharing"",""สงขลา!R271"")+IMPORTRANGE(""https://docs.google.com/spreadsheets/d/1q9nWasZJ-K8bFGvbE9n0qSRuKGA4Toe3Y89cKCiVtCU/edit?usp=sharing"",""สตูล!R271"")+IMPORTRANGE(""https://docs.google.com/sprea"&amp;"dsheets/d/18T20gbkS_WBjdscyTOV05cvq_JqvqQ17C81mpxf7Ncs/edit?usp=sharing"",""สุราษฎร์ธานี!R271"")"),706460)</f>
        <v>706460</v>
      </c>
      <c r="S271" s="47">
        <f ca="1">IFERROR(__xludf.DUMMYFUNCTION("IMPORTRANGE(""https://docs.google.com/spreadsheets/d/1kKUcYdkIfrgTSj8iHHHB2MD2FAtwyyocFgqGQn6ADyI/edit?usp=sharing"",""กระบี่!S271"")+IMPORTRANGE(""https://docs.google.com/spreadsheets/d/1GwtLaSlNZkLk7iDqcyZz22giiy40b_usZZBXYciEN1U/edit?usp=sharing"",""ชุ"&amp;"มพร!S271"")+IMPORTRANGE(""https://docs.google.com/spreadsheets/d/16pAz3pOhQEZBhvFNMa5KGgZS6iKWpsKX0pg6tQmwFpo/edit?usp=sharing"",""ตรัง!S271"")+IMPORTRANGE(""https://docs.google.com/spreadsheets/d/1Dj4jcHCTV9JXKCaMoheSXS52JE63kDKyG7bPXnFogHk/edit?usp=shar"&amp;"ing"",""นครศรีธรรมราช!S271"")+IMPORTRANGE(""https://docs.google.com/spreadsheets/d/1iodCdmuK2GR3jzUwk8tpccY2JHQQA-87DLOtJP-ooyU/edit?usp=sharing"",""นราธิวาส!S271"")+IMPORTRANGE(""https://docs.google.com/spreadsheets/d/1SDNX3JhDdYRuIOsj0Wh2M-Qa_eaXl0NbWmh"&amp;"AOTbfQAs/edit?usp=sharing"",""ปัตตานี!S271"")+IMPORTRANGE(""https://docs.google.com/spreadsheets/d/16JDLGguT8s5DsGCND1KcwHP_AWR_zDMTqLHPLJUKhaU/edit?usp=sharing"",""พังงา!S271"")+IMPORTRANGE(""https://docs.google.com/spreadsheets/d/17ht0gPKzzT3PObBL1XJkeR"&amp;"mntBXI7wGjpLV7QorqlTk/edit?usp=sharing"",""พัทลุง!S271"")+IMPORTRANGE(""https://docs.google.com/spreadsheets/d/1rd4qoM1q_hsgaolqNGfrim9gbsoLxQsda4-vOz5x_BM/edit?usp=sharing"",""ภูเก็ต!S271"")+IMPORTRANGE(""https://docs.google.com/spreadsheets/d/1woKwKjgoL"&amp;"ssDvPcPeVyezB5izizAn4X1JDrys69n6xI/edit?usp=sharing"",""ยะลา!S271"")+IMPORTRANGE(""https://docs.google.com/spreadsheets/d/1qfrKjzMhm2HJfxQ-qVlJlJQ25Hne1d0khsySbZyGtPA/edit?usp=sharing"",""ระนอง!S271"")+IMPORTRANGE(""https://docs.google.com/spreadsheets/d/"&amp;"1IbSCnFOKpZsnFogBHJnL_isstZVaOMnFiIN0fGTPZZw/edit?usp=sharing"",""สงขลา!S271"")+IMPORTRANGE(""https://docs.google.com/spreadsheets/d/1q9nWasZJ-K8bFGvbE9n0qSRuKGA4Toe3Y89cKCiVtCU/edit?usp=sharing"",""สตูล!S271"")+IMPORTRANGE(""https://docs.google.com/sprea"&amp;"dsheets/d/18T20gbkS_WBjdscyTOV05cvq_JqvqQ17C81mpxf7Ncs/edit?usp=sharing"",""สุราษฎร์ธานี!S271"")"),455545)</f>
        <v>455545</v>
      </c>
      <c r="T271" s="47">
        <f t="shared" ca="1" si="192"/>
        <v>64.482773263879054</v>
      </c>
      <c r="U271" s="47">
        <f t="shared" ca="1" si="193"/>
        <v>64.482773263879054</v>
      </c>
    </row>
    <row r="272" spans="1:21" ht="18.75" x14ac:dyDescent="0.25">
      <c r="A272" s="128"/>
      <c r="B272" s="41"/>
      <c r="C272" s="41"/>
      <c r="D272" s="42" t="s">
        <v>23</v>
      </c>
      <c r="E272" s="41"/>
      <c r="F272" s="41"/>
      <c r="G272" s="43"/>
      <c r="H272" s="137" t="s">
        <v>14</v>
      </c>
      <c r="I272" s="135"/>
      <c r="J272" s="135"/>
      <c r="K272" s="136"/>
      <c r="L272" s="47">
        <f t="shared" ref="L272:N272" ca="1" si="200">L273+L274</f>
        <v>0</v>
      </c>
      <c r="M272" s="47">
        <f t="shared" ca="1" si="200"/>
        <v>0</v>
      </c>
      <c r="N272" s="47">
        <f t="shared" ca="1" si="200"/>
        <v>0</v>
      </c>
      <c r="O272" s="47">
        <f t="shared" ca="1" si="189"/>
        <v>0</v>
      </c>
      <c r="P272" s="47">
        <f t="shared" ca="1" si="190"/>
        <v>0</v>
      </c>
      <c r="Q272" s="47">
        <f t="shared" ref="Q272:S272" ca="1" si="201">Q273+Q274</f>
        <v>0</v>
      </c>
      <c r="R272" s="47">
        <f t="shared" ca="1" si="201"/>
        <v>0</v>
      </c>
      <c r="S272" s="47">
        <f t="shared" ca="1" si="201"/>
        <v>0</v>
      </c>
      <c r="T272" s="47">
        <f t="shared" ca="1" si="192"/>
        <v>0</v>
      </c>
      <c r="U272" s="47">
        <f t="shared" ca="1" si="193"/>
        <v>0</v>
      </c>
    </row>
    <row r="273" spans="1:21" ht="18.75" hidden="1" x14ac:dyDescent="0.25">
      <c r="A273" s="128"/>
      <c r="B273" s="41"/>
      <c r="C273" s="41"/>
      <c r="D273" s="41"/>
      <c r="E273" s="48" t="s">
        <v>20</v>
      </c>
      <c r="F273" s="41"/>
      <c r="G273" s="43"/>
      <c r="H273" s="134" t="s">
        <v>14</v>
      </c>
      <c r="I273" s="135"/>
      <c r="J273" s="135"/>
      <c r="K273" s="136"/>
      <c r="L273" s="47">
        <f ca="1">IFERROR(__xludf.DUMMYFUNCTION("IMPORTRANGE(""https://docs.google.com/spreadsheets/d/1kKUcYdkIfrgTSj8iHHHB2MD2FAtwyyocFgqGQn6ADyI/edit?usp=sharing"",""กระบี่!L273"")+IMPORTRANGE(""https://docs.google.com/spreadsheets/d/1GwtLaSlNZkLk7iDqcyZz22giiy40b_usZZBXYciEN1U/edit?usp=sharing"",""ชุ"&amp;"มพร!L273"")+IMPORTRANGE(""https://docs.google.com/spreadsheets/d/16pAz3pOhQEZBhvFNMa5KGgZS6iKWpsKX0pg6tQmwFpo/edit?usp=sharing"",""ตรัง!L273"")+IMPORTRANGE(""https://docs.google.com/spreadsheets/d/1Dj4jcHCTV9JXKCaMoheSXS52JE63kDKyG7bPXnFogHk/edit?usp=shar"&amp;"ing"",""นครศรีธรรมราช!L273"")+IMPORTRANGE(""https://docs.google.com/spreadsheets/d/1iodCdmuK2GR3jzUwk8tpccY2JHQQA-87DLOtJP-ooyU/edit?usp=sharing"",""นราธิวาส!L273"")+IMPORTRANGE(""https://docs.google.com/spreadsheets/d/1SDNX3JhDdYRuIOsj0Wh2M-Qa_eaXl0NbWmh"&amp;"AOTbfQAs/edit?usp=sharing"",""ปัตตานี!L273"")+IMPORTRANGE(""https://docs.google.com/spreadsheets/d/16JDLGguT8s5DsGCND1KcwHP_AWR_zDMTqLHPLJUKhaU/edit?usp=sharing"",""พังงา!L273"")+IMPORTRANGE(""https://docs.google.com/spreadsheets/d/17ht0gPKzzT3PObBL1XJkeR"&amp;"mntBXI7wGjpLV7QorqlTk/edit?usp=sharing"",""พัทลุง!L273"")+IMPORTRANGE(""https://docs.google.com/spreadsheets/d/1rd4qoM1q_hsgaolqNGfrim9gbsoLxQsda4-vOz5x_BM/edit?usp=sharing"",""ภูเก็ต!L273"")+IMPORTRANGE(""https://docs.google.com/spreadsheets/d/1woKwKjgoL"&amp;"ssDvPcPeVyezB5izizAn4X1JDrys69n6xI/edit?usp=sharing"",""ยะลา!L273"")+IMPORTRANGE(""https://docs.google.com/spreadsheets/d/1qfrKjzMhm2HJfxQ-qVlJlJQ25Hne1d0khsySbZyGtPA/edit?usp=sharing"",""ระนอง!L273"")+IMPORTRANGE(""https://docs.google.com/spreadsheets/d/"&amp;"1IbSCnFOKpZsnFogBHJnL_isstZVaOMnFiIN0fGTPZZw/edit?usp=sharing"",""สงขลา!L273"")+IMPORTRANGE(""https://docs.google.com/spreadsheets/d/1q9nWasZJ-K8bFGvbE9n0qSRuKGA4Toe3Y89cKCiVtCU/edit?usp=sharing"",""สตูล!L273"")+IMPORTRANGE(""https://docs.google.com/sprea"&amp;"dsheets/d/18T20gbkS_WBjdscyTOV05cvq_JqvqQ17C81mpxf7Ncs/edit?usp=sharing"",""สุราษฎร์ธานี!L273"")"),0)</f>
        <v>0</v>
      </c>
      <c r="M273" s="47">
        <f ca="1">IFERROR(__xludf.DUMMYFUNCTION("IMPORTRANGE(""https://docs.google.com/spreadsheets/d/1kKUcYdkIfrgTSj8iHHHB2MD2FAtwyyocFgqGQn6ADyI/edit?usp=sharing"",""กระบี่!M273"")+IMPORTRANGE(""https://docs.google.com/spreadsheets/d/1GwtLaSlNZkLk7iDqcyZz22giiy40b_usZZBXYciEN1U/edit?usp=sharing"",""ชุ"&amp;"มพร!M273"")+IMPORTRANGE(""https://docs.google.com/spreadsheets/d/16pAz3pOhQEZBhvFNMa5KGgZS6iKWpsKX0pg6tQmwFpo/edit?usp=sharing"",""ตรัง!M273"")+IMPORTRANGE(""https://docs.google.com/spreadsheets/d/1Dj4jcHCTV9JXKCaMoheSXS52JE63kDKyG7bPXnFogHk/edit?usp=shar"&amp;"ing"",""นครศรีธรรมราช!M273"")+IMPORTRANGE(""https://docs.google.com/spreadsheets/d/1iodCdmuK2GR3jzUwk8tpccY2JHQQA-87DLOtJP-ooyU/edit?usp=sharing"",""นราธิวาส!M273"")+IMPORTRANGE(""https://docs.google.com/spreadsheets/d/1SDNX3JhDdYRuIOsj0Wh2M-Qa_eaXl0NbWmh"&amp;"AOTbfQAs/edit?usp=sharing"",""ปัตตานี!M273"")+IMPORTRANGE(""https://docs.google.com/spreadsheets/d/16JDLGguT8s5DsGCND1KcwHP_AWR_zDMTqLHPLJUKhaU/edit?usp=sharing"",""พังงา!M273"")+IMPORTRANGE(""https://docs.google.com/spreadsheets/d/17ht0gPKzzT3PObBL1XJkeR"&amp;"mntBXI7wGjpLV7QorqlTk/edit?usp=sharing"",""พัทลุง!M273"")+IMPORTRANGE(""https://docs.google.com/spreadsheets/d/1rd4qoM1q_hsgaolqNGfrim9gbsoLxQsda4-vOz5x_BM/edit?usp=sharing"",""ภูเก็ต!M273"")+IMPORTRANGE(""https://docs.google.com/spreadsheets/d/1woKwKjgoL"&amp;"ssDvPcPeVyezB5izizAn4X1JDrys69n6xI/edit?usp=sharing"",""ยะลา!M273"")+IMPORTRANGE(""https://docs.google.com/spreadsheets/d/1qfrKjzMhm2HJfxQ-qVlJlJQ25Hne1d0khsySbZyGtPA/edit?usp=sharing"",""ระนอง!M273"")+IMPORTRANGE(""https://docs.google.com/spreadsheets/d/"&amp;"1IbSCnFOKpZsnFogBHJnL_isstZVaOMnFiIN0fGTPZZw/edit?usp=sharing"",""สงขลา!M273"")+IMPORTRANGE(""https://docs.google.com/spreadsheets/d/1q9nWasZJ-K8bFGvbE9n0qSRuKGA4Toe3Y89cKCiVtCU/edit?usp=sharing"",""สตูล!M273"")+IMPORTRANGE(""https://docs.google.com/sprea"&amp;"dsheets/d/18T20gbkS_WBjdscyTOV05cvq_JqvqQ17C81mpxf7Ncs/edit?usp=sharing"",""สุราษฎร์ธานี!M273"")"),0)</f>
        <v>0</v>
      </c>
      <c r="N273" s="47">
        <f ca="1">IFERROR(__xludf.DUMMYFUNCTION("IMPORTRANGE(""https://docs.google.com/spreadsheets/d/1kKUcYdkIfrgTSj8iHHHB2MD2FAtwyyocFgqGQn6ADyI/edit?usp=sharing"",""กระบี่!N273"")+IMPORTRANGE(""https://docs.google.com/spreadsheets/d/1GwtLaSlNZkLk7iDqcyZz22giiy40b_usZZBXYciEN1U/edit?usp=sharing"",""ชุ"&amp;"มพร!N273"")+IMPORTRANGE(""https://docs.google.com/spreadsheets/d/16pAz3pOhQEZBhvFNMa5KGgZS6iKWpsKX0pg6tQmwFpo/edit?usp=sharing"",""ตรัง!N273"")+IMPORTRANGE(""https://docs.google.com/spreadsheets/d/1Dj4jcHCTV9JXKCaMoheSXS52JE63kDKyG7bPXnFogHk/edit?usp=shar"&amp;"ing"",""นครศรีธรรมราช!N273"")+IMPORTRANGE(""https://docs.google.com/spreadsheets/d/1iodCdmuK2GR3jzUwk8tpccY2JHQQA-87DLOtJP-ooyU/edit?usp=sharing"",""นราธิวาส!N273"")+IMPORTRANGE(""https://docs.google.com/spreadsheets/d/1SDNX3JhDdYRuIOsj0Wh2M-Qa_eaXl0NbWmh"&amp;"AOTbfQAs/edit?usp=sharing"",""ปัตตานี!N273"")+IMPORTRANGE(""https://docs.google.com/spreadsheets/d/16JDLGguT8s5DsGCND1KcwHP_AWR_zDMTqLHPLJUKhaU/edit?usp=sharing"",""พังงา!N273"")+IMPORTRANGE(""https://docs.google.com/spreadsheets/d/17ht0gPKzzT3PObBL1XJkeR"&amp;"mntBXI7wGjpLV7QorqlTk/edit?usp=sharing"",""พัทลุง!N273"")+IMPORTRANGE(""https://docs.google.com/spreadsheets/d/1rd4qoM1q_hsgaolqNGfrim9gbsoLxQsda4-vOz5x_BM/edit?usp=sharing"",""ภูเก็ต!N273"")+IMPORTRANGE(""https://docs.google.com/spreadsheets/d/1woKwKjgoL"&amp;"ssDvPcPeVyezB5izizAn4X1JDrys69n6xI/edit?usp=sharing"",""ยะลา!N273"")+IMPORTRANGE(""https://docs.google.com/spreadsheets/d/1qfrKjzMhm2HJfxQ-qVlJlJQ25Hne1d0khsySbZyGtPA/edit?usp=sharing"",""ระนอง!N273"")+IMPORTRANGE(""https://docs.google.com/spreadsheets/d/"&amp;"1IbSCnFOKpZsnFogBHJnL_isstZVaOMnFiIN0fGTPZZw/edit?usp=sharing"",""สงขลา!N273"")+IMPORTRANGE(""https://docs.google.com/spreadsheets/d/1q9nWasZJ-K8bFGvbE9n0qSRuKGA4Toe3Y89cKCiVtCU/edit?usp=sharing"",""สตูล!N273"")+IMPORTRANGE(""https://docs.google.com/sprea"&amp;"dsheets/d/18T20gbkS_WBjdscyTOV05cvq_JqvqQ17C81mpxf7Ncs/edit?usp=sharing"",""สุราษฎร์ธานี!N273"")"),0)</f>
        <v>0</v>
      </c>
      <c r="O273" s="47">
        <f t="shared" ca="1" si="189"/>
        <v>0</v>
      </c>
      <c r="P273" s="47">
        <f t="shared" ca="1" si="190"/>
        <v>0</v>
      </c>
      <c r="Q273" s="47">
        <f ca="1">IFERROR(__xludf.DUMMYFUNCTION("IMPORTRANGE(""https://docs.google.com/spreadsheets/d/1kKUcYdkIfrgTSj8iHHHB2MD2FAtwyyocFgqGQn6ADyI/edit?usp=sharing"",""กระบี่!Q273"")+IMPORTRANGE(""https://docs.google.com/spreadsheets/d/1GwtLaSlNZkLk7iDqcyZz22giiy40b_usZZBXYciEN1U/edit?usp=sharing"",""ชุ"&amp;"มพร!Q273"")+IMPORTRANGE(""https://docs.google.com/spreadsheets/d/16pAz3pOhQEZBhvFNMa5KGgZS6iKWpsKX0pg6tQmwFpo/edit?usp=sharing"",""ตรัง!Q273"")+IMPORTRANGE(""https://docs.google.com/spreadsheets/d/1Dj4jcHCTV9JXKCaMoheSXS52JE63kDKyG7bPXnFogHk/edit?usp=shar"&amp;"ing"",""นครศรีธรรมราช!Q273"")+IMPORTRANGE(""https://docs.google.com/spreadsheets/d/1iodCdmuK2GR3jzUwk8tpccY2JHQQA-87DLOtJP-ooyU/edit?usp=sharing"",""นราธิวาส!Q273"")+IMPORTRANGE(""https://docs.google.com/spreadsheets/d/1SDNX3JhDdYRuIOsj0Wh2M-Qa_eaXl0NbWmh"&amp;"AOTbfQAs/edit?usp=sharing"",""ปัตตานี!Q273"")+IMPORTRANGE(""https://docs.google.com/spreadsheets/d/16JDLGguT8s5DsGCND1KcwHP_AWR_zDMTqLHPLJUKhaU/edit?usp=sharing"",""พังงา!Q273"")+IMPORTRANGE(""https://docs.google.com/spreadsheets/d/17ht0gPKzzT3PObBL1XJkeR"&amp;"mntBXI7wGjpLV7QorqlTk/edit?usp=sharing"",""พัทลุง!Q273"")+IMPORTRANGE(""https://docs.google.com/spreadsheets/d/1rd4qoM1q_hsgaolqNGfrim9gbsoLxQsda4-vOz5x_BM/edit?usp=sharing"",""ภูเก็ต!Q273"")+IMPORTRANGE(""https://docs.google.com/spreadsheets/d/1woKwKjgoL"&amp;"ssDvPcPeVyezB5izizAn4X1JDrys69n6xI/edit?usp=sharing"",""ยะลา!Q273"")+IMPORTRANGE(""https://docs.google.com/spreadsheets/d/1qfrKjzMhm2HJfxQ-qVlJlJQ25Hne1d0khsySbZyGtPA/edit?usp=sharing"",""ระนอง!Q273"")+IMPORTRANGE(""https://docs.google.com/spreadsheets/d/"&amp;"1IbSCnFOKpZsnFogBHJnL_isstZVaOMnFiIN0fGTPZZw/edit?usp=sharing"",""สงขลา!Q273"")+IMPORTRANGE(""https://docs.google.com/spreadsheets/d/1q9nWasZJ-K8bFGvbE9n0qSRuKGA4Toe3Y89cKCiVtCU/edit?usp=sharing"",""สตูล!Q273"")+IMPORTRANGE(""https://docs.google.com/sprea"&amp;"dsheets/d/18T20gbkS_WBjdscyTOV05cvq_JqvqQ17C81mpxf7Ncs/edit?usp=sharing"",""สุราษฎร์ธานี!Q273"")"),0)</f>
        <v>0</v>
      </c>
      <c r="R273" s="47">
        <f ca="1">IFERROR(__xludf.DUMMYFUNCTION("IMPORTRANGE(""https://docs.google.com/spreadsheets/d/1kKUcYdkIfrgTSj8iHHHB2MD2FAtwyyocFgqGQn6ADyI/edit?usp=sharing"",""กระบี่!R273"")+IMPORTRANGE(""https://docs.google.com/spreadsheets/d/1GwtLaSlNZkLk7iDqcyZz22giiy40b_usZZBXYciEN1U/edit?usp=sharing"",""ชุ"&amp;"มพร!R273"")+IMPORTRANGE(""https://docs.google.com/spreadsheets/d/16pAz3pOhQEZBhvFNMa5KGgZS6iKWpsKX0pg6tQmwFpo/edit?usp=sharing"",""ตรัง!R273"")+IMPORTRANGE(""https://docs.google.com/spreadsheets/d/1Dj4jcHCTV9JXKCaMoheSXS52JE63kDKyG7bPXnFogHk/edit?usp=shar"&amp;"ing"",""นครศรีธรรมราช!R273"")+IMPORTRANGE(""https://docs.google.com/spreadsheets/d/1iodCdmuK2GR3jzUwk8tpccY2JHQQA-87DLOtJP-ooyU/edit?usp=sharing"",""นราธิวาส!R273"")+IMPORTRANGE(""https://docs.google.com/spreadsheets/d/1SDNX3JhDdYRuIOsj0Wh2M-Qa_eaXl0NbWmh"&amp;"AOTbfQAs/edit?usp=sharing"",""ปัตตานี!R273"")+IMPORTRANGE(""https://docs.google.com/spreadsheets/d/16JDLGguT8s5DsGCND1KcwHP_AWR_zDMTqLHPLJUKhaU/edit?usp=sharing"",""พังงา!R273"")+IMPORTRANGE(""https://docs.google.com/spreadsheets/d/17ht0gPKzzT3PObBL1XJkeR"&amp;"mntBXI7wGjpLV7QorqlTk/edit?usp=sharing"",""พัทลุง!R273"")+IMPORTRANGE(""https://docs.google.com/spreadsheets/d/1rd4qoM1q_hsgaolqNGfrim9gbsoLxQsda4-vOz5x_BM/edit?usp=sharing"",""ภูเก็ต!R273"")+IMPORTRANGE(""https://docs.google.com/spreadsheets/d/1woKwKjgoL"&amp;"ssDvPcPeVyezB5izizAn4X1JDrys69n6xI/edit?usp=sharing"",""ยะลา!R273"")+IMPORTRANGE(""https://docs.google.com/spreadsheets/d/1qfrKjzMhm2HJfxQ-qVlJlJQ25Hne1d0khsySbZyGtPA/edit?usp=sharing"",""ระนอง!R273"")+IMPORTRANGE(""https://docs.google.com/spreadsheets/d/"&amp;"1IbSCnFOKpZsnFogBHJnL_isstZVaOMnFiIN0fGTPZZw/edit?usp=sharing"",""สงขลา!R273"")+IMPORTRANGE(""https://docs.google.com/spreadsheets/d/1q9nWasZJ-K8bFGvbE9n0qSRuKGA4Toe3Y89cKCiVtCU/edit?usp=sharing"",""สตูล!R273"")+IMPORTRANGE(""https://docs.google.com/sprea"&amp;"dsheets/d/18T20gbkS_WBjdscyTOV05cvq_JqvqQ17C81mpxf7Ncs/edit?usp=sharing"",""สุราษฎร์ธานี!R273"")"),0)</f>
        <v>0</v>
      </c>
      <c r="S273" s="47">
        <f ca="1">IFERROR(__xludf.DUMMYFUNCTION("IMPORTRANGE(""https://docs.google.com/spreadsheets/d/1kKUcYdkIfrgTSj8iHHHB2MD2FAtwyyocFgqGQn6ADyI/edit?usp=sharing"",""กระบี่!S273"")+IMPORTRANGE(""https://docs.google.com/spreadsheets/d/1GwtLaSlNZkLk7iDqcyZz22giiy40b_usZZBXYciEN1U/edit?usp=sharing"",""ชุ"&amp;"มพร!S273"")+IMPORTRANGE(""https://docs.google.com/spreadsheets/d/16pAz3pOhQEZBhvFNMa5KGgZS6iKWpsKX0pg6tQmwFpo/edit?usp=sharing"",""ตรัง!S273"")+IMPORTRANGE(""https://docs.google.com/spreadsheets/d/1Dj4jcHCTV9JXKCaMoheSXS52JE63kDKyG7bPXnFogHk/edit?usp=shar"&amp;"ing"",""นครศรีธรรมราช!S273"")+IMPORTRANGE(""https://docs.google.com/spreadsheets/d/1iodCdmuK2GR3jzUwk8tpccY2JHQQA-87DLOtJP-ooyU/edit?usp=sharing"",""นราธิวาส!S273"")+IMPORTRANGE(""https://docs.google.com/spreadsheets/d/1SDNX3JhDdYRuIOsj0Wh2M-Qa_eaXl0NbWmh"&amp;"AOTbfQAs/edit?usp=sharing"",""ปัตตานี!S273"")+IMPORTRANGE(""https://docs.google.com/spreadsheets/d/16JDLGguT8s5DsGCND1KcwHP_AWR_zDMTqLHPLJUKhaU/edit?usp=sharing"",""พังงา!S273"")+IMPORTRANGE(""https://docs.google.com/spreadsheets/d/17ht0gPKzzT3PObBL1XJkeR"&amp;"mntBXI7wGjpLV7QorqlTk/edit?usp=sharing"",""พัทลุง!S273"")+IMPORTRANGE(""https://docs.google.com/spreadsheets/d/1rd4qoM1q_hsgaolqNGfrim9gbsoLxQsda4-vOz5x_BM/edit?usp=sharing"",""ภูเก็ต!S273"")+IMPORTRANGE(""https://docs.google.com/spreadsheets/d/1woKwKjgoL"&amp;"ssDvPcPeVyezB5izizAn4X1JDrys69n6xI/edit?usp=sharing"",""ยะลา!S273"")+IMPORTRANGE(""https://docs.google.com/spreadsheets/d/1qfrKjzMhm2HJfxQ-qVlJlJQ25Hne1d0khsySbZyGtPA/edit?usp=sharing"",""ระนอง!S273"")+IMPORTRANGE(""https://docs.google.com/spreadsheets/d/"&amp;"1IbSCnFOKpZsnFogBHJnL_isstZVaOMnFiIN0fGTPZZw/edit?usp=sharing"",""สงขลา!S273"")+IMPORTRANGE(""https://docs.google.com/spreadsheets/d/1q9nWasZJ-K8bFGvbE9n0qSRuKGA4Toe3Y89cKCiVtCU/edit?usp=sharing"",""สตูล!S273"")+IMPORTRANGE(""https://docs.google.com/sprea"&amp;"dsheets/d/18T20gbkS_WBjdscyTOV05cvq_JqvqQ17C81mpxf7Ncs/edit?usp=sharing"",""สุราษฎร์ธานี!S273"")"),0)</f>
        <v>0</v>
      </c>
      <c r="T273" s="49">
        <f t="shared" ca="1" si="192"/>
        <v>0</v>
      </c>
      <c r="U273" s="49">
        <f t="shared" ca="1" si="193"/>
        <v>0</v>
      </c>
    </row>
    <row r="274" spans="1:21" ht="18.75" hidden="1" x14ac:dyDescent="0.25">
      <c r="A274" s="128"/>
      <c r="B274" s="41"/>
      <c r="C274" s="41"/>
      <c r="D274" s="41"/>
      <c r="E274" s="48" t="s">
        <v>21</v>
      </c>
      <c r="F274" s="41"/>
      <c r="G274" s="43"/>
      <c r="H274" s="137" t="s">
        <v>14</v>
      </c>
      <c r="I274" s="135"/>
      <c r="J274" s="135"/>
      <c r="K274" s="136"/>
      <c r="L274" s="47">
        <f ca="1">IFERROR(__xludf.DUMMYFUNCTION("IMPORTRANGE(""https://docs.google.com/spreadsheets/d/1kKUcYdkIfrgTSj8iHHHB2MD2FAtwyyocFgqGQn6ADyI/edit?usp=sharing"",""กระบี่!L274"")+IMPORTRANGE(""https://docs.google.com/spreadsheets/d/1GwtLaSlNZkLk7iDqcyZz22giiy40b_usZZBXYciEN1U/edit?usp=sharing"",""ชุ"&amp;"มพร!L274"")+IMPORTRANGE(""https://docs.google.com/spreadsheets/d/16pAz3pOhQEZBhvFNMa5KGgZS6iKWpsKX0pg6tQmwFpo/edit?usp=sharing"",""ตรัง!L274"")+IMPORTRANGE(""https://docs.google.com/spreadsheets/d/1Dj4jcHCTV9JXKCaMoheSXS52JE63kDKyG7bPXnFogHk/edit?usp=shar"&amp;"ing"",""นครศรีธรรมราช!L274"")+IMPORTRANGE(""https://docs.google.com/spreadsheets/d/1iodCdmuK2GR3jzUwk8tpccY2JHQQA-87DLOtJP-ooyU/edit?usp=sharing"",""นราธิวาส!L274"")+IMPORTRANGE(""https://docs.google.com/spreadsheets/d/1SDNX3JhDdYRuIOsj0Wh2M-Qa_eaXl0NbWmh"&amp;"AOTbfQAs/edit?usp=sharing"",""ปัตตานี!L274"")+IMPORTRANGE(""https://docs.google.com/spreadsheets/d/16JDLGguT8s5DsGCND1KcwHP_AWR_zDMTqLHPLJUKhaU/edit?usp=sharing"",""พังงา!L274"")+IMPORTRANGE(""https://docs.google.com/spreadsheets/d/17ht0gPKzzT3PObBL1XJkeR"&amp;"mntBXI7wGjpLV7QorqlTk/edit?usp=sharing"",""พัทลุง!L274"")+IMPORTRANGE(""https://docs.google.com/spreadsheets/d/1rd4qoM1q_hsgaolqNGfrim9gbsoLxQsda4-vOz5x_BM/edit?usp=sharing"",""ภูเก็ต!L274"")+IMPORTRANGE(""https://docs.google.com/spreadsheets/d/1woKwKjgoL"&amp;"ssDvPcPeVyezB5izizAn4X1JDrys69n6xI/edit?usp=sharing"",""ยะลา!L274"")+IMPORTRANGE(""https://docs.google.com/spreadsheets/d/1qfrKjzMhm2HJfxQ-qVlJlJQ25Hne1d0khsySbZyGtPA/edit?usp=sharing"",""ระนอง!L274"")+IMPORTRANGE(""https://docs.google.com/spreadsheets/d/"&amp;"1IbSCnFOKpZsnFogBHJnL_isstZVaOMnFiIN0fGTPZZw/edit?usp=sharing"",""สงขลา!L274"")+IMPORTRANGE(""https://docs.google.com/spreadsheets/d/1q9nWasZJ-K8bFGvbE9n0qSRuKGA4Toe3Y89cKCiVtCU/edit?usp=sharing"",""สตูล!L274"")+IMPORTRANGE(""https://docs.google.com/sprea"&amp;"dsheets/d/18T20gbkS_WBjdscyTOV05cvq_JqvqQ17C81mpxf7Ncs/edit?usp=sharing"",""สุราษฎร์ธานี!L274"")"),0)</f>
        <v>0</v>
      </c>
      <c r="M274" s="47">
        <f ca="1">IFERROR(__xludf.DUMMYFUNCTION("IMPORTRANGE(""https://docs.google.com/spreadsheets/d/1kKUcYdkIfrgTSj8iHHHB2MD2FAtwyyocFgqGQn6ADyI/edit?usp=sharing"",""กระบี่!M274"")+IMPORTRANGE(""https://docs.google.com/spreadsheets/d/1GwtLaSlNZkLk7iDqcyZz22giiy40b_usZZBXYciEN1U/edit?usp=sharing"",""ชุ"&amp;"มพร!M274"")+IMPORTRANGE(""https://docs.google.com/spreadsheets/d/16pAz3pOhQEZBhvFNMa5KGgZS6iKWpsKX0pg6tQmwFpo/edit?usp=sharing"",""ตรัง!M274"")+IMPORTRANGE(""https://docs.google.com/spreadsheets/d/1Dj4jcHCTV9JXKCaMoheSXS52JE63kDKyG7bPXnFogHk/edit?usp=shar"&amp;"ing"",""นครศรีธรรมราช!M274"")+IMPORTRANGE(""https://docs.google.com/spreadsheets/d/1iodCdmuK2GR3jzUwk8tpccY2JHQQA-87DLOtJP-ooyU/edit?usp=sharing"",""นราธิวาส!M274"")+IMPORTRANGE(""https://docs.google.com/spreadsheets/d/1SDNX3JhDdYRuIOsj0Wh2M-Qa_eaXl0NbWmh"&amp;"AOTbfQAs/edit?usp=sharing"",""ปัตตานี!M274"")+IMPORTRANGE(""https://docs.google.com/spreadsheets/d/16JDLGguT8s5DsGCND1KcwHP_AWR_zDMTqLHPLJUKhaU/edit?usp=sharing"",""พังงา!M274"")+IMPORTRANGE(""https://docs.google.com/spreadsheets/d/17ht0gPKzzT3PObBL1XJkeR"&amp;"mntBXI7wGjpLV7QorqlTk/edit?usp=sharing"",""พัทลุง!M274"")+IMPORTRANGE(""https://docs.google.com/spreadsheets/d/1rd4qoM1q_hsgaolqNGfrim9gbsoLxQsda4-vOz5x_BM/edit?usp=sharing"",""ภูเก็ต!M274"")+IMPORTRANGE(""https://docs.google.com/spreadsheets/d/1woKwKjgoL"&amp;"ssDvPcPeVyezB5izizAn4X1JDrys69n6xI/edit?usp=sharing"",""ยะลา!M274"")+IMPORTRANGE(""https://docs.google.com/spreadsheets/d/1qfrKjzMhm2HJfxQ-qVlJlJQ25Hne1d0khsySbZyGtPA/edit?usp=sharing"",""ระนอง!M274"")+IMPORTRANGE(""https://docs.google.com/spreadsheets/d/"&amp;"1IbSCnFOKpZsnFogBHJnL_isstZVaOMnFiIN0fGTPZZw/edit?usp=sharing"",""สงขลา!M274"")+IMPORTRANGE(""https://docs.google.com/spreadsheets/d/1q9nWasZJ-K8bFGvbE9n0qSRuKGA4Toe3Y89cKCiVtCU/edit?usp=sharing"",""สตูล!M274"")+IMPORTRANGE(""https://docs.google.com/sprea"&amp;"dsheets/d/18T20gbkS_WBjdscyTOV05cvq_JqvqQ17C81mpxf7Ncs/edit?usp=sharing"",""สุราษฎร์ธานี!M274"")"),0)</f>
        <v>0</v>
      </c>
      <c r="N274" s="47">
        <f ca="1">IFERROR(__xludf.DUMMYFUNCTION("IMPORTRANGE(""https://docs.google.com/spreadsheets/d/1kKUcYdkIfrgTSj8iHHHB2MD2FAtwyyocFgqGQn6ADyI/edit?usp=sharing"",""กระบี่!N274"")+IMPORTRANGE(""https://docs.google.com/spreadsheets/d/1GwtLaSlNZkLk7iDqcyZz22giiy40b_usZZBXYciEN1U/edit?usp=sharing"",""ชุ"&amp;"มพร!N274"")+IMPORTRANGE(""https://docs.google.com/spreadsheets/d/16pAz3pOhQEZBhvFNMa5KGgZS6iKWpsKX0pg6tQmwFpo/edit?usp=sharing"",""ตรัง!N274"")+IMPORTRANGE(""https://docs.google.com/spreadsheets/d/1Dj4jcHCTV9JXKCaMoheSXS52JE63kDKyG7bPXnFogHk/edit?usp=shar"&amp;"ing"",""นครศรีธรรมราช!N274"")+IMPORTRANGE(""https://docs.google.com/spreadsheets/d/1iodCdmuK2GR3jzUwk8tpccY2JHQQA-87DLOtJP-ooyU/edit?usp=sharing"",""นราธิวาส!N274"")+IMPORTRANGE(""https://docs.google.com/spreadsheets/d/1SDNX3JhDdYRuIOsj0Wh2M-Qa_eaXl0NbWmh"&amp;"AOTbfQAs/edit?usp=sharing"",""ปัตตานี!N274"")+IMPORTRANGE(""https://docs.google.com/spreadsheets/d/16JDLGguT8s5DsGCND1KcwHP_AWR_zDMTqLHPLJUKhaU/edit?usp=sharing"",""พังงา!N274"")+IMPORTRANGE(""https://docs.google.com/spreadsheets/d/17ht0gPKzzT3PObBL1XJkeR"&amp;"mntBXI7wGjpLV7QorqlTk/edit?usp=sharing"",""พัทลุง!N274"")+IMPORTRANGE(""https://docs.google.com/spreadsheets/d/1rd4qoM1q_hsgaolqNGfrim9gbsoLxQsda4-vOz5x_BM/edit?usp=sharing"",""ภูเก็ต!N274"")+IMPORTRANGE(""https://docs.google.com/spreadsheets/d/1woKwKjgoL"&amp;"ssDvPcPeVyezB5izizAn4X1JDrys69n6xI/edit?usp=sharing"",""ยะลา!N274"")+IMPORTRANGE(""https://docs.google.com/spreadsheets/d/1qfrKjzMhm2HJfxQ-qVlJlJQ25Hne1d0khsySbZyGtPA/edit?usp=sharing"",""ระนอง!N274"")+IMPORTRANGE(""https://docs.google.com/spreadsheets/d/"&amp;"1IbSCnFOKpZsnFogBHJnL_isstZVaOMnFiIN0fGTPZZw/edit?usp=sharing"",""สงขลา!N274"")+IMPORTRANGE(""https://docs.google.com/spreadsheets/d/1q9nWasZJ-K8bFGvbE9n0qSRuKGA4Toe3Y89cKCiVtCU/edit?usp=sharing"",""สตูล!N274"")+IMPORTRANGE(""https://docs.google.com/sprea"&amp;"dsheets/d/18T20gbkS_WBjdscyTOV05cvq_JqvqQ17C81mpxf7Ncs/edit?usp=sharing"",""สุราษฎร์ธานี!N274"")"),0)</f>
        <v>0</v>
      </c>
      <c r="O274" s="47">
        <f t="shared" ca="1" si="189"/>
        <v>0</v>
      </c>
      <c r="P274" s="47">
        <f t="shared" ca="1" si="190"/>
        <v>0</v>
      </c>
      <c r="Q274" s="47">
        <f ca="1">IFERROR(__xludf.DUMMYFUNCTION("IMPORTRANGE(""https://docs.google.com/spreadsheets/d/1kKUcYdkIfrgTSj8iHHHB2MD2FAtwyyocFgqGQn6ADyI/edit?usp=sharing"",""กระบี่!Q274"")+IMPORTRANGE(""https://docs.google.com/spreadsheets/d/1GwtLaSlNZkLk7iDqcyZz22giiy40b_usZZBXYciEN1U/edit?usp=sharing"",""ชุ"&amp;"มพร!Q274"")+IMPORTRANGE(""https://docs.google.com/spreadsheets/d/16pAz3pOhQEZBhvFNMa5KGgZS6iKWpsKX0pg6tQmwFpo/edit?usp=sharing"",""ตรัง!Q274"")+IMPORTRANGE(""https://docs.google.com/spreadsheets/d/1Dj4jcHCTV9JXKCaMoheSXS52JE63kDKyG7bPXnFogHk/edit?usp=shar"&amp;"ing"",""นครศรีธรรมราช!Q274"")+IMPORTRANGE(""https://docs.google.com/spreadsheets/d/1iodCdmuK2GR3jzUwk8tpccY2JHQQA-87DLOtJP-ooyU/edit?usp=sharing"",""นราธิวาส!Q274"")+IMPORTRANGE(""https://docs.google.com/spreadsheets/d/1SDNX3JhDdYRuIOsj0Wh2M-Qa_eaXl0NbWmh"&amp;"AOTbfQAs/edit?usp=sharing"",""ปัตตานี!Q274"")+IMPORTRANGE(""https://docs.google.com/spreadsheets/d/16JDLGguT8s5DsGCND1KcwHP_AWR_zDMTqLHPLJUKhaU/edit?usp=sharing"",""พังงา!Q274"")+IMPORTRANGE(""https://docs.google.com/spreadsheets/d/17ht0gPKzzT3PObBL1XJkeR"&amp;"mntBXI7wGjpLV7QorqlTk/edit?usp=sharing"",""พัทลุง!Q274"")+IMPORTRANGE(""https://docs.google.com/spreadsheets/d/1rd4qoM1q_hsgaolqNGfrim9gbsoLxQsda4-vOz5x_BM/edit?usp=sharing"",""ภูเก็ต!Q274"")+IMPORTRANGE(""https://docs.google.com/spreadsheets/d/1woKwKjgoL"&amp;"ssDvPcPeVyezB5izizAn4X1JDrys69n6xI/edit?usp=sharing"",""ยะลา!Q274"")+IMPORTRANGE(""https://docs.google.com/spreadsheets/d/1qfrKjzMhm2HJfxQ-qVlJlJQ25Hne1d0khsySbZyGtPA/edit?usp=sharing"",""ระนอง!Q274"")+IMPORTRANGE(""https://docs.google.com/spreadsheets/d/"&amp;"1IbSCnFOKpZsnFogBHJnL_isstZVaOMnFiIN0fGTPZZw/edit?usp=sharing"",""สงขลา!Q274"")+IMPORTRANGE(""https://docs.google.com/spreadsheets/d/1q9nWasZJ-K8bFGvbE9n0qSRuKGA4Toe3Y89cKCiVtCU/edit?usp=sharing"",""สตูล!Q274"")+IMPORTRANGE(""https://docs.google.com/sprea"&amp;"dsheets/d/18T20gbkS_WBjdscyTOV05cvq_JqvqQ17C81mpxf7Ncs/edit?usp=sharing"",""สุราษฎร์ธานี!Q274"")"),0)</f>
        <v>0</v>
      </c>
      <c r="R274" s="47">
        <f ca="1">IFERROR(__xludf.DUMMYFUNCTION("IMPORTRANGE(""https://docs.google.com/spreadsheets/d/1kKUcYdkIfrgTSj8iHHHB2MD2FAtwyyocFgqGQn6ADyI/edit?usp=sharing"",""กระบี่!R274"")+IMPORTRANGE(""https://docs.google.com/spreadsheets/d/1GwtLaSlNZkLk7iDqcyZz22giiy40b_usZZBXYciEN1U/edit?usp=sharing"",""ชุ"&amp;"มพร!R274"")+IMPORTRANGE(""https://docs.google.com/spreadsheets/d/16pAz3pOhQEZBhvFNMa5KGgZS6iKWpsKX0pg6tQmwFpo/edit?usp=sharing"",""ตรัง!R274"")+IMPORTRANGE(""https://docs.google.com/spreadsheets/d/1Dj4jcHCTV9JXKCaMoheSXS52JE63kDKyG7bPXnFogHk/edit?usp=shar"&amp;"ing"",""นครศรีธรรมราช!R274"")+IMPORTRANGE(""https://docs.google.com/spreadsheets/d/1iodCdmuK2GR3jzUwk8tpccY2JHQQA-87DLOtJP-ooyU/edit?usp=sharing"",""นราธิวาส!R274"")+IMPORTRANGE(""https://docs.google.com/spreadsheets/d/1SDNX3JhDdYRuIOsj0Wh2M-Qa_eaXl0NbWmh"&amp;"AOTbfQAs/edit?usp=sharing"",""ปัตตานี!R274"")+IMPORTRANGE(""https://docs.google.com/spreadsheets/d/16JDLGguT8s5DsGCND1KcwHP_AWR_zDMTqLHPLJUKhaU/edit?usp=sharing"",""พังงา!R274"")+IMPORTRANGE(""https://docs.google.com/spreadsheets/d/17ht0gPKzzT3PObBL1XJkeR"&amp;"mntBXI7wGjpLV7QorqlTk/edit?usp=sharing"",""พัทลุง!R274"")+IMPORTRANGE(""https://docs.google.com/spreadsheets/d/1rd4qoM1q_hsgaolqNGfrim9gbsoLxQsda4-vOz5x_BM/edit?usp=sharing"",""ภูเก็ต!R274"")+IMPORTRANGE(""https://docs.google.com/spreadsheets/d/1woKwKjgoL"&amp;"ssDvPcPeVyezB5izizAn4X1JDrys69n6xI/edit?usp=sharing"",""ยะลา!R274"")+IMPORTRANGE(""https://docs.google.com/spreadsheets/d/1qfrKjzMhm2HJfxQ-qVlJlJQ25Hne1d0khsySbZyGtPA/edit?usp=sharing"",""ระนอง!R274"")+IMPORTRANGE(""https://docs.google.com/spreadsheets/d/"&amp;"1IbSCnFOKpZsnFogBHJnL_isstZVaOMnFiIN0fGTPZZw/edit?usp=sharing"",""สงขลา!R274"")+IMPORTRANGE(""https://docs.google.com/spreadsheets/d/1q9nWasZJ-K8bFGvbE9n0qSRuKGA4Toe3Y89cKCiVtCU/edit?usp=sharing"",""สตูล!R274"")+IMPORTRANGE(""https://docs.google.com/sprea"&amp;"dsheets/d/18T20gbkS_WBjdscyTOV05cvq_JqvqQ17C81mpxf7Ncs/edit?usp=sharing"",""สุราษฎร์ธานี!R274"")"),0)</f>
        <v>0</v>
      </c>
      <c r="S274" s="47">
        <f ca="1">IFERROR(__xludf.DUMMYFUNCTION("IMPORTRANGE(""https://docs.google.com/spreadsheets/d/1kKUcYdkIfrgTSj8iHHHB2MD2FAtwyyocFgqGQn6ADyI/edit?usp=sharing"",""กระบี่!S274"")+IMPORTRANGE(""https://docs.google.com/spreadsheets/d/1GwtLaSlNZkLk7iDqcyZz22giiy40b_usZZBXYciEN1U/edit?usp=sharing"",""ชุ"&amp;"มพร!S274"")+IMPORTRANGE(""https://docs.google.com/spreadsheets/d/16pAz3pOhQEZBhvFNMa5KGgZS6iKWpsKX0pg6tQmwFpo/edit?usp=sharing"",""ตรัง!S274"")+IMPORTRANGE(""https://docs.google.com/spreadsheets/d/1Dj4jcHCTV9JXKCaMoheSXS52JE63kDKyG7bPXnFogHk/edit?usp=shar"&amp;"ing"",""นครศรีธรรมราช!S274"")+IMPORTRANGE(""https://docs.google.com/spreadsheets/d/1iodCdmuK2GR3jzUwk8tpccY2JHQQA-87DLOtJP-ooyU/edit?usp=sharing"",""นราธิวาส!S274"")+IMPORTRANGE(""https://docs.google.com/spreadsheets/d/1SDNX3JhDdYRuIOsj0Wh2M-Qa_eaXl0NbWmh"&amp;"AOTbfQAs/edit?usp=sharing"",""ปัตตานี!S274"")+IMPORTRANGE(""https://docs.google.com/spreadsheets/d/16JDLGguT8s5DsGCND1KcwHP_AWR_zDMTqLHPLJUKhaU/edit?usp=sharing"",""พังงา!S274"")+IMPORTRANGE(""https://docs.google.com/spreadsheets/d/17ht0gPKzzT3PObBL1XJkeR"&amp;"mntBXI7wGjpLV7QorqlTk/edit?usp=sharing"",""พัทลุง!S274"")+IMPORTRANGE(""https://docs.google.com/spreadsheets/d/1rd4qoM1q_hsgaolqNGfrim9gbsoLxQsda4-vOz5x_BM/edit?usp=sharing"",""ภูเก็ต!S274"")+IMPORTRANGE(""https://docs.google.com/spreadsheets/d/1woKwKjgoL"&amp;"ssDvPcPeVyezB5izizAn4X1JDrys69n6xI/edit?usp=sharing"",""ยะลา!S274"")+IMPORTRANGE(""https://docs.google.com/spreadsheets/d/1qfrKjzMhm2HJfxQ-qVlJlJQ25Hne1d0khsySbZyGtPA/edit?usp=sharing"",""ระนอง!S274"")+IMPORTRANGE(""https://docs.google.com/spreadsheets/d/"&amp;"1IbSCnFOKpZsnFogBHJnL_isstZVaOMnFiIN0fGTPZZw/edit?usp=sharing"",""สงขลา!S274"")+IMPORTRANGE(""https://docs.google.com/spreadsheets/d/1q9nWasZJ-K8bFGvbE9n0qSRuKGA4Toe3Y89cKCiVtCU/edit?usp=sharing"",""สตูล!S274"")+IMPORTRANGE(""https://docs.google.com/sprea"&amp;"dsheets/d/18T20gbkS_WBjdscyTOV05cvq_JqvqQ17C81mpxf7Ncs/edit?usp=sharing"",""สุราษฎร์ธานี!S274"")"),0)</f>
        <v>0</v>
      </c>
      <c r="T274" s="47">
        <f t="shared" ca="1" si="192"/>
        <v>0</v>
      </c>
      <c r="U274" s="47">
        <f t="shared" ca="1" si="193"/>
        <v>0</v>
      </c>
    </row>
    <row r="275" spans="1:21" ht="19.5" x14ac:dyDescent="0.3">
      <c r="A275" s="138"/>
      <c r="B275" s="139"/>
      <c r="C275" s="48" t="s">
        <v>18</v>
      </c>
      <c r="D275" s="140" t="s">
        <v>38</v>
      </c>
      <c r="E275" s="141"/>
      <c r="F275" s="141"/>
      <c r="G275" s="142"/>
      <c r="H275" s="143"/>
      <c r="I275" s="135"/>
      <c r="J275" s="135"/>
      <c r="K275" s="136"/>
      <c r="L275" s="136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261"/>
      <c r="B276" s="159"/>
      <c r="C276" s="159"/>
      <c r="D276" s="262" t="s">
        <v>115</v>
      </c>
      <c r="E276" s="41"/>
      <c r="F276" s="41"/>
      <c r="G276" s="43"/>
      <c r="H276" s="133" t="s">
        <v>35</v>
      </c>
      <c r="I276" s="152">
        <f ca="1">IFERROR(__xludf.DUMMYFUNCTION("IMPORTRANGE(""https://docs.google.com/spreadsheets/d/1kKUcYdkIfrgTSj8iHHHB2MD2FAtwyyocFgqGQn6ADyI/edit?usp=sharing"",""กระบี่!I276"")+IMPORTRANGE(""https://docs.google.com/spreadsheets/d/1GwtLaSlNZkLk7iDqcyZz22giiy40b_usZZBXYciEN1U/edit?usp=sharing"",""ชุ"&amp;"มพร!I276"")+IMPORTRANGE(""https://docs.google.com/spreadsheets/d/16pAz3pOhQEZBhvFNMa5KGgZS6iKWpsKX0pg6tQmwFpo/edit?usp=sharing"",""ตรัง!I276"")+IMPORTRANGE(""https://docs.google.com/spreadsheets/d/1Dj4jcHCTV9JXKCaMoheSXS52JE63kDKyG7bPXnFogHk/edit?usp=shar"&amp;"ing"",""นครศรีธรรมราช!I276"")+IMPORTRANGE(""https://docs.google.com/spreadsheets/d/1iodCdmuK2GR3jzUwk8tpccY2JHQQA-87DLOtJP-ooyU/edit?usp=sharing"",""นราธิวาส!I276"")+IMPORTRANGE(""https://docs.google.com/spreadsheets/d/1SDNX3JhDdYRuIOsj0Wh2M-Qa_eaXl0NbWmh"&amp;"AOTbfQAs/edit?usp=sharing"",""ปัตตานี!I276"")+IMPORTRANGE(""https://docs.google.com/spreadsheets/d/16JDLGguT8s5DsGCND1KcwHP_AWR_zDMTqLHPLJUKhaU/edit?usp=sharing"",""พังงา!I276"")+IMPORTRANGE(""https://docs.google.com/spreadsheets/d/17ht0gPKzzT3PObBL1XJkeR"&amp;"mntBXI7wGjpLV7QorqlTk/edit?usp=sharing"",""พัทลุง!I276"")+IMPORTRANGE(""https://docs.google.com/spreadsheets/d/1rd4qoM1q_hsgaolqNGfrim9gbsoLxQsda4-vOz5x_BM/edit?usp=sharing"",""ภูเก็ต!I276"")+IMPORTRANGE(""https://docs.google.com/spreadsheets/d/1woKwKjgoL"&amp;"ssDvPcPeVyezB5izizAn4X1JDrys69n6xI/edit?usp=sharing"",""ยะลา!I276"")+IMPORTRANGE(""https://docs.google.com/spreadsheets/d/1qfrKjzMhm2HJfxQ-qVlJlJQ25Hne1d0khsySbZyGtPA/edit?usp=sharing"",""ระนอง!I276"")+IMPORTRANGE(""https://docs.google.com/spreadsheets/d/"&amp;"1IbSCnFOKpZsnFogBHJnL_isstZVaOMnFiIN0fGTPZZw/edit?usp=sharing"",""สงขลา!I276"")+IMPORTRANGE(""https://docs.google.com/spreadsheets/d/1q9nWasZJ-K8bFGvbE9n0qSRuKGA4Toe3Y89cKCiVtCU/edit?usp=sharing"",""สตูล!I276"")+IMPORTRANGE(""https://docs.google.com/sprea"&amp;"dsheets/d/18T20gbkS_WBjdscyTOV05cvq_JqvqQ17C81mpxf7Ncs/edit?usp=sharing"",""สุราษฎร์ธานี!I276"")"),306)</f>
        <v>306</v>
      </c>
      <c r="J276" s="152">
        <f ca="1">IFERROR(__xludf.DUMMYFUNCTION("IMPORTRANGE(""https://docs.google.com/spreadsheets/d/1kKUcYdkIfrgTSj8iHHHB2MD2FAtwyyocFgqGQn6ADyI/edit?usp=sharing"",""กระบี่!J276"")+IMPORTRANGE(""https://docs.google.com/spreadsheets/d/1GwtLaSlNZkLk7iDqcyZz22giiy40b_usZZBXYciEN1U/edit?usp=sharing"",""ชุ"&amp;"มพร!J276"")+IMPORTRANGE(""https://docs.google.com/spreadsheets/d/16pAz3pOhQEZBhvFNMa5KGgZS6iKWpsKX0pg6tQmwFpo/edit?usp=sharing"",""ตรัง!J276"")+IMPORTRANGE(""https://docs.google.com/spreadsheets/d/1Dj4jcHCTV9JXKCaMoheSXS52JE63kDKyG7bPXnFogHk/edit?usp=shar"&amp;"ing"",""นครศรีธรรมราช!J276"")+IMPORTRANGE(""https://docs.google.com/spreadsheets/d/1iodCdmuK2GR3jzUwk8tpccY2JHQQA-87DLOtJP-ooyU/edit?usp=sharing"",""นราธิวาส!J276"")+IMPORTRANGE(""https://docs.google.com/spreadsheets/d/1SDNX3JhDdYRuIOsj0Wh2M-Qa_eaXl0NbWmh"&amp;"AOTbfQAs/edit?usp=sharing"",""ปัตตานี!J276"")+IMPORTRANGE(""https://docs.google.com/spreadsheets/d/16JDLGguT8s5DsGCND1KcwHP_AWR_zDMTqLHPLJUKhaU/edit?usp=sharing"",""พังงา!J276"")+IMPORTRANGE(""https://docs.google.com/spreadsheets/d/17ht0gPKzzT3PObBL1XJkeR"&amp;"mntBXI7wGjpLV7QorqlTk/edit?usp=sharing"",""พัทลุง!J276"")+IMPORTRANGE(""https://docs.google.com/spreadsheets/d/1rd4qoM1q_hsgaolqNGfrim9gbsoLxQsda4-vOz5x_BM/edit?usp=sharing"",""ภูเก็ต!J276"")+IMPORTRANGE(""https://docs.google.com/spreadsheets/d/1woKwKjgoL"&amp;"ssDvPcPeVyezB5izizAn4X1JDrys69n6xI/edit?usp=sharing"",""ยะลา!J276"")+IMPORTRANGE(""https://docs.google.com/spreadsheets/d/1qfrKjzMhm2HJfxQ-qVlJlJQ25Hne1d0khsySbZyGtPA/edit?usp=sharing"",""ระนอง!J276"")+IMPORTRANGE(""https://docs.google.com/spreadsheets/d/"&amp;"1IbSCnFOKpZsnFogBHJnL_isstZVaOMnFiIN0fGTPZZw/edit?usp=sharing"",""สงขลา!J276"")+IMPORTRANGE(""https://docs.google.com/spreadsheets/d/1q9nWasZJ-K8bFGvbE9n0qSRuKGA4Toe3Y89cKCiVtCU/edit?usp=sharing"",""สตูล!J276"")+IMPORTRANGE(""https://docs.google.com/sprea"&amp;"dsheets/d/18T20gbkS_WBjdscyTOV05cvq_JqvqQ17C81mpxf7Ncs/edit?usp=sharing"",""สุราษฎร์ธานี!J276"")"),176)</f>
        <v>176</v>
      </c>
      <c r="K276" s="47">
        <f ca="1">IF(I276&gt;0,J276*100/I276,0)</f>
        <v>57.516339869281047</v>
      </c>
      <c r="L276" s="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x14ac:dyDescent="0.25">
      <c r="A277" s="263"/>
      <c r="B277" s="264"/>
      <c r="C277" s="264"/>
      <c r="D277" s="265" t="s">
        <v>116</v>
      </c>
      <c r="E277" s="266"/>
      <c r="F277" s="266"/>
      <c r="G277" s="267"/>
      <c r="H277" s="54" t="s">
        <v>35</v>
      </c>
      <c r="I277" s="197">
        <v>0</v>
      </c>
      <c r="J277" s="197">
        <v>0</v>
      </c>
      <c r="K277" s="268">
        <v>0</v>
      </c>
      <c r="L277" s="269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28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t="shared" ref="I280:J280" ca="1" si="202">I293</f>
        <v>10</v>
      </c>
      <c r="J280" s="288">
        <f t="shared" ca="1" si="202"/>
        <v>10</v>
      </c>
      <c r="K280" s="289">
        <f t="shared" ref="K280:K281" ca="1" si="203">IF(I280&gt;0,J280*100/I280,0)</f>
        <v>100</v>
      </c>
      <c r="L280" s="29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t="shared" ref="I281:J281" ca="1" si="204">I292</f>
        <v>100</v>
      </c>
      <c r="J281" s="288">
        <f t="shared" ca="1" si="204"/>
        <v>100</v>
      </c>
      <c r="K281" s="289">
        <f t="shared" ca="1" si="203"/>
        <v>100</v>
      </c>
      <c r="L281" s="29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129" t="s">
        <v>18</v>
      </c>
      <c r="D282" s="130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132">
        <f t="shared" ref="L282:N282" ca="1" si="205">L283+L284</f>
        <v>415220</v>
      </c>
      <c r="M282" s="132">
        <f t="shared" ca="1" si="205"/>
        <v>415220</v>
      </c>
      <c r="N282" s="132">
        <f t="shared" ca="1" si="205"/>
        <v>332373.83</v>
      </c>
      <c r="O282" s="132">
        <f t="shared" ref="O282:O290" ca="1" si="206">IF(L282&gt;0,N282*100/L282,0)</f>
        <v>80.047644622128033</v>
      </c>
      <c r="P282" s="132">
        <f t="shared" ref="P282:P290" ca="1" si="207">IF(M282&gt;0,N282*100/M282,0)</f>
        <v>80.047644622128033</v>
      </c>
      <c r="Q282" s="132">
        <f t="shared" ref="Q282:S282" ca="1" si="208">Q283+Q284</f>
        <v>0</v>
      </c>
      <c r="R282" s="132">
        <f t="shared" ca="1" si="208"/>
        <v>0</v>
      </c>
      <c r="S282" s="132">
        <f t="shared" ca="1" si="208"/>
        <v>0</v>
      </c>
      <c r="T282" s="132">
        <f t="shared" ref="T282:T290" ca="1" si="209">IF(Q282&gt;0,S282*100/Q282,0)</f>
        <v>0</v>
      </c>
      <c r="U282" s="132">
        <f t="shared" ref="U282:U290" ca="1" si="210"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48" t="s">
        <v>20</v>
      </c>
      <c r="F283" s="41"/>
      <c r="G283" s="43"/>
      <c r="H283" s="133" t="s">
        <v>14</v>
      </c>
      <c r="I283" s="45"/>
      <c r="J283" s="45"/>
      <c r="K283" s="46"/>
      <c r="L283" s="47">
        <f t="shared" ref="L283:N283" ca="1" si="211">L286+L289</f>
        <v>0</v>
      </c>
      <c r="M283" s="47">
        <f t="shared" ca="1" si="211"/>
        <v>0</v>
      </c>
      <c r="N283" s="47">
        <f t="shared" ca="1" si="211"/>
        <v>0</v>
      </c>
      <c r="O283" s="47">
        <f t="shared" ca="1" si="206"/>
        <v>0</v>
      </c>
      <c r="P283" s="47">
        <f t="shared" ca="1" si="207"/>
        <v>0</v>
      </c>
      <c r="Q283" s="47">
        <f t="shared" ref="Q283:S283" ca="1" si="212">Q286+Q289</f>
        <v>0</v>
      </c>
      <c r="R283" s="47">
        <f t="shared" ca="1" si="212"/>
        <v>0</v>
      </c>
      <c r="S283" s="47">
        <f t="shared" ca="1" si="212"/>
        <v>0</v>
      </c>
      <c r="T283" s="49">
        <f t="shared" ca="1" si="209"/>
        <v>0</v>
      </c>
      <c r="U283" s="49">
        <f t="shared" ca="1" si="210"/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47">
        <f t="shared" ref="L284:N284" ca="1" si="213">L287+L290</f>
        <v>415220</v>
      </c>
      <c r="M284" s="47">
        <f t="shared" ca="1" si="213"/>
        <v>415220</v>
      </c>
      <c r="N284" s="47">
        <f t="shared" ca="1" si="213"/>
        <v>332373.83</v>
      </c>
      <c r="O284" s="47">
        <f t="shared" ca="1" si="206"/>
        <v>80.047644622128033</v>
      </c>
      <c r="P284" s="47">
        <f t="shared" ca="1" si="207"/>
        <v>80.047644622128033</v>
      </c>
      <c r="Q284" s="47">
        <f t="shared" ref="Q284:S284" ca="1" si="214">Q287+Q290</f>
        <v>0</v>
      </c>
      <c r="R284" s="47">
        <f t="shared" ca="1" si="214"/>
        <v>0</v>
      </c>
      <c r="S284" s="47">
        <f t="shared" ca="1" si="214"/>
        <v>0</v>
      </c>
      <c r="T284" s="47">
        <f t="shared" ca="1" si="209"/>
        <v>0</v>
      </c>
      <c r="U284" s="47">
        <f t="shared" ca="1" si="210"/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47">
        <f t="shared" ref="L285:N285" ca="1" si="215">L286+L287</f>
        <v>415220</v>
      </c>
      <c r="M285" s="47">
        <f t="shared" ca="1" si="215"/>
        <v>415220</v>
      </c>
      <c r="N285" s="47">
        <f t="shared" ca="1" si="215"/>
        <v>332373.83</v>
      </c>
      <c r="O285" s="47">
        <f t="shared" ca="1" si="206"/>
        <v>80.047644622128033</v>
      </c>
      <c r="P285" s="47">
        <f t="shared" ca="1" si="207"/>
        <v>80.047644622128033</v>
      </c>
      <c r="Q285" s="47">
        <f t="shared" ref="Q285:S285" ca="1" si="216">Q286+Q287</f>
        <v>0</v>
      </c>
      <c r="R285" s="47">
        <f t="shared" ca="1" si="216"/>
        <v>0</v>
      </c>
      <c r="S285" s="47">
        <f t="shared" ca="1" si="216"/>
        <v>0</v>
      </c>
      <c r="T285" s="47">
        <f t="shared" ca="1" si="209"/>
        <v>0</v>
      </c>
      <c r="U285" s="47">
        <f t="shared" ca="1" si="210"/>
        <v>0</v>
      </c>
    </row>
    <row r="286" spans="1:21" ht="18.75" hidden="1" x14ac:dyDescent="0.25">
      <c r="A286" s="128"/>
      <c r="B286" s="41"/>
      <c r="C286" s="41"/>
      <c r="D286" s="41"/>
      <c r="E286" s="48" t="s">
        <v>36</v>
      </c>
      <c r="F286" s="41"/>
      <c r="G286" s="43"/>
      <c r="H286" s="134" t="s">
        <v>14</v>
      </c>
      <c r="I286" s="135"/>
      <c r="J286" s="135"/>
      <c r="K286" s="136"/>
      <c r="L286" s="47">
        <f ca="1">IFERROR(__xludf.DUMMYFUNCTION("IMPORTRANGE(""https://docs.google.com/spreadsheets/d/1kKUcYdkIfrgTSj8iHHHB2MD2FAtwyyocFgqGQn6ADyI/edit?usp=sharing"",""กระบี่!L286"")+IMPORTRANGE(""https://docs.google.com/spreadsheets/d/1GwtLaSlNZkLk7iDqcyZz22giiy40b_usZZBXYciEN1U/edit?usp=sharing"",""ชุ"&amp;"มพร!L286"")+IMPORTRANGE(""https://docs.google.com/spreadsheets/d/16pAz3pOhQEZBhvFNMa5KGgZS6iKWpsKX0pg6tQmwFpo/edit?usp=sharing"",""ตรัง!L286"")+IMPORTRANGE(""https://docs.google.com/spreadsheets/d/1Dj4jcHCTV9JXKCaMoheSXS52JE63kDKyG7bPXnFogHk/edit?usp=shar"&amp;"ing"",""นครศรีธรรมราช!L286"")+IMPORTRANGE(""https://docs.google.com/spreadsheets/d/1iodCdmuK2GR3jzUwk8tpccY2JHQQA-87DLOtJP-ooyU/edit?usp=sharing"",""นราธิวาส!L286"")+IMPORTRANGE(""https://docs.google.com/spreadsheets/d/1SDNX3JhDdYRuIOsj0Wh2M-Qa_eaXl0NbWmh"&amp;"AOTbfQAs/edit?usp=sharing"",""ปัตตานี!L286"")+IMPORTRANGE(""https://docs.google.com/spreadsheets/d/16JDLGguT8s5DsGCND1KcwHP_AWR_zDMTqLHPLJUKhaU/edit?usp=sharing"",""พังงา!L286"")+IMPORTRANGE(""https://docs.google.com/spreadsheets/d/17ht0gPKzzT3PObBL1XJkeR"&amp;"mntBXI7wGjpLV7QorqlTk/edit?usp=sharing"",""พัทลุง!L286"")+IMPORTRANGE(""https://docs.google.com/spreadsheets/d/1rd4qoM1q_hsgaolqNGfrim9gbsoLxQsda4-vOz5x_BM/edit?usp=sharing"",""ภูเก็ต!L286"")+IMPORTRANGE(""https://docs.google.com/spreadsheets/d/1woKwKjgoL"&amp;"ssDvPcPeVyezB5izizAn4X1JDrys69n6xI/edit?usp=sharing"",""ยะลา!L286"")+IMPORTRANGE(""https://docs.google.com/spreadsheets/d/1qfrKjzMhm2HJfxQ-qVlJlJQ25Hne1d0khsySbZyGtPA/edit?usp=sharing"",""ระนอง!L286"")+IMPORTRANGE(""https://docs.google.com/spreadsheets/d/"&amp;"1IbSCnFOKpZsnFogBHJnL_isstZVaOMnFiIN0fGTPZZw/edit?usp=sharing"",""สงขลา!L286"")+IMPORTRANGE(""https://docs.google.com/spreadsheets/d/1q9nWasZJ-K8bFGvbE9n0qSRuKGA4Toe3Y89cKCiVtCU/edit?usp=sharing"",""สตูล!L286"")+IMPORTRANGE(""https://docs.google.com/sprea"&amp;"dsheets/d/18T20gbkS_WBjdscyTOV05cvq_JqvqQ17C81mpxf7Ncs/edit?usp=sharing"",""สุราษฎร์ธานี!L286"")"),0)</f>
        <v>0</v>
      </c>
      <c r="M286" s="47">
        <f ca="1">IFERROR(__xludf.DUMMYFUNCTION("IMPORTRANGE(""https://docs.google.com/spreadsheets/d/1kKUcYdkIfrgTSj8iHHHB2MD2FAtwyyocFgqGQn6ADyI/edit?usp=sharing"",""กระบี่!M286"")+IMPORTRANGE(""https://docs.google.com/spreadsheets/d/1GwtLaSlNZkLk7iDqcyZz22giiy40b_usZZBXYciEN1U/edit?usp=sharing"",""ชุ"&amp;"มพร!M286"")+IMPORTRANGE(""https://docs.google.com/spreadsheets/d/16pAz3pOhQEZBhvFNMa5KGgZS6iKWpsKX0pg6tQmwFpo/edit?usp=sharing"",""ตรัง!M286"")+IMPORTRANGE(""https://docs.google.com/spreadsheets/d/1Dj4jcHCTV9JXKCaMoheSXS52JE63kDKyG7bPXnFogHk/edit?usp=shar"&amp;"ing"",""นครศรีธรรมราช!M286"")+IMPORTRANGE(""https://docs.google.com/spreadsheets/d/1iodCdmuK2GR3jzUwk8tpccY2JHQQA-87DLOtJP-ooyU/edit?usp=sharing"",""นราธิวาส!M286"")+IMPORTRANGE(""https://docs.google.com/spreadsheets/d/1SDNX3JhDdYRuIOsj0Wh2M-Qa_eaXl0NbWmh"&amp;"AOTbfQAs/edit?usp=sharing"",""ปัตตานี!M286"")+IMPORTRANGE(""https://docs.google.com/spreadsheets/d/16JDLGguT8s5DsGCND1KcwHP_AWR_zDMTqLHPLJUKhaU/edit?usp=sharing"",""พังงา!M286"")+IMPORTRANGE(""https://docs.google.com/spreadsheets/d/17ht0gPKzzT3PObBL1XJkeR"&amp;"mntBXI7wGjpLV7QorqlTk/edit?usp=sharing"",""พัทลุง!M286"")+IMPORTRANGE(""https://docs.google.com/spreadsheets/d/1rd4qoM1q_hsgaolqNGfrim9gbsoLxQsda4-vOz5x_BM/edit?usp=sharing"",""ภูเก็ต!M286"")+IMPORTRANGE(""https://docs.google.com/spreadsheets/d/1woKwKjgoL"&amp;"ssDvPcPeVyezB5izizAn4X1JDrys69n6xI/edit?usp=sharing"",""ยะลา!M286"")+IMPORTRANGE(""https://docs.google.com/spreadsheets/d/1qfrKjzMhm2HJfxQ-qVlJlJQ25Hne1d0khsySbZyGtPA/edit?usp=sharing"",""ระนอง!M286"")+IMPORTRANGE(""https://docs.google.com/spreadsheets/d/"&amp;"1IbSCnFOKpZsnFogBHJnL_isstZVaOMnFiIN0fGTPZZw/edit?usp=sharing"",""สงขลา!M286"")+IMPORTRANGE(""https://docs.google.com/spreadsheets/d/1q9nWasZJ-K8bFGvbE9n0qSRuKGA4Toe3Y89cKCiVtCU/edit?usp=sharing"",""สตูล!M286"")+IMPORTRANGE(""https://docs.google.com/sprea"&amp;"dsheets/d/18T20gbkS_WBjdscyTOV05cvq_JqvqQ17C81mpxf7Ncs/edit?usp=sharing"",""สุราษฎร์ธานี!M286"")"),0)</f>
        <v>0</v>
      </c>
      <c r="N286" s="47">
        <f ca="1">IFERROR(__xludf.DUMMYFUNCTION("IMPORTRANGE(""https://docs.google.com/spreadsheets/d/1kKUcYdkIfrgTSj8iHHHB2MD2FAtwyyocFgqGQn6ADyI/edit?usp=sharing"",""กระบี่!N286"")+IMPORTRANGE(""https://docs.google.com/spreadsheets/d/1GwtLaSlNZkLk7iDqcyZz22giiy40b_usZZBXYciEN1U/edit?usp=sharing"",""ชุ"&amp;"มพร!N286"")+IMPORTRANGE(""https://docs.google.com/spreadsheets/d/16pAz3pOhQEZBhvFNMa5KGgZS6iKWpsKX0pg6tQmwFpo/edit?usp=sharing"",""ตรัง!N286"")+IMPORTRANGE(""https://docs.google.com/spreadsheets/d/1Dj4jcHCTV9JXKCaMoheSXS52JE63kDKyG7bPXnFogHk/edit?usp=shar"&amp;"ing"",""นครศรีธรรมราช!N286"")+IMPORTRANGE(""https://docs.google.com/spreadsheets/d/1iodCdmuK2GR3jzUwk8tpccY2JHQQA-87DLOtJP-ooyU/edit?usp=sharing"",""นราธิวาส!N286"")+IMPORTRANGE(""https://docs.google.com/spreadsheets/d/1SDNX3JhDdYRuIOsj0Wh2M-Qa_eaXl0NbWmh"&amp;"AOTbfQAs/edit?usp=sharing"",""ปัตตานี!N286"")+IMPORTRANGE(""https://docs.google.com/spreadsheets/d/16JDLGguT8s5DsGCND1KcwHP_AWR_zDMTqLHPLJUKhaU/edit?usp=sharing"",""พังงา!N286"")+IMPORTRANGE(""https://docs.google.com/spreadsheets/d/17ht0gPKzzT3PObBL1XJkeR"&amp;"mntBXI7wGjpLV7QorqlTk/edit?usp=sharing"",""พัทลุง!N286"")+IMPORTRANGE(""https://docs.google.com/spreadsheets/d/1rd4qoM1q_hsgaolqNGfrim9gbsoLxQsda4-vOz5x_BM/edit?usp=sharing"",""ภูเก็ต!N286"")+IMPORTRANGE(""https://docs.google.com/spreadsheets/d/1woKwKjgoL"&amp;"ssDvPcPeVyezB5izizAn4X1JDrys69n6xI/edit?usp=sharing"",""ยะลา!N286"")+IMPORTRANGE(""https://docs.google.com/spreadsheets/d/1qfrKjzMhm2HJfxQ-qVlJlJQ25Hne1d0khsySbZyGtPA/edit?usp=sharing"",""ระนอง!N286"")+IMPORTRANGE(""https://docs.google.com/spreadsheets/d/"&amp;"1IbSCnFOKpZsnFogBHJnL_isstZVaOMnFiIN0fGTPZZw/edit?usp=sharing"",""สงขลา!N286"")+IMPORTRANGE(""https://docs.google.com/spreadsheets/d/1q9nWasZJ-K8bFGvbE9n0qSRuKGA4Toe3Y89cKCiVtCU/edit?usp=sharing"",""สตูล!N286"")+IMPORTRANGE(""https://docs.google.com/sprea"&amp;"dsheets/d/18T20gbkS_WBjdscyTOV05cvq_JqvqQ17C81mpxf7Ncs/edit?usp=sharing"",""สุราษฎร์ธานี!N286"")"),0)</f>
        <v>0</v>
      </c>
      <c r="O286" s="47">
        <f t="shared" ca="1" si="206"/>
        <v>0</v>
      </c>
      <c r="P286" s="47">
        <f t="shared" ca="1" si="207"/>
        <v>0</v>
      </c>
      <c r="Q286" s="47">
        <f ca="1">IFERROR(__xludf.DUMMYFUNCTION("IMPORTRANGE(""https://docs.google.com/spreadsheets/d/1kKUcYdkIfrgTSj8iHHHB2MD2FAtwyyocFgqGQn6ADyI/edit?usp=sharing"",""กระบี่!Q286"")+IMPORTRANGE(""https://docs.google.com/spreadsheets/d/1GwtLaSlNZkLk7iDqcyZz22giiy40b_usZZBXYciEN1U/edit?usp=sharing"",""ชุ"&amp;"มพร!Q286"")+IMPORTRANGE(""https://docs.google.com/spreadsheets/d/16pAz3pOhQEZBhvFNMa5KGgZS6iKWpsKX0pg6tQmwFpo/edit?usp=sharing"",""ตรัง!Q286"")+IMPORTRANGE(""https://docs.google.com/spreadsheets/d/1Dj4jcHCTV9JXKCaMoheSXS52JE63kDKyG7bPXnFogHk/edit?usp=shar"&amp;"ing"",""นครศรีธรรมราช!Q286"")+IMPORTRANGE(""https://docs.google.com/spreadsheets/d/1iodCdmuK2GR3jzUwk8tpccY2JHQQA-87DLOtJP-ooyU/edit?usp=sharing"",""นราธิวาส!Q286"")+IMPORTRANGE(""https://docs.google.com/spreadsheets/d/1SDNX3JhDdYRuIOsj0Wh2M-Qa_eaXl0NbWmh"&amp;"AOTbfQAs/edit?usp=sharing"",""ปัตตานี!Q286"")+IMPORTRANGE(""https://docs.google.com/spreadsheets/d/16JDLGguT8s5DsGCND1KcwHP_AWR_zDMTqLHPLJUKhaU/edit?usp=sharing"",""พังงา!Q286"")+IMPORTRANGE(""https://docs.google.com/spreadsheets/d/17ht0gPKzzT3PObBL1XJkeR"&amp;"mntBXI7wGjpLV7QorqlTk/edit?usp=sharing"",""พัทลุง!Q286"")+IMPORTRANGE(""https://docs.google.com/spreadsheets/d/1rd4qoM1q_hsgaolqNGfrim9gbsoLxQsda4-vOz5x_BM/edit?usp=sharing"",""ภูเก็ต!Q286"")+IMPORTRANGE(""https://docs.google.com/spreadsheets/d/1woKwKjgoL"&amp;"ssDvPcPeVyezB5izizAn4X1JDrys69n6xI/edit?usp=sharing"",""ยะลา!Q286"")+IMPORTRANGE(""https://docs.google.com/spreadsheets/d/1qfrKjzMhm2HJfxQ-qVlJlJQ25Hne1d0khsySbZyGtPA/edit?usp=sharing"",""ระนอง!Q286"")+IMPORTRANGE(""https://docs.google.com/spreadsheets/d/"&amp;"1IbSCnFOKpZsnFogBHJnL_isstZVaOMnFiIN0fGTPZZw/edit?usp=sharing"",""สงขลา!Q286"")+IMPORTRANGE(""https://docs.google.com/spreadsheets/d/1q9nWasZJ-K8bFGvbE9n0qSRuKGA4Toe3Y89cKCiVtCU/edit?usp=sharing"",""สตูล!Q286"")+IMPORTRANGE(""https://docs.google.com/sprea"&amp;"dsheets/d/18T20gbkS_WBjdscyTOV05cvq_JqvqQ17C81mpxf7Ncs/edit?usp=sharing"",""สุราษฎร์ธานี!Q286"")"),0)</f>
        <v>0</v>
      </c>
      <c r="R286" s="47">
        <f ca="1">IFERROR(__xludf.DUMMYFUNCTION("IMPORTRANGE(""https://docs.google.com/spreadsheets/d/1kKUcYdkIfrgTSj8iHHHB2MD2FAtwyyocFgqGQn6ADyI/edit?usp=sharing"",""กระบี่!R286"")+IMPORTRANGE(""https://docs.google.com/spreadsheets/d/1GwtLaSlNZkLk7iDqcyZz22giiy40b_usZZBXYciEN1U/edit?usp=sharing"",""ชุ"&amp;"มพร!R286"")+IMPORTRANGE(""https://docs.google.com/spreadsheets/d/16pAz3pOhQEZBhvFNMa5KGgZS6iKWpsKX0pg6tQmwFpo/edit?usp=sharing"",""ตรัง!R286"")+IMPORTRANGE(""https://docs.google.com/spreadsheets/d/1Dj4jcHCTV9JXKCaMoheSXS52JE63kDKyG7bPXnFogHk/edit?usp=shar"&amp;"ing"",""นครศรีธรรมราช!R286"")+IMPORTRANGE(""https://docs.google.com/spreadsheets/d/1iodCdmuK2GR3jzUwk8tpccY2JHQQA-87DLOtJP-ooyU/edit?usp=sharing"",""นราธิวาส!R286"")+IMPORTRANGE(""https://docs.google.com/spreadsheets/d/1SDNX3JhDdYRuIOsj0Wh2M-Qa_eaXl0NbWmh"&amp;"AOTbfQAs/edit?usp=sharing"",""ปัตตานี!R286"")+IMPORTRANGE(""https://docs.google.com/spreadsheets/d/16JDLGguT8s5DsGCND1KcwHP_AWR_zDMTqLHPLJUKhaU/edit?usp=sharing"",""พังงา!R286"")+IMPORTRANGE(""https://docs.google.com/spreadsheets/d/17ht0gPKzzT3PObBL1XJkeR"&amp;"mntBXI7wGjpLV7QorqlTk/edit?usp=sharing"",""พัทลุง!R286"")+IMPORTRANGE(""https://docs.google.com/spreadsheets/d/1rd4qoM1q_hsgaolqNGfrim9gbsoLxQsda4-vOz5x_BM/edit?usp=sharing"",""ภูเก็ต!R286"")+IMPORTRANGE(""https://docs.google.com/spreadsheets/d/1woKwKjgoL"&amp;"ssDvPcPeVyezB5izizAn4X1JDrys69n6xI/edit?usp=sharing"",""ยะลา!R286"")+IMPORTRANGE(""https://docs.google.com/spreadsheets/d/1qfrKjzMhm2HJfxQ-qVlJlJQ25Hne1d0khsySbZyGtPA/edit?usp=sharing"",""ระนอง!R286"")+IMPORTRANGE(""https://docs.google.com/spreadsheets/d/"&amp;"1IbSCnFOKpZsnFogBHJnL_isstZVaOMnFiIN0fGTPZZw/edit?usp=sharing"",""สงขลา!R286"")+IMPORTRANGE(""https://docs.google.com/spreadsheets/d/1q9nWasZJ-K8bFGvbE9n0qSRuKGA4Toe3Y89cKCiVtCU/edit?usp=sharing"",""สตูล!R286"")+IMPORTRANGE(""https://docs.google.com/sprea"&amp;"dsheets/d/18T20gbkS_WBjdscyTOV05cvq_JqvqQ17C81mpxf7Ncs/edit?usp=sharing"",""สุราษฎร์ธานี!R286"")"),0)</f>
        <v>0</v>
      </c>
      <c r="S286" s="47">
        <f ca="1">IFERROR(__xludf.DUMMYFUNCTION("IMPORTRANGE(""https://docs.google.com/spreadsheets/d/1kKUcYdkIfrgTSj8iHHHB2MD2FAtwyyocFgqGQn6ADyI/edit?usp=sharing"",""กระบี่!S286"")+IMPORTRANGE(""https://docs.google.com/spreadsheets/d/1GwtLaSlNZkLk7iDqcyZz22giiy40b_usZZBXYciEN1U/edit?usp=sharing"",""ชุ"&amp;"มพร!S286"")+IMPORTRANGE(""https://docs.google.com/spreadsheets/d/16pAz3pOhQEZBhvFNMa5KGgZS6iKWpsKX0pg6tQmwFpo/edit?usp=sharing"",""ตรัง!S286"")+IMPORTRANGE(""https://docs.google.com/spreadsheets/d/1Dj4jcHCTV9JXKCaMoheSXS52JE63kDKyG7bPXnFogHk/edit?usp=shar"&amp;"ing"",""นครศรีธรรมราช!S286"")+IMPORTRANGE(""https://docs.google.com/spreadsheets/d/1iodCdmuK2GR3jzUwk8tpccY2JHQQA-87DLOtJP-ooyU/edit?usp=sharing"",""นราธิวาส!S286"")+IMPORTRANGE(""https://docs.google.com/spreadsheets/d/1SDNX3JhDdYRuIOsj0Wh2M-Qa_eaXl0NbWmh"&amp;"AOTbfQAs/edit?usp=sharing"",""ปัตตานี!S286"")+IMPORTRANGE(""https://docs.google.com/spreadsheets/d/16JDLGguT8s5DsGCND1KcwHP_AWR_zDMTqLHPLJUKhaU/edit?usp=sharing"",""พังงา!S286"")+IMPORTRANGE(""https://docs.google.com/spreadsheets/d/17ht0gPKzzT3PObBL1XJkeR"&amp;"mntBXI7wGjpLV7QorqlTk/edit?usp=sharing"",""พัทลุง!S286"")+IMPORTRANGE(""https://docs.google.com/spreadsheets/d/1rd4qoM1q_hsgaolqNGfrim9gbsoLxQsda4-vOz5x_BM/edit?usp=sharing"",""ภูเก็ต!S286"")+IMPORTRANGE(""https://docs.google.com/spreadsheets/d/1woKwKjgoL"&amp;"ssDvPcPeVyezB5izizAn4X1JDrys69n6xI/edit?usp=sharing"",""ยะลา!S286"")+IMPORTRANGE(""https://docs.google.com/spreadsheets/d/1qfrKjzMhm2HJfxQ-qVlJlJQ25Hne1d0khsySbZyGtPA/edit?usp=sharing"",""ระนอง!S286"")+IMPORTRANGE(""https://docs.google.com/spreadsheets/d/"&amp;"1IbSCnFOKpZsnFogBHJnL_isstZVaOMnFiIN0fGTPZZw/edit?usp=sharing"",""สงขลา!S286"")+IMPORTRANGE(""https://docs.google.com/spreadsheets/d/1q9nWasZJ-K8bFGvbE9n0qSRuKGA4Toe3Y89cKCiVtCU/edit?usp=sharing"",""สตูล!S286"")+IMPORTRANGE(""https://docs.google.com/sprea"&amp;"dsheets/d/18T20gbkS_WBjdscyTOV05cvq_JqvqQ17C81mpxf7Ncs/edit?usp=sharing"",""สุราษฎร์ธานี!S286"")"),0)</f>
        <v>0</v>
      </c>
      <c r="T286" s="49">
        <f t="shared" ca="1" si="209"/>
        <v>0</v>
      </c>
      <c r="U286" s="49">
        <f t="shared" ca="1" si="210"/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47">
        <f ca="1">IFERROR(__xludf.DUMMYFUNCTION("IMPORTRANGE(""https://docs.google.com/spreadsheets/d/1kKUcYdkIfrgTSj8iHHHB2MD2FAtwyyocFgqGQn6ADyI/edit?usp=sharing"",""กระบี่!L287"")+IMPORTRANGE(""https://docs.google.com/spreadsheets/d/1GwtLaSlNZkLk7iDqcyZz22giiy40b_usZZBXYciEN1U/edit?usp=sharing"",""ชุ"&amp;"มพร!L287"")+IMPORTRANGE(""https://docs.google.com/spreadsheets/d/16pAz3pOhQEZBhvFNMa5KGgZS6iKWpsKX0pg6tQmwFpo/edit?usp=sharing"",""ตรัง!L287"")+IMPORTRANGE(""https://docs.google.com/spreadsheets/d/1Dj4jcHCTV9JXKCaMoheSXS52JE63kDKyG7bPXnFogHk/edit?usp=shar"&amp;"ing"",""นครศรีธรรมราช!L287"")+IMPORTRANGE(""https://docs.google.com/spreadsheets/d/1iodCdmuK2GR3jzUwk8tpccY2JHQQA-87DLOtJP-ooyU/edit?usp=sharing"",""นราธิวาส!L287"")+IMPORTRANGE(""https://docs.google.com/spreadsheets/d/1SDNX3JhDdYRuIOsj0Wh2M-Qa_eaXl0NbWmh"&amp;"AOTbfQAs/edit?usp=sharing"",""ปัตตานี!L287"")+IMPORTRANGE(""https://docs.google.com/spreadsheets/d/16JDLGguT8s5DsGCND1KcwHP_AWR_zDMTqLHPLJUKhaU/edit?usp=sharing"",""พังงา!L287"")+IMPORTRANGE(""https://docs.google.com/spreadsheets/d/17ht0gPKzzT3PObBL1XJkeR"&amp;"mntBXI7wGjpLV7QorqlTk/edit?usp=sharing"",""พัทลุง!L287"")+IMPORTRANGE(""https://docs.google.com/spreadsheets/d/1rd4qoM1q_hsgaolqNGfrim9gbsoLxQsda4-vOz5x_BM/edit?usp=sharing"",""ภูเก็ต!L287"")+IMPORTRANGE(""https://docs.google.com/spreadsheets/d/1woKwKjgoL"&amp;"ssDvPcPeVyezB5izizAn4X1JDrys69n6xI/edit?usp=sharing"",""ยะลา!L287"")+IMPORTRANGE(""https://docs.google.com/spreadsheets/d/1qfrKjzMhm2HJfxQ-qVlJlJQ25Hne1d0khsySbZyGtPA/edit?usp=sharing"",""ระนอง!L287"")+IMPORTRANGE(""https://docs.google.com/spreadsheets/d/"&amp;"1IbSCnFOKpZsnFogBHJnL_isstZVaOMnFiIN0fGTPZZw/edit?usp=sharing"",""สงขลา!L287"")+IMPORTRANGE(""https://docs.google.com/spreadsheets/d/1q9nWasZJ-K8bFGvbE9n0qSRuKGA4Toe3Y89cKCiVtCU/edit?usp=sharing"",""สตูล!L287"")+IMPORTRANGE(""https://docs.google.com/sprea"&amp;"dsheets/d/18T20gbkS_WBjdscyTOV05cvq_JqvqQ17C81mpxf7Ncs/edit?usp=sharing"",""สุราษฎร์ธานี!L287"")"),415220)</f>
        <v>415220</v>
      </c>
      <c r="M287" s="47">
        <f ca="1">IFERROR(__xludf.DUMMYFUNCTION("IMPORTRANGE(""https://docs.google.com/spreadsheets/d/1kKUcYdkIfrgTSj8iHHHB2MD2FAtwyyocFgqGQn6ADyI/edit?usp=sharing"",""กระบี่!M287"")+IMPORTRANGE(""https://docs.google.com/spreadsheets/d/1GwtLaSlNZkLk7iDqcyZz22giiy40b_usZZBXYciEN1U/edit?usp=sharing"",""ชุ"&amp;"มพร!M287"")+IMPORTRANGE(""https://docs.google.com/spreadsheets/d/16pAz3pOhQEZBhvFNMa5KGgZS6iKWpsKX0pg6tQmwFpo/edit?usp=sharing"",""ตรัง!M287"")+IMPORTRANGE(""https://docs.google.com/spreadsheets/d/1Dj4jcHCTV9JXKCaMoheSXS52JE63kDKyG7bPXnFogHk/edit?usp=shar"&amp;"ing"",""นครศรีธรรมราช!M287"")+IMPORTRANGE(""https://docs.google.com/spreadsheets/d/1iodCdmuK2GR3jzUwk8tpccY2JHQQA-87DLOtJP-ooyU/edit?usp=sharing"",""นราธิวาส!M287"")+IMPORTRANGE(""https://docs.google.com/spreadsheets/d/1SDNX3JhDdYRuIOsj0Wh2M-Qa_eaXl0NbWmh"&amp;"AOTbfQAs/edit?usp=sharing"",""ปัตตานี!M287"")+IMPORTRANGE(""https://docs.google.com/spreadsheets/d/16JDLGguT8s5DsGCND1KcwHP_AWR_zDMTqLHPLJUKhaU/edit?usp=sharing"",""พังงา!M287"")+IMPORTRANGE(""https://docs.google.com/spreadsheets/d/17ht0gPKzzT3PObBL1XJkeR"&amp;"mntBXI7wGjpLV7QorqlTk/edit?usp=sharing"",""พัทลุง!M287"")+IMPORTRANGE(""https://docs.google.com/spreadsheets/d/1rd4qoM1q_hsgaolqNGfrim9gbsoLxQsda4-vOz5x_BM/edit?usp=sharing"",""ภูเก็ต!M287"")+IMPORTRANGE(""https://docs.google.com/spreadsheets/d/1woKwKjgoL"&amp;"ssDvPcPeVyezB5izizAn4X1JDrys69n6xI/edit?usp=sharing"",""ยะลา!M287"")+IMPORTRANGE(""https://docs.google.com/spreadsheets/d/1qfrKjzMhm2HJfxQ-qVlJlJQ25Hne1d0khsySbZyGtPA/edit?usp=sharing"",""ระนอง!M287"")+IMPORTRANGE(""https://docs.google.com/spreadsheets/d/"&amp;"1IbSCnFOKpZsnFogBHJnL_isstZVaOMnFiIN0fGTPZZw/edit?usp=sharing"",""สงขลา!M287"")+IMPORTRANGE(""https://docs.google.com/spreadsheets/d/1q9nWasZJ-K8bFGvbE9n0qSRuKGA4Toe3Y89cKCiVtCU/edit?usp=sharing"",""สตูล!M287"")+IMPORTRANGE(""https://docs.google.com/sprea"&amp;"dsheets/d/18T20gbkS_WBjdscyTOV05cvq_JqvqQ17C81mpxf7Ncs/edit?usp=sharing"",""สุราษฎร์ธานี!M287"")"),415220)</f>
        <v>415220</v>
      </c>
      <c r="N287" s="47">
        <f ca="1">IFERROR(__xludf.DUMMYFUNCTION("IMPORTRANGE(""https://docs.google.com/spreadsheets/d/1kKUcYdkIfrgTSj8iHHHB2MD2FAtwyyocFgqGQn6ADyI/edit?usp=sharing"",""กระบี่!N287"")+IMPORTRANGE(""https://docs.google.com/spreadsheets/d/1GwtLaSlNZkLk7iDqcyZz22giiy40b_usZZBXYciEN1U/edit?usp=sharing"",""ชุ"&amp;"มพร!N287"")+IMPORTRANGE(""https://docs.google.com/spreadsheets/d/16pAz3pOhQEZBhvFNMa5KGgZS6iKWpsKX0pg6tQmwFpo/edit?usp=sharing"",""ตรัง!N287"")+IMPORTRANGE(""https://docs.google.com/spreadsheets/d/1Dj4jcHCTV9JXKCaMoheSXS52JE63kDKyG7bPXnFogHk/edit?usp=shar"&amp;"ing"",""นครศรีธรรมราช!N287"")+IMPORTRANGE(""https://docs.google.com/spreadsheets/d/1iodCdmuK2GR3jzUwk8tpccY2JHQQA-87DLOtJP-ooyU/edit?usp=sharing"",""นราธิวาส!N287"")+IMPORTRANGE(""https://docs.google.com/spreadsheets/d/1SDNX3JhDdYRuIOsj0Wh2M-Qa_eaXl0NbWmh"&amp;"AOTbfQAs/edit?usp=sharing"",""ปัตตานี!N287"")+IMPORTRANGE(""https://docs.google.com/spreadsheets/d/16JDLGguT8s5DsGCND1KcwHP_AWR_zDMTqLHPLJUKhaU/edit?usp=sharing"",""พังงา!N287"")+IMPORTRANGE(""https://docs.google.com/spreadsheets/d/17ht0gPKzzT3PObBL1XJkeR"&amp;"mntBXI7wGjpLV7QorqlTk/edit?usp=sharing"",""พัทลุง!N287"")+IMPORTRANGE(""https://docs.google.com/spreadsheets/d/1rd4qoM1q_hsgaolqNGfrim9gbsoLxQsda4-vOz5x_BM/edit?usp=sharing"",""ภูเก็ต!N287"")+IMPORTRANGE(""https://docs.google.com/spreadsheets/d/1woKwKjgoL"&amp;"ssDvPcPeVyezB5izizAn4X1JDrys69n6xI/edit?usp=sharing"",""ยะลา!N287"")+IMPORTRANGE(""https://docs.google.com/spreadsheets/d/1qfrKjzMhm2HJfxQ-qVlJlJQ25Hne1d0khsySbZyGtPA/edit?usp=sharing"",""ระนอง!N287"")+IMPORTRANGE(""https://docs.google.com/spreadsheets/d/"&amp;"1IbSCnFOKpZsnFogBHJnL_isstZVaOMnFiIN0fGTPZZw/edit?usp=sharing"",""สงขลา!N287"")+IMPORTRANGE(""https://docs.google.com/spreadsheets/d/1q9nWasZJ-K8bFGvbE9n0qSRuKGA4Toe3Y89cKCiVtCU/edit?usp=sharing"",""สตูล!N287"")+IMPORTRANGE(""https://docs.google.com/sprea"&amp;"dsheets/d/18T20gbkS_WBjdscyTOV05cvq_JqvqQ17C81mpxf7Ncs/edit?usp=sharing"",""สุราษฎร์ธานี!N287"")"),332373.83)</f>
        <v>332373.83</v>
      </c>
      <c r="O287" s="47">
        <f t="shared" ca="1" si="206"/>
        <v>80.047644622128033</v>
      </c>
      <c r="P287" s="47">
        <f t="shared" ca="1" si="207"/>
        <v>80.047644622128033</v>
      </c>
      <c r="Q287" s="47">
        <f ca="1">IFERROR(__xludf.DUMMYFUNCTION("IMPORTRANGE(""https://docs.google.com/spreadsheets/d/1kKUcYdkIfrgTSj8iHHHB2MD2FAtwyyocFgqGQn6ADyI/edit?usp=sharing"",""กระบี่!Q287"")+IMPORTRANGE(""https://docs.google.com/spreadsheets/d/1GwtLaSlNZkLk7iDqcyZz22giiy40b_usZZBXYciEN1U/edit?usp=sharing"",""ชุ"&amp;"มพร!Q287"")+IMPORTRANGE(""https://docs.google.com/spreadsheets/d/16pAz3pOhQEZBhvFNMa5KGgZS6iKWpsKX0pg6tQmwFpo/edit?usp=sharing"",""ตรัง!Q287"")+IMPORTRANGE(""https://docs.google.com/spreadsheets/d/1Dj4jcHCTV9JXKCaMoheSXS52JE63kDKyG7bPXnFogHk/edit?usp=shar"&amp;"ing"",""นครศรีธรรมราช!Q287"")+IMPORTRANGE(""https://docs.google.com/spreadsheets/d/1iodCdmuK2GR3jzUwk8tpccY2JHQQA-87DLOtJP-ooyU/edit?usp=sharing"",""นราธิวาส!Q287"")+IMPORTRANGE(""https://docs.google.com/spreadsheets/d/1SDNX3JhDdYRuIOsj0Wh2M-Qa_eaXl0NbWmh"&amp;"AOTbfQAs/edit?usp=sharing"",""ปัตตานี!Q287"")+IMPORTRANGE(""https://docs.google.com/spreadsheets/d/16JDLGguT8s5DsGCND1KcwHP_AWR_zDMTqLHPLJUKhaU/edit?usp=sharing"",""พังงา!Q287"")+IMPORTRANGE(""https://docs.google.com/spreadsheets/d/17ht0gPKzzT3PObBL1XJkeR"&amp;"mntBXI7wGjpLV7QorqlTk/edit?usp=sharing"",""พัทลุง!Q287"")+IMPORTRANGE(""https://docs.google.com/spreadsheets/d/1rd4qoM1q_hsgaolqNGfrim9gbsoLxQsda4-vOz5x_BM/edit?usp=sharing"",""ภูเก็ต!Q287"")+IMPORTRANGE(""https://docs.google.com/spreadsheets/d/1woKwKjgoL"&amp;"ssDvPcPeVyezB5izizAn4X1JDrys69n6xI/edit?usp=sharing"",""ยะลา!Q287"")+IMPORTRANGE(""https://docs.google.com/spreadsheets/d/1qfrKjzMhm2HJfxQ-qVlJlJQ25Hne1d0khsySbZyGtPA/edit?usp=sharing"",""ระนอง!Q287"")+IMPORTRANGE(""https://docs.google.com/spreadsheets/d/"&amp;"1IbSCnFOKpZsnFogBHJnL_isstZVaOMnFiIN0fGTPZZw/edit?usp=sharing"",""สงขลา!Q287"")+IMPORTRANGE(""https://docs.google.com/spreadsheets/d/1q9nWasZJ-K8bFGvbE9n0qSRuKGA4Toe3Y89cKCiVtCU/edit?usp=sharing"",""สตูล!Q287"")+IMPORTRANGE(""https://docs.google.com/sprea"&amp;"dsheets/d/18T20gbkS_WBjdscyTOV05cvq_JqvqQ17C81mpxf7Ncs/edit?usp=sharing"",""สุราษฎร์ธานี!Q287"")"),0)</f>
        <v>0</v>
      </c>
      <c r="R287" s="47">
        <f ca="1">IFERROR(__xludf.DUMMYFUNCTION("IMPORTRANGE(""https://docs.google.com/spreadsheets/d/1kKUcYdkIfrgTSj8iHHHB2MD2FAtwyyocFgqGQn6ADyI/edit?usp=sharing"",""กระบี่!R287"")+IMPORTRANGE(""https://docs.google.com/spreadsheets/d/1GwtLaSlNZkLk7iDqcyZz22giiy40b_usZZBXYciEN1U/edit?usp=sharing"",""ชุ"&amp;"มพร!R287"")+IMPORTRANGE(""https://docs.google.com/spreadsheets/d/16pAz3pOhQEZBhvFNMa5KGgZS6iKWpsKX0pg6tQmwFpo/edit?usp=sharing"",""ตรัง!R287"")+IMPORTRANGE(""https://docs.google.com/spreadsheets/d/1Dj4jcHCTV9JXKCaMoheSXS52JE63kDKyG7bPXnFogHk/edit?usp=shar"&amp;"ing"",""นครศรีธรรมราช!R287"")+IMPORTRANGE(""https://docs.google.com/spreadsheets/d/1iodCdmuK2GR3jzUwk8tpccY2JHQQA-87DLOtJP-ooyU/edit?usp=sharing"",""นราธิวาส!R287"")+IMPORTRANGE(""https://docs.google.com/spreadsheets/d/1SDNX3JhDdYRuIOsj0Wh2M-Qa_eaXl0NbWmh"&amp;"AOTbfQAs/edit?usp=sharing"",""ปัตตานี!R287"")+IMPORTRANGE(""https://docs.google.com/spreadsheets/d/16JDLGguT8s5DsGCND1KcwHP_AWR_zDMTqLHPLJUKhaU/edit?usp=sharing"",""พังงา!R287"")+IMPORTRANGE(""https://docs.google.com/spreadsheets/d/17ht0gPKzzT3PObBL1XJkeR"&amp;"mntBXI7wGjpLV7QorqlTk/edit?usp=sharing"",""พัทลุง!R287"")+IMPORTRANGE(""https://docs.google.com/spreadsheets/d/1rd4qoM1q_hsgaolqNGfrim9gbsoLxQsda4-vOz5x_BM/edit?usp=sharing"",""ภูเก็ต!R287"")+IMPORTRANGE(""https://docs.google.com/spreadsheets/d/1woKwKjgoL"&amp;"ssDvPcPeVyezB5izizAn4X1JDrys69n6xI/edit?usp=sharing"",""ยะลา!R287"")+IMPORTRANGE(""https://docs.google.com/spreadsheets/d/1qfrKjzMhm2HJfxQ-qVlJlJQ25Hne1d0khsySbZyGtPA/edit?usp=sharing"",""ระนอง!R287"")+IMPORTRANGE(""https://docs.google.com/spreadsheets/d/"&amp;"1IbSCnFOKpZsnFogBHJnL_isstZVaOMnFiIN0fGTPZZw/edit?usp=sharing"",""สงขลา!R287"")+IMPORTRANGE(""https://docs.google.com/spreadsheets/d/1q9nWasZJ-K8bFGvbE9n0qSRuKGA4Toe3Y89cKCiVtCU/edit?usp=sharing"",""สตูล!R287"")+IMPORTRANGE(""https://docs.google.com/sprea"&amp;"dsheets/d/18T20gbkS_WBjdscyTOV05cvq_JqvqQ17C81mpxf7Ncs/edit?usp=sharing"",""สุราษฎร์ธานี!R287"")"),0)</f>
        <v>0</v>
      </c>
      <c r="S287" s="47">
        <f ca="1">IFERROR(__xludf.DUMMYFUNCTION("IMPORTRANGE(""https://docs.google.com/spreadsheets/d/1kKUcYdkIfrgTSj8iHHHB2MD2FAtwyyocFgqGQn6ADyI/edit?usp=sharing"",""กระบี่!S287"")+IMPORTRANGE(""https://docs.google.com/spreadsheets/d/1GwtLaSlNZkLk7iDqcyZz22giiy40b_usZZBXYciEN1U/edit?usp=sharing"",""ชุ"&amp;"มพร!S287"")+IMPORTRANGE(""https://docs.google.com/spreadsheets/d/16pAz3pOhQEZBhvFNMa5KGgZS6iKWpsKX0pg6tQmwFpo/edit?usp=sharing"",""ตรัง!S287"")+IMPORTRANGE(""https://docs.google.com/spreadsheets/d/1Dj4jcHCTV9JXKCaMoheSXS52JE63kDKyG7bPXnFogHk/edit?usp=shar"&amp;"ing"",""นครศรีธรรมราช!S287"")+IMPORTRANGE(""https://docs.google.com/spreadsheets/d/1iodCdmuK2GR3jzUwk8tpccY2JHQQA-87DLOtJP-ooyU/edit?usp=sharing"",""นราธิวาส!S287"")+IMPORTRANGE(""https://docs.google.com/spreadsheets/d/1SDNX3JhDdYRuIOsj0Wh2M-Qa_eaXl0NbWmh"&amp;"AOTbfQAs/edit?usp=sharing"",""ปัตตานี!S287"")+IMPORTRANGE(""https://docs.google.com/spreadsheets/d/16JDLGguT8s5DsGCND1KcwHP_AWR_zDMTqLHPLJUKhaU/edit?usp=sharing"",""พังงา!S287"")+IMPORTRANGE(""https://docs.google.com/spreadsheets/d/17ht0gPKzzT3PObBL1XJkeR"&amp;"mntBXI7wGjpLV7QorqlTk/edit?usp=sharing"",""พัทลุง!S287"")+IMPORTRANGE(""https://docs.google.com/spreadsheets/d/1rd4qoM1q_hsgaolqNGfrim9gbsoLxQsda4-vOz5x_BM/edit?usp=sharing"",""ภูเก็ต!S287"")+IMPORTRANGE(""https://docs.google.com/spreadsheets/d/1woKwKjgoL"&amp;"ssDvPcPeVyezB5izizAn4X1JDrys69n6xI/edit?usp=sharing"",""ยะลา!S287"")+IMPORTRANGE(""https://docs.google.com/spreadsheets/d/1qfrKjzMhm2HJfxQ-qVlJlJQ25Hne1d0khsySbZyGtPA/edit?usp=sharing"",""ระนอง!S287"")+IMPORTRANGE(""https://docs.google.com/spreadsheets/d/"&amp;"1IbSCnFOKpZsnFogBHJnL_isstZVaOMnFiIN0fGTPZZw/edit?usp=sharing"",""สงขลา!S287"")+IMPORTRANGE(""https://docs.google.com/spreadsheets/d/1q9nWasZJ-K8bFGvbE9n0qSRuKGA4Toe3Y89cKCiVtCU/edit?usp=sharing"",""สตูล!S287"")+IMPORTRANGE(""https://docs.google.com/sprea"&amp;"dsheets/d/18T20gbkS_WBjdscyTOV05cvq_JqvqQ17C81mpxf7Ncs/edit?usp=sharing"",""สุราษฎร์ธานี!S287"")"),0)</f>
        <v>0</v>
      </c>
      <c r="T287" s="49">
        <f t="shared" ca="1" si="209"/>
        <v>0</v>
      </c>
      <c r="U287" s="49">
        <f t="shared" ca="1" si="210"/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47">
        <f t="shared" ref="L288:N288" ca="1" si="217">L289+L290</f>
        <v>0</v>
      </c>
      <c r="M288" s="47">
        <f t="shared" ca="1" si="217"/>
        <v>0</v>
      </c>
      <c r="N288" s="47">
        <f t="shared" ca="1" si="217"/>
        <v>0</v>
      </c>
      <c r="O288" s="47">
        <f t="shared" ca="1" si="206"/>
        <v>0</v>
      </c>
      <c r="P288" s="47">
        <f t="shared" ca="1" si="207"/>
        <v>0</v>
      </c>
      <c r="Q288" s="47">
        <f t="shared" ref="Q288:S288" ca="1" si="218">Q289+Q290</f>
        <v>0</v>
      </c>
      <c r="R288" s="47">
        <f t="shared" ca="1" si="218"/>
        <v>0</v>
      </c>
      <c r="S288" s="47">
        <f t="shared" ca="1" si="218"/>
        <v>0</v>
      </c>
      <c r="T288" s="47">
        <f t="shared" ca="1" si="209"/>
        <v>0</v>
      </c>
      <c r="U288" s="47">
        <f t="shared" ca="1" si="210"/>
        <v>0</v>
      </c>
    </row>
    <row r="289" spans="1:21" ht="18.75" hidden="1" x14ac:dyDescent="0.25">
      <c r="A289" s="128"/>
      <c r="B289" s="41"/>
      <c r="C289" s="41"/>
      <c r="D289" s="41"/>
      <c r="E289" s="48" t="s">
        <v>20</v>
      </c>
      <c r="F289" s="41"/>
      <c r="G289" s="43"/>
      <c r="H289" s="134" t="s">
        <v>14</v>
      </c>
      <c r="I289" s="135"/>
      <c r="J289" s="135"/>
      <c r="K289" s="136"/>
      <c r="L289" s="47">
        <f ca="1">IFERROR(__xludf.DUMMYFUNCTION("IMPORTRANGE(""https://docs.google.com/spreadsheets/d/1kKUcYdkIfrgTSj8iHHHB2MD2FAtwyyocFgqGQn6ADyI/edit?usp=sharing"",""กระบี่!L289"")+IMPORTRANGE(""https://docs.google.com/spreadsheets/d/1GwtLaSlNZkLk7iDqcyZz22giiy40b_usZZBXYciEN1U/edit?usp=sharing"",""ชุ"&amp;"มพร!L289"")+IMPORTRANGE(""https://docs.google.com/spreadsheets/d/16pAz3pOhQEZBhvFNMa5KGgZS6iKWpsKX0pg6tQmwFpo/edit?usp=sharing"",""ตรัง!L289"")+IMPORTRANGE(""https://docs.google.com/spreadsheets/d/1Dj4jcHCTV9JXKCaMoheSXS52JE63kDKyG7bPXnFogHk/edit?usp=shar"&amp;"ing"",""นครศรีธรรมราช!L289"")+IMPORTRANGE(""https://docs.google.com/spreadsheets/d/1iodCdmuK2GR3jzUwk8tpccY2JHQQA-87DLOtJP-ooyU/edit?usp=sharing"",""นราธิวาส!L289"")+IMPORTRANGE(""https://docs.google.com/spreadsheets/d/1SDNX3JhDdYRuIOsj0Wh2M-Qa_eaXl0NbWmh"&amp;"AOTbfQAs/edit?usp=sharing"",""ปัตตานี!L289"")+IMPORTRANGE(""https://docs.google.com/spreadsheets/d/16JDLGguT8s5DsGCND1KcwHP_AWR_zDMTqLHPLJUKhaU/edit?usp=sharing"",""พังงา!L289"")+IMPORTRANGE(""https://docs.google.com/spreadsheets/d/17ht0gPKzzT3PObBL1XJkeR"&amp;"mntBXI7wGjpLV7QorqlTk/edit?usp=sharing"",""พัทลุง!L289"")+IMPORTRANGE(""https://docs.google.com/spreadsheets/d/1rd4qoM1q_hsgaolqNGfrim9gbsoLxQsda4-vOz5x_BM/edit?usp=sharing"",""ภูเก็ต!L289"")+IMPORTRANGE(""https://docs.google.com/spreadsheets/d/1woKwKjgoL"&amp;"ssDvPcPeVyezB5izizAn4X1JDrys69n6xI/edit?usp=sharing"",""ยะลา!L289"")+IMPORTRANGE(""https://docs.google.com/spreadsheets/d/1qfrKjzMhm2HJfxQ-qVlJlJQ25Hne1d0khsySbZyGtPA/edit?usp=sharing"",""ระนอง!L289"")+IMPORTRANGE(""https://docs.google.com/spreadsheets/d/"&amp;"1IbSCnFOKpZsnFogBHJnL_isstZVaOMnFiIN0fGTPZZw/edit?usp=sharing"",""สงขลา!L289"")+IMPORTRANGE(""https://docs.google.com/spreadsheets/d/1q9nWasZJ-K8bFGvbE9n0qSRuKGA4Toe3Y89cKCiVtCU/edit?usp=sharing"",""สตูล!L289"")+IMPORTRANGE(""https://docs.google.com/sprea"&amp;"dsheets/d/18T20gbkS_WBjdscyTOV05cvq_JqvqQ17C81mpxf7Ncs/edit?usp=sharing"",""สุราษฎร์ธานี!L289"")"),0)</f>
        <v>0</v>
      </c>
      <c r="M289" s="47">
        <f ca="1">IFERROR(__xludf.DUMMYFUNCTION("IMPORTRANGE(""https://docs.google.com/spreadsheets/d/1kKUcYdkIfrgTSj8iHHHB2MD2FAtwyyocFgqGQn6ADyI/edit?usp=sharing"",""กระบี่!M289"")+IMPORTRANGE(""https://docs.google.com/spreadsheets/d/1GwtLaSlNZkLk7iDqcyZz22giiy40b_usZZBXYciEN1U/edit?usp=sharing"",""ชุ"&amp;"มพร!M289"")+IMPORTRANGE(""https://docs.google.com/spreadsheets/d/16pAz3pOhQEZBhvFNMa5KGgZS6iKWpsKX0pg6tQmwFpo/edit?usp=sharing"",""ตรัง!M289"")+IMPORTRANGE(""https://docs.google.com/spreadsheets/d/1Dj4jcHCTV9JXKCaMoheSXS52JE63kDKyG7bPXnFogHk/edit?usp=shar"&amp;"ing"",""นครศรีธรรมราช!M289"")+IMPORTRANGE(""https://docs.google.com/spreadsheets/d/1iodCdmuK2GR3jzUwk8tpccY2JHQQA-87DLOtJP-ooyU/edit?usp=sharing"",""นราธิวาส!M289"")+IMPORTRANGE(""https://docs.google.com/spreadsheets/d/1SDNX3JhDdYRuIOsj0Wh2M-Qa_eaXl0NbWmh"&amp;"AOTbfQAs/edit?usp=sharing"",""ปัตตานี!M289"")+IMPORTRANGE(""https://docs.google.com/spreadsheets/d/16JDLGguT8s5DsGCND1KcwHP_AWR_zDMTqLHPLJUKhaU/edit?usp=sharing"",""พังงา!M289"")+IMPORTRANGE(""https://docs.google.com/spreadsheets/d/17ht0gPKzzT3PObBL1XJkeR"&amp;"mntBXI7wGjpLV7QorqlTk/edit?usp=sharing"",""พัทลุง!M289"")+IMPORTRANGE(""https://docs.google.com/spreadsheets/d/1rd4qoM1q_hsgaolqNGfrim9gbsoLxQsda4-vOz5x_BM/edit?usp=sharing"",""ภูเก็ต!M289"")+IMPORTRANGE(""https://docs.google.com/spreadsheets/d/1woKwKjgoL"&amp;"ssDvPcPeVyezB5izizAn4X1JDrys69n6xI/edit?usp=sharing"",""ยะลา!M289"")+IMPORTRANGE(""https://docs.google.com/spreadsheets/d/1qfrKjzMhm2HJfxQ-qVlJlJQ25Hne1d0khsySbZyGtPA/edit?usp=sharing"",""ระนอง!M289"")+IMPORTRANGE(""https://docs.google.com/spreadsheets/d/"&amp;"1IbSCnFOKpZsnFogBHJnL_isstZVaOMnFiIN0fGTPZZw/edit?usp=sharing"",""สงขลา!M289"")+IMPORTRANGE(""https://docs.google.com/spreadsheets/d/1q9nWasZJ-K8bFGvbE9n0qSRuKGA4Toe3Y89cKCiVtCU/edit?usp=sharing"",""สตูล!M289"")+IMPORTRANGE(""https://docs.google.com/sprea"&amp;"dsheets/d/18T20gbkS_WBjdscyTOV05cvq_JqvqQ17C81mpxf7Ncs/edit?usp=sharing"",""สุราษฎร์ธานี!M289"")"),0)</f>
        <v>0</v>
      </c>
      <c r="N289" s="47">
        <f ca="1">IFERROR(__xludf.DUMMYFUNCTION("IMPORTRANGE(""https://docs.google.com/spreadsheets/d/1kKUcYdkIfrgTSj8iHHHB2MD2FAtwyyocFgqGQn6ADyI/edit?usp=sharing"",""กระบี่!N289"")+IMPORTRANGE(""https://docs.google.com/spreadsheets/d/1GwtLaSlNZkLk7iDqcyZz22giiy40b_usZZBXYciEN1U/edit?usp=sharing"",""ชุ"&amp;"มพร!N289"")+IMPORTRANGE(""https://docs.google.com/spreadsheets/d/16pAz3pOhQEZBhvFNMa5KGgZS6iKWpsKX0pg6tQmwFpo/edit?usp=sharing"",""ตรัง!N289"")+IMPORTRANGE(""https://docs.google.com/spreadsheets/d/1Dj4jcHCTV9JXKCaMoheSXS52JE63kDKyG7bPXnFogHk/edit?usp=shar"&amp;"ing"",""นครศรีธรรมราช!N289"")+IMPORTRANGE(""https://docs.google.com/spreadsheets/d/1iodCdmuK2GR3jzUwk8tpccY2JHQQA-87DLOtJP-ooyU/edit?usp=sharing"",""นราธิวาส!N289"")+IMPORTRANGE(""https://docs.google.com/spreadsheets/d/1SDNX3JhDdYRuIOsj0Wh2M-Qa_eaXl0NbWmh"&amp;"AOTbfQAs/edit?usp=sharing"",""ปัตตานี!N289"")+IMPORTRANGE(""https://docs.google.com/spreadsheets/d/16JDLGguT8s5DsGCND1KcwHP_AWR_zDMTqLHPLJUKhaU/edit?usp=sharing"",""พังงา!N289"")+IMPORTRANGE(""https://docs.google.com/spreadsheets/d/17ht0gPKzzT3PObBL1XJkeR"&amp;"mntBXI7wGjpLV7QorqlTk/edit?usp=sharing"",""พัทลุง!N289"")+IMPORTRANGE(""https://docs.google.com/spreadsheets/d/1rd4qoM1q_hsgaolqNGfrim9gbsoLxQsda4-vOz5x_BM/edit?usp=sharing"",""ภูเก็ต!N289"")+IMPORTRANGE(""https://docs.google.com/spreadsheets/d/1woKwKjgoL"&amp;"ssDvPcPeVyezB5izizAn4X1JDrys69n6xI/edit?usp=sharing"",""ยะลา!N289"")+IMPORTRANGE(""https://docs.google.com/spreadsheets/d/1qfrKjzMhm2HJfxQ-qVlJlJQ25Hne1d0khsySbZyGtPA/edit?usp=sharing"",""ระนอง!N289"")+IMPORTRANGE(""https://docs.google.com/spreadsheets/d/"&amp;"1IbSCnFOKpZsnFogBHJnL_isstZVaOMnFiIN0fGTPZZw/edit?usp=sharing"",""สงขลา!N289"")+IMPORTRANGE(""https://docs.google.com/spreadsheets/d/1q9nWasZJ-K8bFGvbE9n0qSRuKGA4Toe3Y89cKCiVtCU/edit?usp=sharing"",""สตูล!N289"")+IMPORTRANGE(""https://docs.google.com/sprea"&amp;"dsheets/d/18T20gbkS_WBjdscyTOV05cvq_JqvqQ17C81mpxf7Ncs/edit?usp=sharing"",""สุราษฎร์ธานี!N289"")"),0)</f>
        <v>0</v>
      </c>
      <c r="O289" s="47">
        <f t="shared" ca="1" si="206"/>
        <v>0</v>
      </c>
      <c r="P289" s="47">
        <f t="shared" ca="1" si="207"/>
        <v>0</v>
      </c>
      <c r="Q289" s="47">
        <f ca="1">IFERROR(__xludf.DUMMYFUNCTION("IMPORTRANGE(""https://docs.google.com/spreadsheets/d/1kKUcYdkIfrgTSj8iHHHB2MD2FAtwyyocFgqGQn6ADyI/edit?usp=sharing"",""กระบี่!Q289"")+IMPORTRANGE(""https://docs.google.com/spreadsheets/d/1GwtLaSlNZkLk7iDqcyZz22giiy40b_usZZBXYciEN1U/edit?usp=sharing"",""ชุ"&amp;"มพร!Q289"")+IMPORTRANGE(""https://docs.google.com/spreadsheets/d/16pAz3pOhQEZBhvFNMa5KGgZS6iKWpsKX0pg6tQmwFpo/edit?usp=sharing"",""ตรัง!Q289"")+IMPORTRANGE(""https://docs.google.com/spreadsheets/d/1Dj4jcHCTV9JXKCaMoheSXS52JE63kDKyG7bPXnFogHk/edit?usp=shar"&amp;"ing"",""นครศรีธรรมราช!Q289"")+IMPORTRANGE(""https://docs.google.com/spreadsheets/d/1iodCdmuK2GR3jzUwk8tpccY2JHQQA-87DLOtJP-ooyU/edit?usp=sharing"",""นราธิวาส!Q289"")+IMPORTRANGE(""https://docs.google.com/spreadsheets/d/1SDNX3JhDdYRuIOsj0Wh2M-Qa_eaXl0NbWmh"&amp;"AOTbfQAs/edit?usp=sharing"",""ปัตตานี!Q289"")+IMPORTRANGE(""https://docs.google.com/spreadsheets/d/16JDLGguT8s5DsGCND1KcwHP_AWR_zDMTqLHPLJUKhaU/edit?usp=sharing"",""พังงา!Q289"")+IMPORTRANGE(""https://docs.google.com/spreadsheets/d/17ht0gPKzzT3PObBL1XJkeR"&amp;"mntBXI7wGjpLV7QorqlTk/edit?usp=sharing"",""พัทลุง!Q289"")+IMPORTRANGE(""https://docs.google.com/spreadsheets/d/1rd4qoM1q_hsgaolqNGfrim9gbsoLxQsda4-vOz5x_BM/edit?usp=sharing"",""ภูเก็ต!Q289"")+IMPORTRANGE(""https://docs.google.com/spreadsheets/d/1woKwKjgoL"&amp;"ssDvPcPeVyezB5izizAn4X1JDrys69n6xI/edit?usp=sharing"",""ยะลา!Q289"")+IMPORTRANGE(""https://docs.google.com/spreadsheets/d/1qfrKjzMhm2HJfxQ-qVlJlJQ25Hne1d0khsySbZyGtPA/edit?usp=sharing"",""ระนอง!Q289"")+IMPORTRANGE(""https://docs.google.com/spreadsheets/d/"&amp;"1IbSCnFOKpZsnFogBHJnL_isstZVaOMnFiIN0fGTPZZw/edit?usp=sharing"",""สงขลา!Q289"")+IMPORTRANGE(""https://docs.google.com/spreadsheets/d/1q9nWasZJ-K8bFGvbE9n0qSRuKGA4Toe3Y89cKCiVtCU/edit?usp=sharing"",""สตูล!Q289"")+IMPORTRANGE(""https://docs.google.com/sprea"&amp;"dsheets/d/18T20gbkS_WBjdscyTOV05cvq_JqvqQ17C81mpxf7Ncs/edit?usp=sharing"",""สุราษฎร์ธานี!Q289"")"),0)</f>
        <v>0</v>
      </c>
      <c r="R289" s="47">
        <f ca="1">IFERROR(__xludf.DUMMYFUNCTION("IMPORTRANGE(""https://docs.google.com/spreadsheets/d/1kKUcYdkIfrgTSj8iHHHB2MD2FAtwyyocFgqGQn6ADyI/edit?usp=sharing"",""กระบี่!R289"")+IMPORTRANGE(""https://docs.google.com/spreadsheets/d/1GwtLaSlNZkLk7iDqcyZz22giiy40b_usZZBXYciEN1U/edit?usp=sharing"",""ชุ"&amp;"มพร!R289"")+IMPORTRANGE(""https://docs.google.com/spreadsheets/d/16pAz3pOhQEZBhvFNMa5KGgZS6iKWpsKX0pg6tQmwFpo/edit?usp=sharing"",""ตรัง!R289"")+IMPORTRANGE(""https://docs.google.com/spreadsheets/d/1Dj4jcHCTV9JXKCaMoheSXS52JE63kDKyG7bPXnFogHk/edit?usp=shar"&amp;"ing"",""นครศรีธรรมราช!R289"")+IMPORTRANGE(""https://docs.google.com/spreadsheets/d/1iodCdmuK2GR3jzUwk8tpccY2JHQQA-87DLOtJP-ooyU/edit?usp=sharing"",""นราธิวาส!R289"")+IMPORTRANGE(""https://docs.google.com/spreadsheets/d/1SDNX3JhDdYRuIOsj0Wh2M-Qa_eaXl0NbWmh"&amp;"AOTbfQAs/edit?usp=sharing"",""ปัตตานี!R289"")+IMPORTRANGE(""https://docs.google.com/spreadsheets/d/16JDLGguT8s5DsGCND1KcwHP_AWR_zDMTqLHPLJUKhaU/edit?usp=sharing"",""พังงา!R289"")+IMPORTRANGE(""https://docs.google.com/spreadsheets/d/17ht0gPKzzT3PObBL1XJkeR"&amp;"mntBXI7wGjpLV7QorqlTk/edit?usp=sharing"",""พัทลุง!R289"")+IMPORTRANGE(""https://docs.google.com/spreadsheets/d/1rd4qoM1q_hsgaolqNGfrim9gbsoLxQsda4-vOz5x_BM/edit?usp=sharing"",""ภูเก็ต!R289"")+IMPORTRANGE(""https://docs.google.com/spreadsheets/d/1woKwKjgoL"&amp;"ssDvPcPeVyezB5izizAn4X1JDrys69n6xI/edit?usp=sharing"",""ยะลา!R289"")+IMPORTRANGE(""https://docs.google.com/spreadsheets/d/1qfrKjzMhm2HJfxQ-qVlJlJQ25Hne1d0khsySbZyGtPA/edit?usp=sharing"",""ระนอง!R289"")+IMPORTRANGE(""https://docs.google.com/spreadsheets/d/"&amp;"1IbSCnFOKpZsnFogBHJnL_isstZVaOMnFiIN0fGTPZZw/edit?usp=sharing"",""สงขลา!R289"")+IMPORTRANGE(""https://docs.google.com/spreadsheets/d/1q9nWasZJ-K8bFGvbE9n0qSRuKGA4Toe3Y89cKCiVtCU/edit?usp=sharing"",""สตูล!R289"")+IMPORTRANGE(""https://docs.google.com/sprea"&amp;"dsheets/d/18T20gbkS_WBjdscyTOV05cvq_JqvqQ17C81mpxf7Ncs/edit?usp=sharing"",""สุราษฎร์ธานี!R289"")"),0)</f>
        <v>0</v>
      </c>
      <c r="S289" s="47">
        <f ca="1">IFERROR(__xludf.DUMMYFUNCTION("IMPORTRANGE(""https://docs.google.com/spreadsheets/d/1kKUcYdkIfrgTSj8iHHHB2MD2FAtwyyocFgqGQn6ADyI/edit?usp=sharing"",""กระบี่!S289"")+IMPORTRANGE(""https://docs.google.com/spreadsheets/d/1GwtLaSlNZkLk7iDqcyZz22giiy40b_usZZBXYciEN1U/edit?usp=sharing"",""ชุ"&amp;"มพร!S289"")+IMPORTRANGE(""https://docs.google.com/spreadsheets/d/16pAz3pOhQEZBhvFNMa5KGgZS6iKWpsKX0pg6tQmwFpo/edit?usp=sharing"",""ตรัง!S289"")+IMPORTRANGE(""https://docs.google.com/spreadsheets/d/1Dj4jcHCTV9JXKCaMoheSXS52JE63kDKyG7bPXnFogHk/edit?usp=shar"&amp;"ing"",""นครศรีธรรมราช!S289"")+IMPORTRANGE(""https://docs.google.com/spreadsheets/d/1iodCdmuK2GR3jzUwk8tpccY2JHQQA-87DLOtJP-ooyU/edit?usp=sharing"",""นราธิวาส!S289"")+IMPORTRANGE(""https://docs.google.com/spreadsheets/d/1SDNX3JhDdYRuIOsj0Wh2M-Qa_eaXl0NbWmh"&amp;"AOTbfQAs/edit?usp=sharing"",""ปัตตานี!S289"")+IMPORTRANGE(""https://docs.google.com/spreadsheets/d/16JDLGguT8s5DsGCND1KcwHP_AWR_zDMTqLHPLJUKhaU/edit?usp=sharing"",""พังงา!S289"")+IMPORTRANGE(""https://docs.google.com/spreadsheets/d/17ht0gPKzzT3PObBL1XJkeR"&amp;"mntBXI7wGjpLV7QorqlTk/edit?usp=sharing"",""พัทลุง!S289"")+IMPORTRANGE(""https://docs.google.com/spreadsheets/d/1rd4qoM1q_hsgaolqNGfrim9gbsoLxQsda4-vOz5x_BM/edit?usp=sharing"",""ภูเก็ต!S289"")+IMPORTRANGE(""https://docs.google.com/spreadsheets/d/1woKwKjgoL"&amp;"ssDvPcPeVyezB5izizAn4X1JDrys69n6xI/edit?usp=sharing"",""ยะลา!S289"")+IMPORTRANGE(""https://docs.google.com/spreadsheets/d/1qfrKjzMhm2HJfxQ-qVlJlJQ25Hne1d0khsySbZyGtPA/edit?usp=sharing"",""ระนอง!S289"")+IMPORTRANGE(""https://docs.google.com/spreadsheets/d/"&amp;"1IbSCnFOKpZsnFogBHJnL_isstZVaOMnFiIN0fGTPZZw/edit?usp=sharing"",""สงขลา!S289"")+IMPORTRANGE(""https://docs.google.com/spreadsheets/d/1q9nWasZJ-K8bFGvbE9n0qSRuKGA4Toe3Y89cKCiVtCU/edit?usp=sharing"",""สตูล!S289"")+IMPORTRANGE(""https://docs.google.com/sprea"&amp;"dsheets/d/18T20gbkS_WBjdscyTOV05cvq_JqvqQ17C81mpxf7Ncs/edit?usp=sharing"",""สุราษฎร์ธานี!S289"")"),0)</f>
        <v>0</v>
      </c>
      <c r="T289" s="49">
        <f t="shared" ca="1" si="209"/>
        <v>0</v>
      </c>
      <c r="U289" s="49">
        <f t="shared" ca="1" si="210"/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47">
        <f ca="1">IFERROR(__xludf.DUMMYFUNCTION("IMPORTRANGE(""https://docs.google.com/spreadsheets/d/1kKUcYdkIfrgTSj8iHHHB2MD2FAtwyyocFgqGQn6ADyI/edit?usp=sharing"",""กระบี่!L290"")+IMPORTRANGE(""https://docs.google.com/spreadsheets/d/1GwtLaSlNZkLk7iDqcyZz22giiy40b_usZZBXYciEN1U/edit?usp=sharing"",""ชุ"&amp;"มพร!L290"")+IMPORTRANGE(""https://docs.google.com/spreadsheets/d/16pAz3pOhQEZBhvFNMa5KGgZS6iKWpsKX0pg6tQmwFpo/edit?usp=sharing"",""ตรัง!L290"")+IMPORTRANGE(""https://docs.google.com/spreadsheets/d/1Dj4jcHCTV9JXKCaMoheSXS52JE63kDKyG7bPXnFogHk/edit?usp=shar"&amp;"ing"",""นครศรีธรรมราช!L290"")+IMPORTRANGE(""https://docs.google.com/spreadsheets/d/1iodCdmuK2GR3jzUwk8tpccY2JHQQA-87DLOtJP-ooyU/edit?usp=sharing"",""นราธิวาส!L290"")+IMPORTRANGE(""https://docs.google.com/spreadsheets/d/1SDNX3JhDdYRuIOsj0Wh2M-Qa_eaXl0NbWmh"&amp;"AOTbfQAs/edit?usp=sharing"",""ปัตตานี!L290"")+IMPORTRANGE(""https://docs.google.com/spreadsheets/d/16JDLGguT8s5DsGCND1KcwHP_AWR_zDMTqLHPLJUKhaU/edit?usp=sharing"",""พังงา!L290"")+IMPORTRANGE(""https://docs.google.com/spreadsheets/d/17ht0gPKzzT3PObBL1XJkeR"&amp;"mntBXI7wGjpLV7QorqlTk/edit?usp=sharing"",""พัทลุง!L290"")+IMPORTRANGE(""https://docs.google.com/spreadsheets/d/1rd4qoM1q_hsgaolqNGfrim9gbsoLxQsda4-vOz5x_BM/edit?usp=sharing"",""ภูเก็ต!L290"")+IMPORTRANGE(""https://docs.google.com/spreadsheets/d/1woKwKjgoL"&amp;"ssDvPcPeVyezB5izizAn4X1JDrys69n6xI/edit?usp=sharing"",""ยะลา!L290"")+IMPORTRANGE(""https://docs.google.com/spreadsheets/d/1qfrKjzMhm2HJfxQ-qVlJlJQ25Hne1d0khsySbZyGtPA/edit?usp=sharing"",""ระนอง!L290"")+IMPORTRANGE(""https://docs.google.com/spreadsheets/d/"&amp;"1IbSCnFOKpZsnFogBHJnL_isstZVaOMnFiIN0fGTPZZw/edit?usp=sharing"",""สงขลา!L290"")+IMPORTRANGE(""https://docs.google.com/spreadsheets/d/1q9nWasZJ-K8bFGvbE9n0qSRuKGA4Toe3Y89cKCiVtCU/edit?usp=sharing"",""สตูล!L290"")+IMPORTRANGE(""https://docs.google.com/sprea"&amp;"dsheets/d/18T20gbkS_WBjdscyTOV05cvq_JqvqQ17C81mpxf7Ncs/edit?usp=sharing"",""สุราษฎร์ธานี!L290"")"),0)</f>
        <v>0</v>
      </c>
      <c r="M290" s="47">
        <f ca="1">IFERROR(__xludf.DUMMYFUNCTION("IMPORTRANGE(""https://docs.google.com/spreadsheets/d/1kKUcYdkIfrgTSj8iHHHB2MD2FAtwyyocFgqGQn6ADyI/edit?usp=sharing"",""กระบี่!M290"")+IMPORTRANGE(""https://docs.google.com/spreadsheets/d/1GwtLaSlNZkLk7iDqcyZz22giiy40b_usZZBXYciEN1U/edit?usp=sharing"",""ชุ"&amp;"มพร!M290"")+IMPORTRANGE(""https://docs.google.com/spreadsheets/d/16pAz3pOhQEZBhvFNMa5KGgZS6iKWpsKX0pg6tQmwFpo/edit?usp=sharing"",""ตรัง!M290"")+IMPORTRANGE(""https://docs.google.com/spreadsheets/d/1Dj4jcHCTV9JXKCaMoheSXS52JE63kDKyG7bPXnFogHk/edit?usp=shar"&amp;"ing"",""นครศรีธรรมราช!M290"")+IMPORTRANGE(""https://docs.google.com/spreadsheets/d/1iodCdmuK2GR3jzUwk8tpccY2JHQQA-87DLOtJP-ooyU/edit?usp=sharing"",""นราธิวาส!M290"")+IMPORTRANGE(""https://docs.google.com/spreadsheets/d/1SDNX3JhDdYRuIOsj0Wh2M-Qa_eaXl0NbWmh"&amp;"AOTbfQAs/edit?usp=sharing"",""ปัตตานี!M290"")+IMPORTRANGE(""https://docs.google.com/spreadsheets/d/16JDLGguT8s5DsGCND1KcwHP_AWR_zDMTqLHPLJUKhaU/edit?usp=sharing"",""พังงา!M290"")+IMPORTRANGE(""https://docs.google.com/spreadsheets/d/17ht0gPKzzT3PObBL1XJkeR"&amp;"mntBXI7wGjpLV7QorqlTk/edit?usp=sharing"",""พัทลุง!M290"")+IMPORTRANGE(""https://docs.google.com/spreadsheets/d/1rd4qoM1q_hsgaolqNGfrim9gbsoLxQsda4-vOz5x_BM/edit?usp=sharing"",""ภูเก็ต!M290"")+IMPORTRANGE(""https://docs.google.com/spreadsheets/d/1woKwKjgoL"&amp;"ssDvPcPeVyezB5izizAn4X1JDrys69n6xI/edit?usp=sharing"",""ยะลา!M290"")+IMPORTRANGE(""https://docs.google.com/spreadsheets/d/1qfrKjzMhm2HJfxQ-qVlJlJQ25Hne1d0khsySbZyGtPA/edit?usp=sharing"",""ระนอง!M290"")+IMPORTRANGE(""https://docs.google.com/spreadsheets/d/"&amp;"1IbSCnFOKpZsnFogBHJnL_isstZVaOMnFiIN0fGTPZZw/edit?usp=sharing"",""สงขลา!M290"")+IMPORTRANGE(""https://docs.google.com/spreadsheets/d/1q9nWasZJ-K8bFGvbE9n0qSRuKGA4Toe3Y89cKCiVtCU/edit?usp=sharing"",""สตูล!M290"")+IMPORTRANGE(""https://docs.google.com/sprea"&amp;"dsheets/d/18T20gbkS_WBjdscyTOV05cvq_JqvqQ17C81mpxf7Ncs/edit?usp=sharing"",""สุราษฎร์ธานี!M290"")"),0)</f>
        <v>0</v>
      </c>
      <c r="N290" s="47">
        <f ca="1">IFERROR(__xludf.DUMMYFUNCTION("IMPORTRANGE(""https://docs.google.com/spreadsheets/d/1kKUcYdkIfrgTSj8iHHHB2MD2FAtwyyocFgqGQn6ADyI/edit?usp=sharing"",""กระบี่!N290"")+IMPORTRANGE(""https://docs.google.com/spreadsheets/d/1GwtLaSlNZkLk7iDqcyZz22giiy40b_usZZBXYciEN1U/edit?usp=sharing"",""ชุ"&amp;"มพร!N290"")+IMPORTRANGE(""https://docs.google.com/spreadsheets/d/16pAz3pOhQEZBhvFNMa5KGgZS6iKWpsKX0pg6tQmwFpo/edit?usp=sharing"",""ตรัง!N290"")+IMPORTRANGE(""https://docs.google.com/spreadsheets/d/1Dj4jcHCTV9JXKCaMoheSXS52JE63kDKyG7bPXnFogHk/edit?usp=shar"&amp;"ing"",""นครศรีธรรมราช!N290"")+IMPORTRANGE(""https://docs.google.com/spreadsheets/d/1iodCdmuK2GR3jzUwk8tpccY2JHQQA-87DLOtJP-ooyU/edit?usp=sharing"",""นราธิวาส!N290"")+IMPORTRANGE(""https://docs.google.com/spreadsheets/d/1SDNX3JhDdYRuIOsj0Wh2M-Qa_eaXl0NbWmh"&amp;"AOTbfQAs/edit?usp=sharing"",""ปัตตานี!N290"")+IMPORTRANGE(""https://docs.google.com/spreadsheets/d/16JDLGguT8s5DsGCND1KcwHP_AWR_zDMTqLHPLJUKhaU/edit?usp=sharing"",""พังงา!N290"")+IMPORTRANGE(""https://docs.google.com/spreadsheets/d/17ht0gPKzzT3PObBL1XJkeR"&amp;"mntBXI7wGjpLV7QorqlTk/edit?usp=sharing"",""พัทลุง!N290"")+IMPORTRANGE(""https://docs.google.com/spreadsheets/d/1rd4qoM1q_hsgaolqNGfrim9gbsoLxQsda4-vOz5x_BM/edit?usp=sharing"",""ภูเก็ต!N290"")+IMPORTRANGE(""https://docs.google.com/spreadsheets/d/1woKwKjgoL"&amp;"ssDvPcPeVyezB5izizAn4X1JDrys69n6xI/edit?usp=sharing"",""ยะลา!N290"")+IMPORTRANGE(""https://docs.google.com/spreadsheets/d/1qfrKjzMhm2HJfxQ-qVlJlJQ25Hne1d0khsySbZyGtPA/edit?usp=sharing"",""ระนอง!N290"")+IMPORTRANGE(""https://docs.google.com/spreadsheets/d/"&amp;"1IbSCnFOKpZsnFogBHJnL_isstZVaOMnFiIN0fGTPZZw/edit?usp=sharing"",""สงขลา!N290"")+IMPORTRANGE(""https://docs.google.com/spreadsheets/d/1q9nWasZJ-K8bFGvbE9n0qSRuKGA4Toe3Y89cKCiVtCU/edit?usp=sharing"",""สตูล!N290"")+IMPORTRANGE(""https://docs.google.com/sprea"&amp;"dsheets/d/18T20gbkS_WBjdscyTOV05cvq_JqvqQ17C81mpxf7Ncs/edit?usp=sharing"",""สุราษฎร์ธานี!N290"")"),0)</f>
        <v>0</v>
      </c>
      <c r="O290" s="47">
        <f t="shared" ca="1" si="206"/>
        <v>0</v>
      </c>
      <c r="P290" s="47">
        <f t="shared" ca="1" si="207"/>
        <v>0</v>
      </c>
      <c r="Q290" s="47">
        <f ca="1">IFERROR(__xludf.DUMMYFUNCTION("IMPORTRANGE(""https://docs.google.com/spreadsheets/d/1kKUcYdkIfrgTSj8iHHHB2MD2FAtwyyocFgqGQn6ADyI/edit?usp=sharing"",""กระบี่!Q290"")+IMPORTRANGE(""https://docs.google.com/spreadsheets/d/1GwtLaSlNZkLk7iDqcyZz22giiy40b_usZZBXYciEN1U/edit?usp=sharing"",""ชุ"&amp;"มพร!Q290"")+IMPORTRANGE(""https://docs.google.com/spreadsheets/d/16pAz3pOhQEZBhvFNMa5KGgZS6iKWpsKX0pg6tQmwFpo/edit?usp=sharing"",""ตรัง!Q290"")+IMPORTRANGE(""https://docs.google.com/spreadsheets/d/1Dj4jcHCTV9JXKCaMoheSXS52JE63kDKyG7bPXnFogHk/edit?usp=shar"&amp;"ing"",""นครศรีธรรมราช!Q290"")+IMPORTRANGE(""https://docs.google.com/spreadsheets/d/1iodCdmuK2GR3jzUwk8tpccY2JHQQA-87DLOtJP-ooyU/edit?usp=sharing"",""นราธิวาส!Q290"")+IMPORTRANGE(""https://docs.google.com/spreadsheets/d/1SDNX3JhDdYRuIOsj0Wh2M-Qa_eaXl0NbWmh"&amp;"AOTbfQAs/edit?usp=sharing"",""ปัตตานี!Q290"")+IMPORTRANGE(""https://docs.google.com/spreadsheets/d/16JDLGguT8s5DsGCND1KcwHP_AWR_zDMTqLHPLJUKhaU/edit?usp=sharing"",""พังงา!Q290"")+IMPORTRANGE(""https://docs.google.com/spreadsheets/d/17ht0gPKzzT3PObBL1XJkeR"&amp;"mntBXI7wGjpLV7QorqlTk/edit?usp=sharing"",""พัทลุง!Q290"")+IMPORTRANGE(""https://docs.google.com/spreadsheets/d/1rd4qoM1q_hsgaolqNGfrim9gbsoLxQsda4-vOz5x_BM/edit?usp=sharing"",""ภูเก็ต!Q290"")+IMPORTRANGE(""https://docs.google.com/spreadsheets/d/1woKwKjgoL"&amp;"ssDvPcPeVyezB5izizAn4X1JDrys69n6xI/edit?usp=sharing"",""ยะลา!Q290"")+IMPORTRANGE(""https://docs.google.com/spreadsheets/d/1qfrKjzMhm2HJfxQ-qVlJlJQ25Hne1d0khsySbZyGtPA/edit?usp=sharing"",""ระนอง!Q290"")+IMPORTRANGE(""https://docs.google.com/spreadsheets/d/"&amp;"1IbSCnFOKpZsnFogBHJnL_isstZVaOMnFiIN0fGTPZZw/edit?usp=sharing"",""สงขลา!Q290"")+IMPORTRANGE(""https://docs.google.com/spreadsheets/d/1q9nWasZJ-K8bFGvbE9n0qSRuKGA4Toe3Y89cKCiVtCU/edit?usp=sharing"",""สตูล!Q290"")+IMPORTRANGE(""https://docs.google.com/sprea"&amp;"dsheets/d/18T20gbkS_WBjdscyTOV05cvq_JqvqQ17C81mpxf7Ncs/edit?usp=sharing"",""สุราษฎร์ธานี!Q290"")"),0)</f>
        <v>0</v>
      </c>
      <c r="R290" s="47">
        <f ca="1">IFERROR(__xludf.DUMMYFUNCTION("IMPORTRANGE(""https://docs.google.com/spreadsheets/d/1kKUcYdkIfrgTSj8iHHHB2MD2FAtwyyocFgqGQn6ADyI/edit?usp=sharing"",""กระบี่!R290"")+IMPORTRANGE(""https://docs.google.com/spreadsheets/d/1GwtLaSlNZkLk7iDqcyZz22giiy40b_usZZBXYciEN1U/edit?usp=sharing"",""ชุ"&amp;"มพร!R290"")+IMPORTRANGE(""https://docs.google.com/spreadsheets/d/16pAz3pOhQEZBhvFNMa5KGgZS6iKWpsKX0pg6tQmwFpo/edit?usp=sharing"",""ตรัง!R290"")+IMPORTRANGE(""https://docs.google.com/spreadsheets/d/1Dj4jcHCTV9JXKCaMoheSXS52JE63kDKyG7bPXnFogHk/edit?usp=shar"&amp;"ing"",""นครศรีธรรมราช!R290"")+IMPORTRANGE(""https://docs.google.com/spreadsheets/d/1iodCdmuK2GR3jzUwk8tpccY2JHQQA-87DLOtJP-ooyU/edit?usp=sharing"",""นราธิวาส!R290"")+IMPORTRANGE(""https://docs.google.com/spreadsheets/d/1SDNX3JhDdYRuIOsj0Wh2M-Qa_eaXl0NbWmh"&amp;"AOTbfQAs/edit?usp=sharing"",""ปัตตานี!R290"")+IMPORTRANGE(""https://docs.google.com/spreadsheets/d/16JDLGguT8s5DsGCND1KcwHP_AWR_zDMTqLHPLJUKhaU/edit?usp=sharing"",""พังงา!R290"")+IMPORTRANGE(""https://docs.google.com/spreadsheets/d/17ht0gPKzzT3PObBL1XJkeR"&amp;"mntBXI7wGjpLV7QorqlTk/edit?usp=sharing"",""พัทลุง!R290"")+IMPORTRANGE(""https://docs.google.com/spreadsheets/d/1rd4qoM1q_hsgaolqNGfrim9gbsoLxQsda4-vOz5x_BM/edit?usp=sharing"",""ภูเก็ต!R290"")+IMPORTRANGE(""https://docs.google.com/spreadsheets/d/1woKwKjgoL"&amp;"ssDvPcPeVyezB5izizAn4X1JDrys69n6xI/edit?usp=sharing"",""ยะลา!R290"")+IMPORTRANGE(""https://docs.google.com/spreadsheets/d/1qfrKjzMhm2HJfxQ-qVlJlJQ25Hne1d0khsySbZyGtPA/edit?usp=sharing"",""ระนอง!R290"")+IMPORTRANGE(""https://docs.google.com/spreadsheets/d/"&amp;"1IbSCnFOKpZsnFogBHJnL_isstZVaOMnFiIN0fGTPZZw/edit?usp=sharing"",""สงขลา!R290"")+IMPORTRANGE(""https://docs.google.com/spreadsheets/d/1q9nWasZJ-K8bFGvbE9n0qSRuKGA4Toe3Y89cKCiVtCU/edit?usp=sharing"",""สตูล!R290"")+IMPORTRANGE(""https://docs.google.com/sprea"&amp;"dsheets/d/18T20gbkS_WBjdscyTOV05cvq_JqvqQ17C81mpxf7Ncs/edit?usp=sharing"",""สุราษฎร์ธานี!R290"")"),0)</f>
        <v>0</v>
      </c>
      <c r="S290" s="47">
        <f ca="1">IFERROR(__xludf.DUMMYFUNCTION("IMPORTRANGE(""https://docs.google.com/spreadsheets/d/1kKUcYdkIfrgTSj8iHHHB2MD2FAtwyyocFgqGQn6ADyI/edit?usp=sharing"",""กระบี่!S290"")+IMPORTRANGE(""https://docs.google.com/spreadsheets/d/1GwtLaSlNZkLk7iDqcyZz22giiy40b_usZZBXYciEN1U/edit?usp=sharing"",""ชุ"&amp;"มพร!S290"")+IMPORTRANGE(""https://docs.google.com/spreadsheets/d/16pAz3pOhQEZBhvFNMa5KGgZS6iKWpsKX0pg6tQmwFpo/edit?usp=sharing"",""ตรัง!S290"")+IMPORTRANGE(""https://docs.google.com/spreadsheets/d/1Dj4jcHCTV9JXKCaMoheSXS52JE63kDKyG7bPXnFogHk/edit?usp=shar"&amp;"ing"",""นครศรีธรรมราช!S290"")+IMPORTRANGE(""https://docs.google.com/spreadsheets/d/1iodCdmuK2GR3jzUwk8tpccY2JHQQA-87DLOtJP-ooyU/edit?usp=sharing"",""นราธิวาส!S290"")+IMPORTRANGE(""https://docs.google.com/spreadsheets/d/1SDNX3JhDdYRuIOsj0Wh2M-Qa_eaXl0NbWmh"&amp;"AOTbfQAs/edit?usp=sharing"",""ปัตตานี!S290"")+IMPORTRANGE(""https://docs.google.com/spreadsheets/d/16JDLGguT8s5DsGCND1KcwHP_AWR_zDMTqLHPLJUKhaU/edit?usp=sharing"",""พังงา!S290"")+IMPORTRANGE(""https://docs.google.com/spreadsheets/d/17ht0gPKzzT3PObBL1XJkeR"&amp;"mntBXI7wGjpLV7QorqlTk/edit?usp=sharing"",""พัทลุง!S290"")+IMPORTRANGE(""https://docs.google.com/spreadsheets/d/1rd4qoM1q_hsgaolqNGfrim9gbsoLxQsda4-vOz5x_BM/edit?usp=sharing"",""ภูเก็ต!S290"")+IMPORTRANGE(""https://docs.google.com/spreadsheets/d/1woKwKjgoL"&amp;"ssDvPcPeVyezB5izizAn4X1JDrys69n6xI/edit?usp=sharing"",""ยะลา!S290"")+IMPORTRANGE(""https://docs.google.com/spreadsheets/d/1qfrKjzMhm2HJfxQ-qVlJlJQ25Hne1d0khsySbZyGtPA/edit?usp=sharing"",""ระนอง!S290"")+IMPORTRANGE(""https://docs.google.com/spreadsheets/d/"&amp;"1IbSCnFOKpZsnFogBHJnL_isstZVaOMnFiIN0fGTPZZw/edit?usp=sharing"",""สงขลา!S290"")+IMPORTRANGE(""https://docs.google.com/spreadsheets/d/1q9nWasZJ-K8bFGvbE9n0qSRuKGA4Toe3Y89cKCiVtCU/edit?usp=sharing"",""สตูล!S290"")+IMPORTRANGE(""https://docs.google.com/sprea"&amp;"dsheets/d/18T20gbkS_WBjdscyTOV05cvq_JqvqQ17C81mpxf7Ncs/edit?usp=sharing"",""สุราษฎร์ธานี!S290"")"),0)</f>
        <v>0</v>
      </c>
      <c r="T290" s="47">
        <f t="shared" ca="1" si="209"/>
        <v>0</v>
      </c>
      <c r="U290" s="47">
        <f t="shared" ca="1" si="210"/>
        <v>0</v>
      </c>
    </row>
    <row r="291" spans="1:21" ht="19.5" x14ac:dyDescent="0.3">
      <c r="A291" s="138"/>
      <c r="B291" s="139"/>
      <c r="C291" s="129" t="s">
        <v>18</v>
      </c>
      <c r="D291" s="140" t="s">
        <v>38</v>
      </c>
      <c r="E291" s="141"/>
      <c r="F291" s="141"/>
      <c r="G291" s="142"/>
      <c r="H291" s="143"/>
      <c r="I291" s="135"/>
      <c r="J291" s="135"/>
      <c r="K291" s="136"/>
      <c r="L291" s="136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kKUcYdkIfrgTSj8iHHHB2MD2FAtwyyocFgqGQn6ADyI/edit?usp=sharing"",""กระบี่!I292"")+IMPORTRANGE(""https://docs.google.com/spreadsheets/d/1GwtLaSlNZkLk7iDqcyZz22giiy40b_usZZBXYciEN1U/edit?usp=sharing"",""ชุ"&amp;"มพร!I292"")+IMPORTRANGE(""https://docs.google.com/spreadsheets/d/16pAz3pOhQEZBhvFNMa5KGgZS6iKWpsKX0pg6tQmwFpo/edit?usp=sharing"",""ตรัง!I292"")+IMPORTRANGE(""https://docs.google.com/spreadsheets/d/1Dj4jcHCTV9JXKCaMoheSXS52JE63kDKyG7bPXnFogHk/edit?usp=shar"&amp;"ing"",""นครศรีธรรมราช!I292"")+IMPORTRANGE(""https://docs.google.com/spreadsheets/d/1iodCdmuK2GR3jzUwk8tpccY2JHQQA-87DLOtJP-ooyU/edit?usp=sharing"",""นราธิวาส!I292"")+IMPORTRANGE(""https://docs.google.com/spreadsheets/d/1SDNX3JhDdYRuIOsj0Wh2M-Qa_eaXl0NbWmh"&amp;"AOTbfQAs/edit?usp=sharing"",""ปัตตานี!I292"")+IMPORTRANGE(""https://docs.google.com/spreadsheets/d/16JDLGguT8s5DsGCND1KcwHP_AWR_zDMTqLHPLJUKhaU/edit?usp=sharing"",""พังงา!I292"")+IMPORTRANGE(""https://docs.google.com/spreadsheets/d/17ht0gPKzzT3PObBL1XJkeR"&amp;"mntBXI7wGjpLV7QorqlTk/edit?usp=sharing"",""พัทลุง!I292"")+IMPORTRANGE(""https://docs.google.com/spreadsheets/d/1rd4qoM1q_hsgaolqNGfrim9gbsoLxQsda4-vOz5x_BM/edit?usp=sharing"",""ภูเก็ต!I292"")+IMPORTRANGE(""https://docs.google.com/spreadsheets/d/1woKwKjgoL"&amp;"ssDvPcPeVyezB5izizAn4X1JDrys69n6xI/edit?usp=sharing"",""ยะลา!I292"")+IMPORTRANGE(""https://docs.google.com/spreadsheets/d/1qfrKjzMhm2HJfxQ-qVlJlJQ25Hne1d0khsySbZyGtPA/edit?usp=sharing"",""ระนอง!I292"")+IMPORTRANGE(""https://docs.google.com/spreadsheets/d/"&amp;"1IbSCnFOKpZsnFogBHJnL_isstZVaOMnFiIN0fGTPZZw/edit?usp=sharing"",""สงขลา!I292"")+IMPORTRANGE(""https://docs.google.com/spreadsheets/d/1q9nWasZJ-K8bFGvbE9n0qSRuKGA4Toe3Y89cKCiVtCU/edit?usp=sharing"",""สตูล!I292"")+IMPORTRANGE(""https://docs.google.com/sprea"&amp;"dsheets/d/18T20gbkS_WBjdscyTOV05cvq_JqvqQ17C81mpxf7Ncs/edit?usp=sharing"",""สุราษฎร์ธานี!I292"")"),100)</f>
        <v>100</v>
      </c>
      <c r="J292" s="152">
        <f ca="1">IFERROR(__xludf.DUMMYFUNCTION("IMPORTRANGE(""https://docs.google.com/spreadsheets/d/1kKUcYdkIfrgTSj8iHHHB2MD2FAtwyyocFgqGQn6ADyI/edit?usp=sharing"",""กระบี่!J292"")+IMPORTRANGE(""https://docs.google.com/spreadsheets/d/1GwtLaSlNZkLk7iDqcyZz22giiy40b_usZZBXYciEN1U/edit?usp=sharing"",""ชุ"&amp;"มพร!J292"")+IMPORTRANGE(""https://docs.google.com/spreadsheets/d/16pAz3pOhQEZBhvFNMa5KGgZS6iKWpsKX0pg6tQmwFpo/edit?usp=sharing"",""ตรัง!J292"")+IMPORTRANGE(""https://docs.google.com/spreadsheets/d/1Dj4jcHCTV9JXKCaMoheSXS52JE63kDKyG7bPXnFogHk/edit?usp=shar"&amp;"ing"",""นครศรีธรรมราช!J292"")+IMPORTRANGE(""https://docs.google.com/spreadsheets/d/1iodCdmuK2GR3jzUwk8tpccY2JHQQA-87DLOtJP-ooyU/edit?usp=sharing"",""นราธิวาส!J292"")+IMPORTRANGE(""https://docs.google.com/spreadsheets/d/1SDNX3JhDdYRuIOsj0Wh2M-Qa_eaXl0NbWmh"&amp;"AOTbfQAs/edit?usp=sharing"",""ปัตตานี!J292"")+IMPORTRANGE(""https://docs.google.com/spreadsheets/d/16JDLGguT8s5DsGCND1KcwHP_AWR_zDMTqLHPLJUKhaU/edit?usp=sharing"",""พังงา!J292"")+IMPORTRANGE(""https://docs.google.com/spreadsheets/d/17ht0gPKzzT3PObBL1XJkeR"&amp;"mntBXI7wGjpLV7QorqlTk/edit?usp=sharing"",""พัทลุง!J292"")+IMPORTRANGE(""https://docs.google.com/spreadsheets/d/1rd4qoM1q_hsgaolqNGfrim9gbsoLxQsda4-vOz5x_BM/edit?usp=sharing"",""ภูเก็ต!J292"")+IMPORTRANGE(""https://docs.google.com/spreadsheets/d/1woKwKjgoL"&amp;"ssDvPcPeVyezB5izizAn4X1JDrys69n6xI/edit?usp=sharing"",""ยะลา!J292"")+IMPORTRANGE(""https://docs.google.com/spreadsheets/d/1qfrKjzMhm2HJfxQ-qVlJlJQ25Hne1d0khsySbZyGtPA/edit?usp=sharing"",""ระนอง!J292"")+IMPORTRANGE(""https://docs.google.com/spreadsheets/d/"&amp;"1IbSCnFOKpZsnFogBHJnL_isstZVaOMnFiIN0fGTPZZw/edit?usp=sharing"",""สงขลา!J292"")+IMPORTRANGE(""https://docs.google.com/spreadsheets/d/1q9nWasZJ-K8bFGvbE9n0qSRuKGA4Toe3Y89cKCiVtCU/edit?usp=sharing"",""สตูล!J292"")+IMPORTRANGE(""https://docs.google.com/sprea"&amp;"dsheets/d/18T20gbkS_WBjdscyTOV05cvq_JqvqQ17C81mpxf7Ncs/edit?usp=sharing"",""สุราษฎร์ธานี!J292"")"),100)</f>
        <v>100</v>
      </c>
      <c r="K292" s="153">
        <f t="shared" ref="K292:K293" ca="1" si="219">IF(I292&gt;0,J292*100/I292,0)</f>
        <v>100</v>
      </c>
      <c r="L292" s="136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kKUcYdkIfrgTSj8iHHHB2MD2FAtwyyocFgqGQn6ADyI/edit?usp=sharing"",""กระบี่!I293"")+IMPORTRANGE(""https://docs.google.com/spreadsheets/d/1GwtLaSlNZkLk7iDqcyZz22giiy40b_usZZBXYciEN1U/edit?usp=sharing"",""ชุ"&amp;"มพร!I293"")+IMPORTRANGE(""https://docs.google.com/spreadsheets/d/16pAz3pOhQEZBhvFNMa5KGgZS6iKWpsKX0pg6tQmwFpo/edit?usp=sharing"",""ตรัง!I293"")+IMPORTRANGE(""https://docs.google.com/spreadsheets/d/1Dj4jcHCTV9JXKCaMoheSXS52JE63kDKyG7bPXnFogHk/edit?usp=shar"&amp;"ing"",""นครศรีธรรมราช!I293"")+IMPORTRANGE(""https://docs.google.com/spreadsheets/d/1iodCdmuK2GR3jzUwk8tpccY2JHQQA-87DLOtJP-ooyU/edit?usp=sharing"",""นราธิวาส!I293"")+IMPORTRANGE(""https://docs.google.com/spreadsheets/d/1SDNX3JhDdYRuIOsj0Wh2M-Qa_eaXl0NbWmh"&amp;"AOTbfQAs/edit?usp=sharing"",""ปัตตานี!I293"")+IMPORTRANGE(""https://docs.google.com/spreadsheets/d/16JDLGguT8s5DsGCND1KcwHP_AWR_zDMTqLHPLJUKhaU/edit?usp=sharing"",""พังงา!I293"")+IMPORTRANGE(""https://docs.google.com/spreadsheets/d/17ht0gPKzzT3PObBL1XJkeR"&amp;"mntBXI7wGjpLV7QorqlTk/edit?usp=sharing"",""พัทลุง!I293"")+IMPORTRANGE(""https://docs.google.com/spreadsheets/d/1rd4qoM1q_hsgaolqNGfrim9gbsoLxQsda4-vOz5x_BM/edit?usp=sharing"",""ภูเก็ต!I293"")+IMPORTRANGE(""https://docs.google.com/spreadsheets/d/1woKwKjgoL"&amp;"ssDvPcPeVyezB5izizAn4X1JDrys69n6xI/edit?usp=sharing"",""ยะลา!I293"")+IMPORTRANGE(""https://docs.google.com/spreadsheets/d/1qfrKjzMhm2HJfxQ-qVlJlJQ25Hne1d0khsySbZyGtPA/edit?usp=sharing"",""ระนอง!I293"")+IMPORTRANGE(""https://docs.google.com/spreadsheets/d/"&amp;"1IbSCnFOKpZsnFogBHJnL_isstZVaOMnFiIN0fGTPZZw/edit?usp=sharing"",""สงขลา!I293"")+IMPORTRANGE(""https://docs.google.com/spreadsheets/d/1q9nWasZJ-K8bFGvbE9n0qSRuKGA4Toe3Y89cKCiVtCU/edit?usp=sharing"",""สตูล!I293"")+IMPORTRANGE(""https://docs.google.com/sprea"&amp;"dsheets/d/18T20gbkS_WBjdscyTOV05cvq_JqvqQ17C81mpxf7Ncs/edit?usp=sharing"",""สุราษฎร์ธานี!I293"")"),10)</f>
        <v>10</v>
      </c>
      <c r="J293" s="147">
        <f ca="1">IFERROR(__xludf.DUMMYFUNCTION("IMPORTRANGE(""https://docs.google.com/spreadsheets/d/1kKUcYdkIfrgTSj8iHHHB2MD2FAtwyyocFgqGQn6ADyI/edit?usp=sharing"",""กระบี่!J293"")+IMPORTRANGE(""https://docs.google.com/spreadsheets/d/1GwtLaSlNZkLk7iDqcyZz22giiy40b_usZZBXYciEN1U/edit?usp=sharing"",""ชุ"&amp;"มพร!J293"")+IMPORTRANGE(""https://docs.google.com/spreadsheets/d/16pAz3pOhQEZBhvFNMa5KGgZS6iKWpsKX0pg6tQmwFpo/edit?usp=sharing"",""ตรัง!J293"")+IMPORTRANGE(""https://docs.google.com/spreadsheets/d/1Dj4jcHCTV9JXKCaMoheSXS52JE63kDKyG7bPXnFogHk/edit?usp=shar"&amp;"ing"",""นครศรีธรรมราช!J293"")+IMPORTRANGE(""https://docs.google.com/spreadsheets/d/1iodCdmuK2GR3jzUwk8tpccY2JHQQA-87DLOtJP-ooyU/edit?usp=sharing"",""นราธิวาส!J293"")+IMPORTRANGE(""https://docs.google.com/spreadsheets/d/1SDNX3JhDdYRuIOsj0Wh2M-Qa_eaXl0NbWmh"&amp;"AOTbfQAs/edit?usp=sharing"",""ปัตตานี!J293"")+IMPORTRANGE(""https://docs.google.com/spreadsheets/d/16JDLGguT8s5DsGCND1KcwHP_AWR_zDMTqLHPLJUKhaU/edit?usp=sharing"",""พังงา!J293"")+IMPORTRANGE(""https://docs.google.com/spreadsheets/d/17ht0gPKzzT3PObBL1XJkeR"&amp;"mntBXI7wGjpLV7QorqlTk/edit?usp=sharing"",""พัทลุง!J293"")+IMPORTRANGE(""https://docs.google.com/spreadsheets/d/1rd4qoM1q_hsgaolqNGfrim9gbsoLxQsda4-vOz5x_BM/edit?usp=sharing"",""ภูเก็ต!J293"")+IMPORTRANGE(""https://docs.google.com/spreadsheets/d/1woKwKjgoL"&amp;"ssDvPcPeVyezB5izizAn4X1JDrys69n6xI/edit?usp=sharing"",""ยะลา!J293"")+IMPORTRANGE(""https://docs.google.com/spreadsheets/d/1qfrKjzMhm2HJfxQ-qVlJlJQ25Hne1d0khsySbZyGtPA/edit?usp=sharing"",""ระนอง!J293"")+IMPORTRANGE(""https://docs.google.com/spreadsheets/d/"&amp;"1IbSCnFOKpZsnFogBHJnL_isstZVaOMnFiIN0fGTPZZw/edit?usp=sharing"",""สงขลา!J293"")+IMPORTRANGE(""https://docs.google.com/spreadsheets/d/1q9nWasZJ-K8bFGvbE9n0qSRuKGA4Toe3Y89cKCiVtCU/edit?usp=sharing"",""สตูล!J293"")+IMPORTRANGE(""https://docs.google.com/sprea"&amp;"dsheets/d/18T20gbkS_WBjdscyTOV05cvq_JqvqQ17C81mpxf7Ncs/edit?usp=sharing"",""สุราษฎร์ธานี!J293"")"),10)</f>
        <v>10</v>
      </c>
      <c r="K293" s="148">
        <f t="shared" ca="1" si="219"/>
        <v>100</v>
      </c>
      <c r="L293" s="136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136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kKUcYdkIfrgTSj8iHHHB2MD2FAtwyyocFgqGQn6ADyI/edit?usp=sharing"",""กระบี่!I295"")+IMPORTRANGE(""https://docs.google.com/spreadsheets/d/1GwtLaSlNZkLk7iDqcyZz22giiy40b_usZZBXYciEN1U/edit?usp=sharing"",""ชุ"&amp;"มพร!I295"")+IMPORTRANGE(""https://docs.google.com/spreadsheets/d/16pAz3pOhQEZBhvFNMa5KGgZS6iKWpsKX0pg6tQmwFpo/edit?usp=sharing"",""ตรัง!I295"")+IMPORTRANGE(""https://docs.google.com/spreadsheets/d/1Dj4jcHCTV9JXKCaMoheSXS52JE63kDKyG7bPXnFogHk/edit?usp=shar"&amp;"ing"",""นครศรีธรรมราช!I295"")+IMPORTRANGE(""https://docs.google.com/spreadsheets/d/1iodCdmuK2GR3jzUwk8tpccY2JHQQA-87DLOtJP-ooyU/edit?usp=sharing"",""นราธิวาส!I295"")+IMPORTRANGE(""https://docs.google.com/spreadsheets/d/1SDNX3JhDdYRuIOsj0Wh2M-Qa_eaXl0NbWmh"&amp;"AOTbfQAs/edit?usp=sharing"",""ปัตตานี!I295"")+IMPORTRANGE(""https://docs.google.com/spreadsheets/d/16JDLGguT8s5DsGCND1KcwHP_AWR_zDMTqLHPLJUKhaU/edit?usp=sharing"",""พังงา!I295"")+IMPORTRANGE(""https://docs.google.com/spreadsheets/d/17ht0gPKzzT3PObBL1XJkeR"&amp;"mntBXI7wGjpLV7QorqlTk/edit?usp=sharing"",""พัทลุง!I295"")+IMPORTRANGE(""https://docs.google.com/spreadsheets/d/1rd4qoM1q_hsgaolqNGfrim9gbsoLxQsda4-vOz5x_BM/edit?usp=sharing"",""ภูเก็ต!I295"")+IMPORTRANGE(""https://docs.google.com/spreadsheets/d/1woKwKjgoL"&amp;"ssDvPcPeVyezB5izizAn4X1JDrys69n6xI/edit?usp=sharing"",""ยะลา!I295"")+IMPORTRANGE(""https://docs.google.com/spreadsheets/d/1qfrKjzMhm2HJfxQ-qVlJlJQ25Hne1d0khsySbZyGtPA/edit?usp=sharing"",""ระนอง!I295"")+IMPORTRANGE(""https://docs.google.com/spreadsheets/d/"&amp;"1IbSCnFOKpZsnFogBHJnL_isstZVaOMnFiIN0fGTPZZw/edit?usp=sharing"",""สงขลา!I295"")+IMPORTRANGE(""https://docs.google.com/spreadsheets/d/1q9nWasZJ-K8bFGvbE9n0qSRuKGA4Toe3Y89cKCiVtCU/edit?usp=sharing"",""สตูล!I295"")+IMPORTRANGE(""https://docs.google.com/sprea"&amp;"dsheets/d/18T20gbkS_WBjdscyTOV05cvq_JqvqQ17C81mpxf7Ncs/edit?usp=sharing"",""สุราษฎร์ธานี!I295"")"),10)</f>
        <v>10</v>
      </c>
      <c r="J295" s="152">
        <f ca="1">IFERROR(__xludf.DUMMYFUNCTION("IMPORTRANGE(""https://docs.google.com/spreadsheets/d/1kKUcYdkIfrgTSj8iHHHB2MD2FAtwyyocFgqGQn6ADyI/edit?usp=sharing"",""กระบี่!J295"")+IMPORTRANGE(""https://docs.google.com/spreadsheets/d/1GwtLaSlNZkLk7iDqcyZz22giiy40b_usZZBXYciEN1U/edit?usp=sharing"",""ชุ"&amp;"มพร!J295"")+IMPORTRANGE(""https://docs.google.com/spreadsheets/d/16pAz3pOhQEZBhvFNMa5KGgZS6iKWpsKX0pg6tQmwFpo/edit?usp=sharing"",""ตรัง!J295"")+IMPORTRANGE(""https://docs.google.com/spreadsheets/d/1Dj4jcHCTV9JXKCaMoheSXS52JE63kDKyG7bPXnFogHk/edit?usp=shar"&amp;"ing"",""นครศรีธรรมราช!J295"")+IMPORTRANGE(""https://docs.google.com/spreadsheets/d/1iodCdmuK2GR3jzUwk8tpccY2JHQQA-87DLOtJP-ooyU/edit?usp=sharing"",""นราธิวาส!J295"")+IMPORTRANGE(""https://docs.google.com/spreadsheets/d/1SDNX3JhDdYRuIOsj0Wh2M-Qa_eaXl0NbWmh"&amp;"AOTbfQAs/edit?usp=sharing"",""ปัตตานี!J295"")+IMPORTRANGE(""https://docs.google.com/spreadsheets/d/16JDLGguT8s5DsGCND1KcwHP_AWR_zDMTqLHPLJUKhaU/edit?usp=sharing"",""พังงา!J295"")+IMPORTRANGE(""https://docs.google.com/spreadsheets/d/17ht0gPKzzT3PObBL1XJkeR"&amp;"mntBXI7wGjpLV7QorqlTk/edit?usp=sharing"",""พัทลุง!J295"")+IMPORTRANGE(""https://docs.google.com/spreadsheets/d/1rd4qoM1q_hsgaolqNGfrim9gbsoLxQsda4-vOz5x_BM/edit?usp=sharing"",""ภูเก็ต!J295"")+IMPORTRANGE(""https://docs.google.com/spreadsheets/d/1woKwKjgoL"&amp;"ssDvPcPeVyezB5izizAn4X1JDrys69n6xI/edit?usp=sharing"",""ยะลา!J295"")+IMPORTRANGE(""https://docs.google.com/spreadsheets/d/1qfrKjzMhm2HJfxQ-qVlJlJQ25Hne1d0khsySbZyGtPA/edit?usp=sharing"",""ระนอง!J295"")+IMPORTRANGE(""https://docs.google.com/spreadsheets/d/"&amp;"1IbSCnFOKpZsnFogBHJnL_isstZVaOMnFiIN0fGTPZZw/edit?usp=sharing"",""สงขลา!J295"")+IMPORTRANGE(""https://docs.google.com/spreadsheets/d/1q9nWasZJ-K8bFGvbE9n0qSRuKGA4Toe3Y89cKCiVtCU/edit?usp=sharing"",""สตูล!J295"")+IMPORTRANGE(""https://docs.google.com/sprea"&amp;"dsheets/d/18T20gbkS_WBjdscyTOV05cvq_JqvqQ17C81mpxf7Ncs/edit?usp=sharing"",""สุราษฎร์ธานี!J295"")"),10)</f>
        <v>10</v>
      </c>
      <c r="K295" s="153">
        <f t="shared" ref="K295:K296" ca="1" si="220">IF(I295&gt;0,J295*100/I295,0)</f>
        <v>100</v>
      </c>
      <c r="L295" s="136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kKUcYdkIfrgTSj8iHHHB2MD2FAtwyyocFgqGQn6ADyI/edit?usp=sharing"",""กระบี่!I296"")+IMPORTRANGE(""https://docs.google.com/spreadsheets/d/1GwtLaSlNZkLk7iDqcyZz22giiy40b_usZZBXYciEN1U/edit?usp=sharing"",""ชุ"&amp;"มพร!I296"")+IMPORTRANGE(""https://docs.google.com/spreadsheets/d/16pAz3pOhQEZBhvFNMa5KGgZS6iKWpsKX0pg6tQmwFpo/edit?usp=sharing"",""ตรัง!I296"")+IMPORTRANGE(""https://docs.google.com/spreadsheets/d/1Dj4jcHCTV9JXKCaMoheSXS52JE63kDKyG7bPXnFogHk/edit?usp=shar"&amp;"ing"",""นครศรีธรรมราช!I296"")+IMPORTRANGE(""https://docs.google.com/spreadsheets/d/1iodCdmuK2GR3jzUwk8tpccY2JHQQA-87DLOtJP-ooyU/edit?usp=sharing"",""นราธิวาส!I296"")+IMPORTRANGE(""https://docs.google.com/spreadsheets/d/1SDNX3JhDdYRuIOsj0Wh2M-Qa_eaXl0NbWmh"&amp;"AOTbfQAs/edit?usp=sharing"",""ปัตตานี!I296"")+IMPORTRANGE(""https://docs.google.com/spreadsheets/d/16JDLGguT8s5DsGCND1KcwHP_AWR_zDMTqLHPLJUKhaU/edit?usp=sharing"",""พังงา!I296"")+IMPORTRANGE(""https://docs.google.com/spreadsheets/d/17ht0gPKzzT3PObBL1XJkeR"&amp;"mntBXI7wGjpLV7QorqlTk/edit?usp=sharing"",""พัทลุง!I296"")+IMPORTRANGE(""https://docs.google.com/spreadsheets/d/1rd4qoM1q_hsgaolqNGfrim9gbsoLxQsda4-vOz5x_BM/edit?usp=sharing"",""ภูเก็ต!I296"")+IMPORTRANGE(""https://docs.google.com/spreadsheets/d/1woKwKjgoL"&amp;"ssDvPcPeVyezB5izizAn4X1JDrys69n6xI/edit?usp=sharing"",""ยะลา!I296"")+IMPORTRANGE(""https://docs.google.com/spreadsheets/d/1qfrKjzMhm2HJfxQ-qVlJlJQ25Hne1d0khsySbZyGtPA/edit?usp=sharing"",""ระนอง!I296"")+IMPORTRANGE(""https://docs.google.com/spreadsheets/d/"&amp;"1IbSCnFOKpZsnFogBHJnL_isstZVaOMnFiIN0fGTPZZw/edit?usp=sharing"",""สงขลา!I296"")+IMPORTRANGE(""https://docs.google.com/spreadsheets/d/1q9nWasZJ-K8bFGvbE9n0qSRuKGA4Toe3Y89cKCiVtCU/edit?usp=sharing"",""สตูล!I296"")+IMPORTRANGE(""https://docs.google.com/sprea"&amp;"dsheets/d/18T20gbkS_WBjdscyTOV05cvq_JqvqQ17C81mpxf7Ncs/edit?usp=sharing"",""สุราษฎร์ธานี!I296"")"),10)</f>
        <v>10</v>
      </c>
      <c r="J296" s="152">
        <f ca="1">IFERROR(__xludf.DUMMYFUNCTION("IMPORTRANGE(""https://docs.google.com/spreadsheets/d/1kKUcYdkIfrgTSj8iHHHB2MD2FAtwyyocFgqGQn6ADyI/edit?usp=sharing"",""กระบี่!J296"")+IMPORTRANGE(""https://docs.google.com/spreadsheets/d/1GwtLaSlNZkLk7iDqcyZz22giiy40b_usZZBXYciEN1U/edit?usp=sharing"",""ชุ"&amp;"มพร!J296"")+IMPORTRANGE(""https://docs.google.com/spreadsheets/d/16pAz3pOhQEZBhvFNMa5KGgZS6iKWpsKX0pg6tQmwFpo/edit?usp=sharing"",""ตรัง!J296"")+IMPORTRANGE(""https://docs.google.com/spreadsheets/d/1Dj4jcHCTV9JXKCaMoheSXS52JE63kDKyG7bPXnFogHk/edit?usp=shar"&amp;"ing"",""นครศรีธรรมราช!J296"")+IMPORTRANGE(""https://docs.google.com/spreadsheets/d/1iodCdmuK2GR3jzUwk8tpccY2JHQQA-87DLOtJP-ooyU/edit?usp=sharing"",""นราธิวาส!J296"")+IMPORTRANGE(""https://docs.google.com/spreadsheets/d/1SDNX3JhDdYRuIOsj0Wh2M-Qa_eaXl0NbWmh"&amp;"AOTbfQAs/edit?usp=sharing"",""ปัตตานี!J296"")+IMPORTRANGE(""https://docs.google.com/spreadsheets/d/16JDLGguT8s5DsGCND1KcwHP_AWR_zDMTqLHPLJUKhaU/edit?usp=sharing"",""พังงา!J296"")+IMPORTRANGE(""https://docs.google.com/spreadsheets/d/17ht0gPKzzT3PObBL1XJkeR"&amp;"mntBXI7wGjpLV7QorqlTk/edit?usp=sharing"",""พัทลุง!J296"")+IMPORTRANGE(""https://docs.google.com/spreadsheets/d/1rd4qoM1q_hsgaolqNGfrim9gbsoLxQsda4-vOz5x_BM/edit?usp=sharing"",""ภูเก็ต!J296"")+IMPORTRANGE(""https://docs.google.com/spreadsheets/d/1woKwKjgoL"&amp;"ssDvPcPeVyezB5izizAn4X1JDrys69n6xI/edit?usp=sharing"",""ยะลา!J296"")+IMPORTRANGE(""https://docs.google.com/spreadsheets/d/1qfrKjzMhm2HJfxQ-qVlJlJQ25Hne1d0khsySbZyGtPA/edit?usp=sharing"",""ระนอง!J296"")+IMPORTRANGE(""https://docs.google.com/spreadsheets/d/"&amp;"1IbSCnFOKpZsnFogBHJnL_isstZVaOMnFiIN0fGTPZZw/edit?usp=sharing"",""สงขลา!J296"")+IMPORTRANGE(""https://docs.google.com/spreadsheets/d/1q9nWasZJ-K8bFGvbE9n0qSRuKGA4Toe3Y89cKCiVtCU/edit?usp=sharing"",""สตูล!J296"")+IMPORTRANGE(""https://docs.google.com/sprea"&amp;"dsheets/d/18T20gbkS_WBjdscyTOV05cvq_JqvqQ17C81mpxf7Ncs/edit?usp=sharing"",""สุราษฎร์ธานี!J296"")"),10)</f>
        <v>10</v>
      </c>
      <c r="K296" s="153">
        <f t="shared" ca="1" si="220"/>
        <v>100</v>
      </c>
      <c r="L296" s="136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304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t="shared" ref="I302:J302" ca="1" si="221">I314</f>
        <v>235</v>
      </c>
      <c r="J302" s="310">
        <f t="shared" ca="1" si="221"/>
        <v>50</v>
      </c>
      <c r="K302" s="311">
        <f ca="1">IF(I302&gt;0,J302*100/I302,0)</f>
        <v>21.276595744680851</v>
      </c>
      <c r="L302" s="312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129" t="s">
        <v>18</v>
      </c>
      <c r="D303" s="130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132">
        <f t="shared" ref="L303:N303" ca="1" si="222">L304+L305</f>
        <v>426975</v>
      </c>
      <c r="M303" s="132">
        <f t="shared" ca="1" si="222"/>
        <v>426975</v>
      </c>
      <c r="N303" s="132">
        <f t="shared" ca="1" si="222"/>
        <v>277347.62</v>
      </c>
      <c r="O303" s="132">
        <f t="shared" ref="O303:O311" ca="1" si="223">IF(L303&gt;0,N303*100/L303,0)</f>
        <v>64.956407283798811</v>
      </c>
      <c r="P303" s="132">
        <f t="shared" ref="P303:P311" ca="1" si="224">IF(M303&gt;0,N303*100/M303,0)</f>
        <v>64.956407283798811</v>
      </c>
      <c r="Q303" s="132">
        <f t="shared" ref="Q303:S303" ca="1" si="225">Q304+Q305</f>
        <v>2086950.07</v>
      </c>
      <c r="R303" s="132">
        <f t="shared" ca="1" si="225"/>
        <v>2086948</v>
      </c>
      <c r="S303" s="132">
        <f t="shared" ca="1" si="225"/>
        <v>334891</v>
      </c>
      <c r="T303" s="132">
        <f t="shared" ref="T303:T311" ca="1" si="226">IF(Q303&gt;0,S303*100/Q303,0)</f>
        <v>16.046910025020388</v>
      </c>
      <c r="U303" s="132">
        <f t="shared" ref="U303:U311" ca="1" si="227">IF(R303&gt;0,S303*100/R303,0)</f>
        <v>16.046925941614262</v>
      </c>
    </row>
    <row r="304" spans="1:21" ht="18.75" hidden="1" x14ac:dyDescent="0.25">
      <c r="A304" s="128"/>
      <c r="B304" s="41"/>
      <c r="C304" s="41"/>
      <c r="D304" s="41"/>
      <c r="E304" s="48" t="s">
        <v>20</v>
      </c>
      <c r="F304" s="41"/>
      <c r="G304" s="43"/>
      <c r="H304" s="133" t="s">
        <v>14</v>
      </c>
      <c r="I304" s="45"/>
      <c r="J304" s="45"/>
      <c r="K304" s="46"/>
      <c r="L304" s="47">
        <f t="shared" ref="L304:N304" ca="1" si="228">L307+L310</f>
        <v>0</v>
      </c>
      <c r="M304" s="47">
        <f t="shared" ca="1" si="228"/>
        <v>0</v>
      </c>
      <c r="N304" s="47">
        <f t="shared" ca="1" si="228"/>
        <v>0</v>
      </c>
      <c r="O304" s="47">
        <f t="shared" ca="1" si="223"/>
        <v>0</v>
      </c>
      <c r="P304" s="47">
        <f t="shared" ca="1" si="224"/>
        <v>0</v>
      </c>
      <c r="Q304" s="47">
        <f t="shared" ref="Q304:S304" ca="1" si="229">Q307+Q310</f>
        <v>0</v>
      </c>
      <c r="R304" s="47">
        <f t="shared" ca="1" si="229"/>
        <v>0</v>
      </c>
      <c r="S304" s="47">
        <f t="shared" ca="1" si="229"/>
        <v>0</v>
      </c>
      <c r="T304" s="49">
        <f t="shared" ca="1" si="226"/>
        <v>0</v>
      </c>
      <c r="U304" s="49">
        <f t="shared" ca="1" si="227"/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47">
        <f t="shared" ref="L305:N305" ca="1" si="230">L308+L311</f>
        <v>426975</v>
      </c>
      <c r="M305" s="47">
        <f t="shared" ca="1" si="230"/>
        <v>426975</v>
      </c>
      <c r="N305" s="47">
        <f t="shared" ca="1" si="230"/>
        <v>277347.62</v>
      </c>
      <c r="O305" s="47">
        <f t="shared" ca="1" si="223"/>
        <v>64.956407283798811</v>
      </c>
      <c r="P305" s="47">
        <f t="shared" ca="1" si="224"/>
        <v>64.956407283798811</v>
      </c>
      <c r="Q305" s="47">
        <f t="shared" ref="Q305:S305" ca="1" si="231">Q308+Q311</f>
        <v>2086950.07</v>
      </c>
      <c r="R305" s="47">
        <f t="shared" ca="1" si="231"/>
        <v>2086948</v>
      </c>
      <c r="S305" s="47">
        <f t="shared" ca="1" si="231"/>
        <v>334891</v>
      </c>
      <c r="T305" s="47">
        <f t="shared" ca="1" si="226"/>
        <v>16.046910025020388</v>
      </c>
      <c r="U305" s="47">
        <f t="shared" ca="1" si="227"/>
        <v>16.046925941614262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47">
        <f t="shared" ref="L306:N306" ca="1" si="232">L307+L308</f>
        <v>426975</v>
      </c>
      <c r="M306" s="47">
        <f t="shared" ca="1" si="232"/>
        <v>426975</v>
      </c>
      <c r="N306" s="47">
        <f t="shared" ca="1" si="232"/>
        <v>277347.62</v>
      </c>
      <c r="O306" s="47">
        <f t="shared" ca="1" si="223"/>
        <v>64.956407283798811</v>
      </c>
      <c r="P306" s="47">
        <f t="shared" ca="1" si="224"/>
        <v>64.956407283798811</v>
      </c>
      <c r="Q306" s="47">
        <f t="shared" ref="Q306:S306" ca="1" si="233">Q307+Q308</f>
        <v>2086950.07</v>
      </c>
      <c r="R306" s="47">
        <f t="shared" ca="1" si="233"/>
        <v>2086948</v>
      </c>
      <c r="S306" s="47">
        <f t="shared" ca="1" si="233"/>
        <v>334891</v>
      </c>
      <c r="T306" s="47">
        <f t="shared" ca="1" si="226"/>
        <v>16.046910025020388</v>
      </c>
      <c r="U306" s="47">
        <f t="shared" ca="1" si="227"/>
        <v>16.046925941614262</v>
      </c>
    </row>
    <row r="307" spans="1:21" ht="18.75" hidden="1" x14ac:dyDescent="0.25">
      <c r="A307" s="128"/>
      <c r="B307" s="41"/>
      <c r="C307" s="41"/>
      <c r="D307" s="41"/>
      <c r="E307" s="48" t="s">
        <v>36</v>
      </c>
      <c r="F307" s="41"/>
      <c r="G307" s="43"/>
      <c r="H307" s="134" t="s">
        <v>14</v>
      </c>
      <c r="I307" s="135"/>
      <c r="J307" s="135"/>
      <c r="K307" s="136"/>
      <c r="L307" s="47">
        <f ca="1">IFERROR(__xludf.DUMMYFUNCTION("IMPORTRANGE(""https://docs.google.com/spreadsheets/d/1kKUcYdkIfrgTSj8iHHHB2MD2FAtwyyocFgqGQn6ADyI/edit?usp=sharing"",""กระบี่!L307"")+IMPORTRANGE(""https://docs.google.com/spreadsheets/d/1GwtLaSlNZkLk7iDqcyZz22giiy40b_usZZBXYciEN1U/edit?usp=sharing"",""ชุ"&amp;"มพร!L307"")+IMPORTRANGE(""https://docs.google.com/spreadsheets/d/16pAz3pOhQEZBhvFNMa5KGgZS6iKWpsKX0pg6tQmwFpo/edit?usp=sharing"",""ตรัง!L307"")+IMPORTRANGE(""https://docs.google.com/spreadsheets/d/1Dj4jcHCTV9JXKCaMoheSXS52JE63kDKyG7bPXnFogHk/edit?usp=shar"&amp;"ing"",""นครศรีธรรมราช!L307"")+IMPORTRANGE(""https://docs.google.com/spreadsheets/d/1iodCdmuK2GR3jzUwk8tpccY2JHQQA-87DLOtJP-ooyU/edit?usp=sharing"",""นราธิวาส!L307"")+IMPORTRANGE(""https://docs.google.com/spreadsheets/d/1SDNX3JhDdYRuIOsj0Wh2M-Qa_eaXl0NbWmh"&amp;"AOTbfQAs/edit?usp=sharing"",""ปัตตานี!L307"")+IMPORTRANGE(""https://docs.google.com/spreadsheets/d/16JDLGguT8s5DsGCND1KcwHP_AWR_zDMTqLHPLJUKhaU/edit?usp=sharing"",""พังงา!L307"")+IMPORTRANGE(""https://docs.google.com/spreadsheets/d/17ht0gPKzzT3PObBL1XJkeR"&amp;"mntBXI7wGjpLV7QorqlTk/edit?usp=sharing"",""พัทลุง!L307"")+IMPORTRANGE(""https://docs.google.com/spreadsheets/d/1rd4qoM1q_hsgaolqNGfrim9gbsoLxQsda4-vOz5x_BM/edit?usp=sharing"",""ภูเก็ต!L307"")+IMPORTRANGE(""https://docs.google.com/spreadsheets/d/1woKwKjgoL"&amp;"ssDvPcPeVyezB5izizAn4X1JDrys69n6xI/edit?usp=sharing"",""ยะลา!L307"")+IMPORTRANGE(""https://docs.google.com/spreadsheets/d/1qfrKjzMhm2HJfxQ-qVlJlJQ25Hne1d0khsySbZyGtPA/edit?usp=sharing"",""ระนอง!L307"")+IMPORTRANGE(""https://docs.google.com/spreadsheets/d/"&amp;"1IbSCnFOKpZsnFogBHJnL_isstZVaOMnFiIN0fGTPZZw/edit?usp=sharing"",""สงขลา!L307"")+IMPORTRANGE(""https://docs.google.com/spreadsheets/d/1q9nWasZJ-K8bFGvbE9n0qSRuKGA4Toe3Y89cKCiVtCU/edit?usp=sharing"",""สตูล!L307"")+IMPORTRANGE(""https://docs.google.com/sprea"&amp;"dsheets/d/18T20gbkS_WBjdscyTOV05cvq_JqvqQ17C81mpxf7Ncs/edit?usp=sharing"",""สุราษฎร์ธานี!L307"")"),0)</f>
        <v>0</v>
      </c>
      <c r="M307" s="47">
        <f ca="1">IFERROR(__xludf.DUMMYFUNCTION("IMPORTRANGE(""https://docs.google.com/spreadsheets/d/1kKUcYdkIfrgTSj8iHHHB2MD2FAtwyyocFgqGQn6ADyI/edit?usp=sharing"",""กระบี่!M307"")+IMPORTRANGE(""https://docs.google.com/spreadsheets/d/1GwtLaSlNZkLk7iDqcyZz22giiy40b_usZZBXYciEN1U/edit?usp=sharing"",""ชุ"&amp;"มพร!M307"")+IMPORTRANGE(""https://docs.google.com/spreadsheets/d/16pAz3pOhQEZBhvFNMa5KGgZS6iKWpsKX0pg6tQmwFpo/edit?usp=sharing"",""ตรัง!M307"")+IMPORTRANGE(""https://docs.google.com/spreadsheets/d/1Dj4jcHCTV9JXKCaMoheSXS52JE63kDKyG7bPXnFogHk/edit?usp=shar"&amp;"ing"",""นครศรีธรรมราช!M307"")+IMPORTRANGE(""https://docs.google.com/spreadsheets/d/1iodCdmuK2GR3jzUwk8tpccY2JHQQA-87DLOtJP-ooyU/edit?usp=sharing"",""นราธิวาส!M307"")+IMPORTRANGE(""https://docs.google.com/spreadsheets/d/1SDNX3JhDdYRuIOsj0Wh2M-Qa_eaXl0NbWmh"&amp;"AOTbfQAs/edit?usp=sharing"",""ปัตตานี!M307"")+IMPORTRANGE(""https://docs.google.com/spreadsheets/d/16JDLGguT8s5DsGCND1KcwHP_AWR_zDMTqLHPLJUKhaU/edit?usp=sharing"",""พังงา!M307"")+IMPORTRANGE(""https://docs.google.com/spreadsheets/d/17ht0gPKzzT3PObBL1XJkeR"&amp;"mntBXI7wGjpLV7QorqlTk/edit?usp=sharing"",""พัทลุง!M307"")+IMPORTRANGE(""https://docs.google.com/spreadsheets/d/1rd4qoM1q_hsgaolqNGfrim9gbsoLxQsda4-vOz5x_BM/edit?usp=sharing"",""ภูเก็ต!M307"")+IMPORTRANGE(""https://docs.google.com/spreadsheets/d/1woKwKjgoL"&amp;"ssDvPcPeVyezB5izizAn4X1JDrys69n6xI/edit?usp=sharing"",""ยะลา!M307"")+IMPORTRANGE(""https://docs.google.com/spreadsheets/d/1qfrKjzMhm2HJfxQ-qVlJlJQ25Hne1d0khsySbZyGtPA/edit?usp=sharing"",""ระนอง!M307"")+IMPORTRANGE(""https://docs.google.com/spreadsheets/d/"&amp;"1IbSCnFOKpZsnFogBHJnL_isstZVaOMnFiIN0fGTPZZw/edit?usp=sharing"",""สงขลา!M307"")+IMPORTRANGE(""https://docs.google.com/spreadsheets/d/1q9nWasZJ-K8bFGvbE9n0qSRuKGA4Toe3Y89cKCiVtCU/edit?usp=sharing"",""สตูล!M307"")+IMPORTRANGE(""https://docs.google.com/sprea"&amp;"dsheets/d/18T20gbkS_WBjdscyTOV05cvq_JqvqQ17C81mpxf7Ncs/edit?usp=sharing"",""สุราษฎร์ธานี!M307"")"),0)</f>
        <v>0</v>
      </c>
      <c r="N307" s="47">
        <f ca="1">IFERROR(__xludf.DUMMYFUNCTION("IMPORTRANGE(""https://docs.google.com/spreadsheets/d/1kKUcYdkIfrgTSj8iHHHB2MD2FAtwyyocFgqGQn6ADyI/edit?usp=sharing"",""กระบี่!N307"")+IMPORTRANGE(""https://docs.google.com/spreadsheets/d/1GwtLaSlNZkLk7iDqcyZz22giiy40b_usZZBXYciEN1U/edit?usp=sharing"",""ชุ"&amp;"มพร!N307"")+IMPORTRANGE(""https://docs.google.com/spreadsheets/d/16pAz3pOhQEZBhvFNMa5KGgZS6iKWpsKX0pg6tQmwFpo/edit?usp=sharing"",""ตรัง!N307"")+IMPORTRANGE(""https://docs.google.com/spreadsheets/d/1Dj4jcHCTV9JXKCaMoheSXS52JE63kDKyG7bPXnFogHk/edit?usp=shar"&amp;"ing"",""นครศรีธรรมราช!N307"")+IMPORTRANGE(""https://docs.google.com/spreadsheets/d/1iodCdmuK2GR3jzUwk8tpccY2JHQQA-87DLOtJP-ooyU/edit?usp=sharing"",""นราธิวาส!N307"")+IMPORTRANGE(""https://docs.google.com/spreadsheets/d/1SDNX3JhDdYRuIOsj0Wh2M-Qa_eaXl0NbWmh"&amp;"AOTbfQAs/edit?usp=sharing"",""ปัตตานี!N307"")+IMPORTRANGE(""https://docs.google.com/spreadsheets/d/16JDLGguT8s5DsGCND1KcwHP_AWR_zDMTqLHPLJUKhaU/edit?usp=sharing"",""พังงา!N307"")+IMPORTRANGE(""https://docs.google.com/spreadsheets/d/17ht0gPKzzT3PObBL1XJkeR"&amp;"mntBXI7wGjpLV7QorqlTk/edit?usp=sharing"",""พัทลุง!N307"")+IMPORTRANGE(""https://docs.google.com/spreadsheets/d/1rd4qoM1q_hsgaolqNGfrim9gbsoLxQsda4-vOz5x_BM/edit?usp=sharing"",""ภูเก็ต!N307"")+IMPORTRANGE(""https://docs.google.com/spreadsheets/d/1woKwKjgoL"&amp;"ssDvPcPeVyezB5izizAn4X1JDrys69n6xI/edit?usp=sharing"",""ยะลา!N307"")+IMPORTRANGE(""https://docs.google.com/spreadsheets/d/1qfrKjzMhm2HJfxQ-qVlJlJQ25Hne1d0khsySbZyGtPA/edit?usp=sharing"",""ระนอง!N307"")+IMPORTRANGE(""https://docs.google.com/spreadsheets/d/"&amp;"1IbSCnFOKpZsnFogBHJnL_isstZVaOMnFiIN0fGTPZZw/edit?usp=sharing"",""สงขลา!N307"")+IMPORTRANGE(""https://docs.google.com/spreadsheets/d/1q9nWasZJ-K8bFGvbE9n0qSRuKGA4Toe3Y89cKCiVtCU/edit?usp=sharing"",""สตูล!N307"")+IMPORTRANGE(""https://docs.google.com/sprea"&amp;"dsheets/d/18T20gbkS_WBjdscyTOV05cvq_JqvqQ17C81mpxf7Ncs/edit?usp=sharing"",""สุราษฎร์ธานี!N307"")"),0)</f>
        <v>0</v>
      </c>
      <c r="O307" s="47">
        <f t="shared" ca="1" si="223"/>
        <v>0</v>
      </c>
      <c r="P307" s="47">
        <f t="shared" ca="1" si="224"/>
        <v>0</v>
      </c>
      <c r="Q307" s="47">
        <f ca="1">IFERROR(__xludf.DUMMYFUNCTION("IMPORTRANGE(""https://docs.google.com/spreadsheets/d/1kKUcYdkIfrgTSj8iHHHB2MD2FAtwyyocFgqGQn6ADyI/edit?usp=sharing"",""กระบี่!Q307"")+IMPORTRANGE(""https://docs.google.com/spreadsheets/d/1GwtLaSlNZkLk7iDqcyZz22giiy40b_usZZBXYciEN1U/edit?usp=sharing"",""ชุ"&amp;"มพร!Q307"")+IMPORTRANGE(""https://docs.google.com/spreadsheets/d/16pAz3pOhQEZBhvFNMa5KGgZS6iKWpsKX0pg6tQmwFpo/edit?usp=sharing"",""ตรัง!Q307"")+IMPORTRANGE(""https://docs.google.com/spreadsheets/d/1Dj4jcHCTV9JXKCaMoheSXS52JE63kDKyG7bPXnFogHk/edit?usp=shar"&amp;"ing"",""นครศรีธรรมราช!Q307"")+IMPORTRANGE(""https://docs.google.com/spreadsheets/d/1iodCdmuK2GR3jzUwk8tpccY2JHQQA-87DLOtJP-ooyU/edit?usp=sharing"",""นราธิวาส!Q307"")+IMPORTRANGE(""https://docs.google.com/spreadsheets/d/1SDNX3JhDdYRuIOsj0Wh2M-Qa_eaXl0NbWmh"&amp;"AOTbfQAs/edit?usp=sharing"",""ปัตตานี!Q307"")+IMPORTRANGE(""https://docs.google.com/spreadsheets/d/16JDLGguT8s5DsGCND1KcwHP_AWR_zDMTqLHPLJUKhaU/edit?usp=sharing"",""พังงา!Q307"")+IMPORTRANGE(""https://docs.google.com/spreadsheets/d/17ht0gPKzzT3PObBL1XJkeR"&amp;"mntBXI7wGjpLV7QorqlTk/edit?usp=sharing"",""พัทลุง!Q307"")+IMPORTRANGE(""https://docs.google.com/spreadsheets/d/1rd4qoM1q_hsgaolqNGfrim9gbsoLxQsda4-vOz5x_BM/edit?usp=sharing"",""ภูเก็ต!Q307"")+IMPORTRANGE(""https://docs.google.com/spreadsheets/d/1woKwKjgoL"&amp;"ssDvPcPeVyezB5izizAn4X1JDrys69n6xI/edit?usp=sharing"",""ยะลา!Q307"")+IMPORTRANGE(""https://docs.google.com/spreadsheets/d/1qfrKjzMhm2HJfxQ-qVlJlJQ25Hne1d0khsySbZyGtPA/edit?usp=sharing"",""ระนอง!Q307"")+IMPORTRANGE(""https://docs.google.com/spreadsheets/d/"&amp;"1IbSCnFOKpZsnFogBHJnL_isstZVaOMnFiIN0fGTPZZw/edit?usp=sharing"",""สงขลา!Q307"")+IMPORTRANGE(""https://docs.google.com/spreadsheets/d/1q9nWasZJ-K8bFGvbE9n0qSRuKGA4Toe3Y89cKCiVtCU/edit?usp=sharing"",""สตูล!Q307"")+IMPORTRANGE(""https://docs.google.com/sprea"&amp;"dsheets/d/18T20gbkS_WBjdscyTOV05cvq_JqvqQ17C81mpxf7Ncs/edit?usp=sharing"",""สุราษฎร์ธานี!Q307"")"),0)</f>
        <v>0</v>
      </c>
      <c r="R307" s="47">
        <f ca="1">IFERROR(__xludf.DUMMYFUNCTION("IMPORTRANGE(""https://docs.google.com/spreadsheets/d/1kKUcYdkIfrgTSj8iHHHB2MD2FAtwyyocFgqGQn6ADyI/edit?usp=sharing"",""กระบี่!R307"")+IMPORTRANGE(""https://docs.google.com/spreadsheets/d/1GwtLaSlNZkLk7iDqcyZz22giiy40b_usZZBXYciEN1U/edit?usp=sharing"",""ชุ"&amp;"มพร!R307"")+IMPORTRANGE(""https://docs.google.com/spreadsheets/d/16pAz3pOhQEZBhvFNMa5KGgZS6iKWpsKX0pg6tQmwFpo/edit?usp=sharing"",""ตรัง!R307"")+IMPORTRANGE(""https://docs.google.com/spreadsheets/d/1Dj4jcHCTV9JXKCaMoheSXS52JE63kDKyG7bPXnFogHk/edit?usp=shar"&amp;"ing"",""นครศรีธรรมราช!R307"")+IMPORTRANGE(""https://docs.google.com/spreadsheets/d/1iodCdmuK2GR3jzUwk8tpccY2JHQQA-87DLOtJP-ooyU/edit?usp=sharing"",""นราธิวาส!R307"")+IMPORTRANGE(""https://docs.google.com/spreadsheets/d/1SDNX3JhDdYRuIOsj0Wh2M-Qa_eaXl0NbWmh"&amp;"AOTbfQAs/edit?usp=sharing"",""ปัตตานี!R307"")+IMPORTRANGE(""https://docs.google.com/spreadsheets/d/16JDLGguT8s5DsGCND1KcwHP_AWR_zDMTqLHPLJUKhaU/edit?usp=sharing"",""พังงา!R307"")+IMPORTRANGE(""https://docs.google.com/spreadsheets/d/17ht0gPKzzT3PObBL1XJkeR"&amp;"mntBXI7wGjpLV7QorqlTk/edit?usp=sharing"",""พัทลุง!R307"")+IMPORTRANGE(""https://docs.google.com/spreadsheets/d/1rd4qoM1q_hsgaolqNGfrim9gbsoLxQsda4-vOz5x_BM/edit?usp=sharing"",""ภูเก็ต!R307"")+IMPORTRANGE(""https://docs.google.com/spreadsheets/d/1woKwKjgoL"&amp;"ssDvPcPeVyezB5izizAn4X1JDrys69n6xI/edit?usp=sharing"",""ยะลา!R307"")+IMPORTRANGE(""https://docs.google.com/spreadsheets/d/1qfrKjzMhm2HJfxQ-qVlJlJQ25Hne1d0khsySbZyGtPA/edit?usp=sharing"",""ระนอง!R307"")+IMPORTRANGE(""https://docs.google.com/spreadsheets/d/"&amp;"1IbSCnFOKpZsnFogBHJnL_isstZVaOMnFiIN0fGTPZZw/edit?usp=sharing"",""สงขลา!R307"")+IMPORTRANGE(""https://docs.google.com/spreadsheets/d/1q9nWasZJ-K8bFGvbE9n0qSRuKGA4Toe3Y89cKCiVtCU/edit?usp=sharing"",""สตูล!R307"")+IMPORTRANGE(""https://docs.google.com/sprea"&amp;"dsheets/d/18T20gbkS_WBjdscyTOV05cvq_JqvqQ17C81mpxf7Ncs/edit?usp=sharing"",""สุราษฎร์ธานี!R307"")"),0)</f>
        <v>0</v>
      </c>
      <c r="S307" s="47">
        <f ca="1">IFERROR(__xludf.DUMMYFUNCTION("IMPORTRANGE(""https://docs.google.com/spreadsheets/d/1kKUcYdkIfrgTSj8iHHHB2MD2FAtwyyocFgqGQn6ADyI/edit?usp=sharing"",""กระบี่!S307"")+IMPORTRANGE(""https://docs.google.com/spreadsheets/d/1GwtLaSlNZkLk7iDqcyZz22giiy40b_usZZBXYciEN1U/edit?usp=sharing"",""ชุ"&amp;"มพร!S307"")+IMPORTRANGE(""https://docs.google.com/spreadsheets/d/16pAz3pOhQEZBhvFNMa5KGgZS6iKWpsKX0pg6tQmwFpo/edit?usp=sharing"",""ตรัง!S307"")+IMPORTRANGE(""https://docs.google.com/spreadsheets/d/1Dj4jcHCTV9JXKCaMoheSXS52JE63kDKyG7bPXnFogHk/edit?usp=shar"&amp;"ing"",""นครศรีธรรมราช!S307"")+IMPORTRANGE(""https://docs.google.com/spreadsheets/d/1iodCdmuK2GR3jzUwk8tpccY2JHQQA-87DLOtJP-ooyU/edit?usp=sharing"",""นราธิวาส!S307"")+IMPORTRANGE(""https://docs.google.com/spreadsheets/d/1SDNX3JhDdYRuIOsj0Wh2M-Qa_eaXl0NbWmh"&amp;"AOTbfQAs/edit?usp=sharing"",""ปัตตานี!S307"")+IMPORTRANGE(""https://docs.google.com/spreadsheets/d/16JDLGguT8s5DsGCND1KcwHP_AWR_zDMTqLHPLJUKhaU/edit?usp=sharing"",""พังงา!S307"")+IMPORTRANGE(""https://docs.google.com/spreadsheets/d/17ht0gPKzzT3PObBL1XJkeR"&amp;"mntBXI7wGjpLV7QorqlTk/edit?usp=sharing"",""พัทลุง!S307"")+IMPORTRANGE(""https://docs.google.com/spreadsheets/d/1rd4qoM1q_hsgaolqNGfrim9gbsoLxQsda4-vOz5x_BM/edit?usp=sharing"",""ภูเก็ต!S307"")+IMPORTRANGE(""https://docs.google.com/spreadsheets/d/1woKwKjgoL"&amp;"ssDvPcPeVyezB5izizAn4X1JDrys69n6xI/edit?usp=sharing"",""ยะลา!S307"")+IMPORTRANGE(""https://docs.google.com/spreadsheets/d/1qfrKjzMhm2HJfxQ-qVlJlJQ25Hne1d0khsySbZyGtPA/edit?usp=sharing"",""ระนอง!S307"")+IMPORTRANGE(""https://docs.google.com/spreadsheets/d/"&amp;"1IbSCnFOKpZsnFogBHJnL_isstZVaOMnFiIN0fGTPZZw/edit?usp=sharing"",""สงขลา!S307"")+IMPORTRANGE(""https://docs.google.com/spreadsheets/d/1q9nWasZJ-K8bFGvbE9n0qSRuKGA4Toe3Y89cKCiVtCU/edit?usp=sharing"",""สตูล!S307"")+IMPORTRANGE(""https://docs.google.com/sprea"&amp;"dsheets/d/18T20gbkS_WBjdscyTOV05cvq_JqvqQ17C81mpxf7Ncs/edit?usp=sharing"",""สุราษฎร์ธานี!S307"")"),0)</f>
        <v>0</v>
      </c>
      <c r="T307" s="49">
        <f t="shared" ca="1" si="226"/>
        <v>0</v>
      </c>
      <c r="U307" s="49">
        <f t="shared" ca="1" si="227"/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47">
        <f ca="1">IFERROR(__xludf.DUMMYFUNCTION("IMPORTRANGE(""https://docs.google.com/spreadsheets/d/1kKUcYdkIfrgTSj8iHHHB2MD2FAtwyyocFgqGQn6ADyI/edit?usp=sharing"",""กระบี่!L308"")+IMPORTRANGE(""https://docs.google.com/spreadsheets/d/1GwtLaSlNZkLk7iDqcyZz22giiy40b_usZZBXYciEN1U/edit?usp=sharing"",""ชุ"&amp;"มพร!L308"")+IMPORTRANGE(""https://docs.google.com/spreadsheets/d/16pAz3pOhQEZBhvFNMa5KGgZS6iKWpsKX0pg6tQmwFpo/edit?usp=sharing"",""ตรัง!L308"")+IMPORTRANGE(""https://docs.google.com/spreadsheets/d/1Dj4jcHCTV9JXKCaMoheSXS52JE63kDKyG7bPXnFogHk/edit?usp=shar"&amp;"ing"",""นครศรีธรรมราช!L308"")+IMPORTRANGE(""https://docs.google.com/spreadsheets/d/1iodCdmuK2GR3jzUwk8tpccY2JHQQA-87DLOtJP-ooyU/edit?usp=sharing"",""นราธิวาส!L308"")+IMPORTRANGE(""https://docs.google.com/spreadsheets/d/1SDNX3JhDdYRuIOsj0Wh2M-Qa_eaXl0NbWmh"&amp;"AOTbfQAs/edit?usp=sharing"",""ปัตตานี!L308"")+IMPORTRANGE(""https://docs.google.com/spreadsheets/d/16JDLGguT8s5DsGCND1KcwHP_AWR_zDMTqLHPLJUKhaU/edit?usp=sharing"",""พังงา!L308"")+IMPORTRANGE(""https://docs.google.com/spreadsheets/d/17ht0gPKzzT3PObBL1XJkeR"&amp;"mntBXI7wGjpLV7QorqlTk/edit?usp=sharing"",""พัทลุง!L308"")+IMPORTRANGE(""https://docs.google.com/spreadsheets/d/1rd4qoM1q_hsgaolqNGfrim9gbsoLxQsda4-vOz5x_BM/edit?usp=sharing"",""ภูเก็ต!L308"")+IMPORTRANGE(""https://docs.google.com/spreadsheets/d/1woKwKjgoL"&amp;"ssDvPcPeVyezB5izizAn4X1JDrys69n6xI/edit?usp=sharing"",""ยะลา!L308"")+IMPORTRANGE(""https://docs.google.com/spreadsheets/d/1qfrKjzMhm2HJfxQ-qVlJlJQ25Hne1d0khsySbZyGtPA/edit?usp=sharing"",""ระนอง!L308"")+IMPORTRANGE(""https://docs.google.com/spreadsheets/d/"&amp;"1IbSCnFOKpZsnFogBHJnL_isstZVaOMnFiIN0fGTPZZw/edit?usp=sharing"",""สงขลา!L308"")+IMPORTRANGE(""https://docs.google.com/spreadsheets/d/1q9nWasZJ-K8bFGvbE9n0qSRuKGA4Toe3Y89cKCiVtCU/edit?usp=sharing"",""สตูล!L308"")+IMPORTRANGE(""https://docs.google.com/sprea"&amp;"dsheets/d/18T20gbkS_WBjdscyTOV05cvq_JqvqQ17C81mpxf7Ncs/edit?usp=sharing"",""สุราษฎร์ธานี!L308"")"),426975)</f>
        <v>426975</v>
      </c>
      <c r="M308" s="47">
        <f ca="1">IFERROR(__xludf.DUMMYFUNCTION("IMPORTRANGE(""https://docs.google.com/spreadsheets/d/1kKUcYdkIfrgTSj8iHHHB2MD2FAtwyyocFgqGQn6ADyI/edit?usp=sharing"",""กระบี่!M308"")+IMPORTRANGE(""https://docs.google.com/spreadsheets/d/1GwtLaSlNZkLk7iDqcyZz22giiy40b_usZZBXYciEN1U/edit?usp=sharing"",""ชุ"&amp;"มพร!M308"")+IMPORTRANGE(""https://docs.google.com/spreadsheets/d/16pAz3pOhQEZBhvFNMa5KGgZS6iKWpsKX0pg6tQmwFpo/edit?usp=sharing"",""ตรัง!M308"")+IMPORTRANGE(""https://docs.google.com/spreadsheets/d/1Dj4jcHCTV9JXKCaMoheSXS52JE63kDKyG7bPXnFogHk/edit?usp=shar"&amp;"ing"",""นครศรีธรรมราช!M308"")+IMPORTRANGE(""https://docs.google.com/spreadsheets/d/1iodCdmuK2GR3jzUwk8tpccY2JHQQA-87DLOtJP-ooyU/edit?usp=sharing"",""นราธิวาส!M308"")+IMPORTRANGE(""https://docs.google.com/spreadsheets/d/1SDNX3JhDdYRuIOsj0Wh2M-Qa_eaXl0NbWmh"&amp;"AOTbfQAs/edit?usp=sharing"",""ปัตตานี!M308"")+IMPORTRANGE(""https://docs.google.com/spreadsheets/d/16JDLGguT8s5DsGCND1KcwHP_AWR_zDMTqLHPLJUKhaU/edit?usp=sharing"",""พังงา!M308"")+IMPORTRANGE(""https://docs.google.com/spreadsheets/d/17ht0gPKzzT3PObBL1XJkeR"&amp;"mntBXI7wGjpLV7QorqlTk/edit?usp=sharing"",""พัทลุง!M308"")+IMPORTRANGE(""https://docs.google.com/spreadsheets/d/1rd4qoM1q_hsgaolqNGfrim9gbsoLxQsda4-vOz5x_BM/edit?usp=sharing"",""ภูเก็ต!M308"")+IMPORTRANGE(""https://docs.google.com/spreadsheets/d/1woKwKjgoL"&amp;"ssDvPcPeVyezB5izizAn4X1JDrys69n6xI/edit?usp=sharing"",""ยะลา!M308"")+IMPORTRANGE(""https://docs.google.com/spreadsheets/d/1qfrKjzMhm2HJfxQ-qVlJlJQ25Hne1d0khsySbZyGtPA/edit?usp=sharing"",""ระนอง!M308"")+IMPORTRANGE(""https://docs.google.com/spreadsheets/d/"&amp;"1IbSCnFOKpZsnFogBHJnL_isstZVaOMnFiIN0fGTPZZw/edit?usp=sharing"",""สงขลา!M308"")+IMPORTRANGE(""https://docs.google.com/spreadsheets/d/1q9nWasZJ-K8bFGvbE9n0qSRuKGA4Toe3Y89cKCiVtCU/edit?usp=sharing"",""สตูล!M308"")+IMPORTRANGE(""https://docs.google.com/sprea"&amp;"dsheets/d/18T20gbkS_WBjdscyTOV05cvq_JqvqQ17C81mpxf7Ncs/edit?usp=sharing"",""สุราษฎร์ธานี!M308"")"),426975)</f>
        <v>426975</v>
      </c>
      <c r="N308" s="47">
        <f ca="1">IFERROR(__xludf.DUMMYFUNCTION("IMPORTRANGE(""https://docs.google.com/spreadsheets/d/1kKUcYdkIfrgTSj8iHHHB2MD2FAtwyyocFgqGQn6ADyI/edit?usp=sharing"",""กระบี่!N308"")+IMPORTRANGE(""https://docs.google.com/spreadsheets/d/1GwtLaSlNZkLk7iDqcyZz22giiy40b_usZZBXYciEN1U/edit?usp=sharing"",""ชุ"&amp;"มพร!N308"")+IMPORTRANGE(""https://docs.google.com/spreadsheets/d/16pAz3pOhQEZBhvFNMa5KGgZS6iKWpsKX0pg6tQmwFpo/edit?usp=sharing"",""ตรัง!N308"")+IMPORTRANGE(""https://docs.google.com/spreadsheets/d/1Dj4jcHCTV9JXKCaMoheSXS52JE63kDKyG7bPXnFogHk/edit?usp=shar"&amp;"ing"",""นครศรีธรรมราช!N308"")+IMPORTRANGE(""https://docs.google.com/spreadsheets/d/1iodCdmuK2GR3jzUwk8tpccY2JHQQA-87DLOtJP-ooyU/edit?usp=sharing"",""นราธิวาส!N308"")+IMPORTRANGE(""https://docs.google.com/spreadsheets/d/1SDNX3JhDdYRuIOsj0Wh2M-Qa_eaXl0NbWmh"&amp;"AOTbfQAs/edit?usp=sharing"",""ปัตตานี!N308"")+IMPORTRANGE(""https://docs.google.com/spreadsheets/d/16JDLGguT8s5DsGCND1KcwHP_AWR_zDMTqLHPLJUKhaU/edit?usp=sharing"",""พังงา!N308"")+IMPORTRANGE(""https://docs.google.com/spreadsheets/d/17ht0gPKzzT3PObBL1XJkeR"&amp;"mntBXI7wGjpLV7QorqlTk/edit?usp=sharing"",""พัทลุง!N308"")+IMPORTRANGE(""https://docs.google.com/spreadsheets/d/1rd4qoM1q_hsgaolqNGfrim9gbsoLxQsda4-vOz5x_BM/edit?usp=sharing"",""ภูเก็ต!N308"")+IMPORTRANGE(""https://docs.google.com/spreadsheets/d/1woKwKjgoL"&amp;"ssDvPcPeVyezB5izizAn4X1JDrys69n6xI/edit?usp=sharing"",""ยะลา!N308"")+IMPORTRANGE(""https://docs.google.com/spreadsheets/d/1qfrKjzMhm2HJfxQ-qVlJlJQ25Hne1d0khsySbZyGtPA/edit?usp=sharing"",""ระนอง!N308"")+IMPORTRANGE(""https://docs.google.com/spreadsheets/d/"&amp;"1IbSCnFOKpZsnFogBHJnL_isstZVaOMnFiIN0fGTPZZw/edit?usp=sharing"",""สงขลา!N308"")+IMPORTRANGE(""https://docs.google.com/spreadsheets/d/1q9nWasZJ-K8bFGvbE9n0qSRuKGA4Toe3Y89cKCiVtCU/edit?usp=sharing"",""สตูล!N308"")+IMPORTRANGE(""https://docs.google.com/sprea"&amp;"dsheets/d/18T20gbkS_WBjdscyTOV05cvq_JqvqQ17C81mpxf7Ncs/edit?usp=sharing"",""สุราษฎร์ธานี!N308"")"),277347.62)</f>
        <v>277347.62</v>
      </c>
      <c r="O308" s="47">
        <f t="shared" ca="1" si="223"/>
        <v>64.956407283798811</v>
      </c>
      <c r="P308" s="47">
        <f t="shared" ca="1" si="224"/>
        <v>64.956407283798811</v>
      </c>
      <c r="Q308" s="47">
        <f ca="1">IFERROR(__xludf.DUMMYFUNCTION("IMPORTRANGE(""https://docs.google.com/spreadsheets/d/1kKUcYdkIfrgTSj8iHHHB2MD2FAtwyyocFgqGQn6ADyI/edit?usp=sharing"",""กระบี่!Q308"")+IMPORTRANGE(""https://docs.google.com/spreadsheets/d/1GwtLaSlNZkLk7iDqcyZz22giiy40b_usZZBXYciEN1U/edit?usp=sharing"",""ชุ"&amp;"มพร!Q308"")+IMPORTRANGE(""https://docs.google.com/spreadsheets/d/16pAz3pOhQEZBhvFNMa5KGgZS6iKWpsKX0pg6tQmwFpo/edit?usp=sharing"",""ตรัง!Q308"")+IMPORTRANGE(""https://docs.google.com/spreadsheets/d/1Dj4jcHCTV9JXKCaMoheSXS52JE63kDKyG7bPXnFogHk/edit?usp=shar"&amp;"ing"",""นครศรีธรรมราช!Q308"")+IMPORTRANGE(""https://docs.google.com/spreadsheets/d/1iodCdmuK2GR3jzUwk8tpccY2JHQQA-87DLOtJP-ooyU/edit?usp=sharing"",""นราธิวาส!Q308"")+IMPORTRANGE(""https://docs.google.com/spreadsheets/d/1SDNX3JhDdYRuIOsj0Wh2M-Qa_eaXl0NbWmh"&amp;"AOTbfQAs/edit?usp=sharing"",""ปัตตานี!Q308"")+IMPORTRANGE(""https://docs.google.com/spreadsheets/d/16JDLGguT8s5DsGCND1KcwHP_AWR_zDMTqLHPLJUKhaU/edit?usp=sharing"",""พังงา!Q308"")+IMPORTRANGE(""https://docs.google.com/spreadsheets/d/17ht0gPKzzT3PObBL1XJkeR"&amp;"mntBXI7wGjpLV7QorqlTk/edit?usp=sharing"",""พัทลุง!Q308"")+IMPORTRANGE(""https://docs.google.com/spreadsheets/d/1rd4qoM1q_hsgaolqNGfrim9gbsoLxQsda4-vOz5x_BM/edit?usp=sharing"",""ภูเก็ต!Q308"")+IMPORTRANGE(""https://docs.google.com/spreadsheets/d/1woKwKjgoL"&amp;"ssDvPcPeVyezB5izizAn4X1JDrys69n6xI/edit?usp=sharing"",""ยะลา!Q308"")+IMPORTRANGE(""https://docs.google.com/spreadsheets/d/1qfrKjzMhm2HJfxQ-qVlJlJQ25Hne1d0khsySbZyGtPA/edit?usp=sharing"",""ระนอง!Q308"")+IMPORTRANGE(""https://docs.google.com/spreadsheets/d/"&amp;"1IbSCnFOKpZsnFogBHJnL_isstZVaOMnFiIN0fGTPZZw/edit?usp=sharing"",""สงขลา!Q308"")+IMPORTRANGE(""https://docs.google.com/spreadsheets/d/1q9nWasZJ-K8bFGvbE9n0qSRuKGA4Toe3Y89cKCiVtCU/edit?usp=sharing"",""สตูล!Q308"")+IMPORTRANGE(""https://docs.google.com/sprea"&amp;"dsheets/d/18T20gbkS_WBjdscyTOV05cvq_JqvqQ17C81mpxf7Ncs/edit?usp=sharing"",""สุราษฎร์ธานี!Q308"")"),2086950.07)</f>
        <v>2086950.07</v>
      </c>
      <c r="R308" s="47">
        <f ca="1">IFERROR(__xludf.DUMMYFUNCTION("IMPORTRANGE(""https://docs.google.com/spreadsheets/d/1kKUcYdkIfrgTSj8iHHHB2MD2FAtwyyocFgqGQn6ADyI/edit?usp=sharing"",""กระบี่!R308"")+IMPORTRANGE(""https://docs.google.com/spreadsheets/d/1GwtLaSlNZkLk7iDqcyZz22giiy40b_usZZBXYciEN1U/edit?usp=sharing"",""ชุ"&amp;"มพร!R308"")+IMPORTRANGE(""https://docs.google.com/spreadsheets/d/16pAz3pOhQEZBhvFNMa5KGgZS6iKWpsKX0pg6tQmwFpo/edit?usp=sharing"",""ตรัง!R308"")+IMPORTRANGE(""https://docs.google.com/spreadsheets/d/1Dj4jcHCTV9JXKCaMoheSXS52JE63kDKyG7bPXnFogHk/edit?usp=shar"&amp;"ing"",""นครศรีธรรมราช!R308"")+IMPORTRANGE(""https://docs.google.com/spreadsheets/d/1iodCdmuK2GR3jzUwk8tpccY2JHQQA-87DLOtJP-ooyU/edit?usp=sharing"",""นราธิวาส!R308"")+IMPORTRANGE(""https://docs.google.com/spreadsheets/d/1SDNX3JhDdYRuIOsj0Wh2M-Qa_eaXl0NbWmh"&amp;"AOTbfQAs/edit?usp=sharing"",""ปัตตานี!R308"")+IMPORTRANGE(""https://docs.google.com/spreadsheets/d/16JDLGguT8s5DsGCND1KcwHP_AWR_zDMTqLHPLJUKhaU/edit?usp=sharing"",""พังงา!R308"")+IMPORTRANGE(""https://docs.google.com/spreadsheets/d/17ht0gPKzzT3PObBL1XJkeR"&amp;"mntBXI7wGjpLV7QorqlTk/edit?usp=sharing"",""พัทลุง!R308"")+IMPORTRANGE(""https://docs.google.com/spreadsheets/d/1rd4qoM1q_hsgaolqNGfrim9gbsoLxQsda4-vOz5x_BM/edit?usp=sharing"",""ภูเก็ต!R308"")+IMPORTRANGE(""https://docs.google.com/spreadsheets/d/1woKwKjgoL"&amp;"ssDvPcPeVyezB5izizAn4X1JDrys69n6xI/edit?usp=sharing"",""ยะลา!R308"")+IMPORTRANGE(""https://docs.google.com/spreadsheets/d/1qfrKjzMhm2HJfxQ-qVlJlJQ25Hne1d0khsySbZyGtPA/edit?usp=sharing"",""ระนอง!R308"")+IMPORTRANGE(""https://docs.google.com/spreadsheets/d/"&amp;"1IbSCnFOKpZsnFogBHJnL_isstZVaOMnFiIN0fGTPZZw/edit?usp=sharing"",""สงขลา!R308"")+IMPORTRANGE(""https://docs.google.com/spreadsheets/d/1q9nWasZJ-K8bFGvbE9n0qSRuKGA4Toe3Y89cKCiVtCU/edit?usp=sharing"",""สตูล!R308"")+IMPORTRANGE(""https://docs.google.com/sprea"&amp;"dsheets/d/18T20gbkS_WBjdscyTOV05cvq_JqvqQ17C81mpxf7Ncs/edit?usp=sharing"",""สุราษฎร์ธานี!R308"")"),2086948)</f>
        <v>2086948</v>
      </c>
      <c r="S308" s="47">
        <f ca="1">IFERROR(__xludf.DUMMYFUNCTION("IMPORTRANGE(""https://docs.google.com/spreadsheets/d/1kKUcYdkIfrgTSj8iHHHB2MD2FAtwyyocFgqGQn6ADyI/edit?usp=sharing"",""กระบี่!S308"")+IMPORTRANGE(""https://docs.google.com/spreadsheets/d/1GwtLaSlNZkLk7iDqcyZz22giiy40b_usZZBXYciEN1U/edit?usp=sharing"",""ชุ"&amp;"มพร!S308"")+IMPORTRANGE(""https://docs.google.com/spreadsheets/d/16pAz3pOhQEZBhvFNMa5KGgZS6iKWpsKX0pg6tQmwFpo/edit?usp=sharing"",""ตรัง!S308"")+IMPORTRANGE(""https://docs.google.com/spreadsheets/d/1Dj4jcHCTV9JXKCaMoheSXS52JE63kDKyG7bPXnFogHk/edit?usp=shar"&amp;"ing"",""นครศรีธรรมราช!S308"")+IMPORTRANGE(""https://docs.google.com/spreadsheets/d/1iodCdmuK2GR3jzUwk8tpccY2JHQQA-87DLOtJP-ooyU/edit?usp=sharing"",""นราธิวาส!S308"")+IMPORTRANGE(""https://docs.google.com/spreadsheets/d/1SDNX3JhDdYRuIOsj0Wh2M-Qa_eaXl0NbWmh"&amp;"AOTbfQAs/edit?usp=sharing"",""ปัตตานี!S308"")+IMPORTRANGE(""https://docs.google.com/spreadsheets/d/16JDLGguT8s5DsGCND1KcwHP_AWR_zDMTqLHPLJUKhaU/edit?usp=sharing"",""พังงา!S308"")+IMPORTRANGE(""https://docs.google.com/spreadsheets/d/17ht0gPKzzT3PObBL1XJkeR"&amp;"mntBXI7wGjpLV7QorqlTk/edit?usp=sharing"",""พัทลุง!S308"")+IMPORTRANGE(""https://docs.google.com/spreadsheets/d/1rd4qoM1q_hsgaolqNGfrim9gbsoLxQsda4-vOz5x_BM/edit?usp=sharing"",""ภูเก็ต!S308"")+IMPORTRANGE(""https://docs.google.com/spreadsheets/d/1woKwKjgoL"&amp;"ssDvPcPeVyezB5izizAn4X1JDrys69n6xI/edit?usp=sharing"",""ยะลา!S308"")+IMPORTRANGE(""https://docs.google.com/spreadsheets/d/1qfrKjzMhm2HJfxQ-qVlJlJQ25Hne1d0khsySbZyGtPA/edit?usp=sharing"",""ระนอง!S308"")+IMPORTRANGE(""https://docs.google.com/spreadsheets/d/"&amp;"1IbSCnFOKpZsnFogBHJnL_isstZVaOMnFiIN0fGTPZZw/edit?usp=sharing"",""สงขลา!S308"")+IMPORTRANGE(""https://docs.google.com/spreadsheets/d/1q9nWasZJ-K8bFGvbE9n0qSRuKGA4Toe3Y89cKCiVtCU/edit?usp=sharing"",""สตูล!S308"")+IMPORTRANGE(""https://docs.google.com/sprea"&amp;"dsheets/d/18T20gbkS_WBjdscyTOV05cvq_JqvqQ17C81mpxf7Ncs/edit?usp=sharing"",""สุราษฎร์ธานี!S308"")"),334891)</f>
        <v>334891</v>
      </c>
      <c r="T308" s="47">
        <f t="shared" ca="1" si="226"/>
        <v>16.046910025020388</v>
      </c>
      <c r="U308" s="47">
        <f t="shared" ca="1" si="227"/>
        <v>16.046925941614262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47">
        <f t="shared" ref="L309:N309" ca="1" si="234">L310+L311</f>
        <v>0</v>
      </c>
      <c r="M309" s="47">
        <f t="shared" ca="1" si="234"/>
        <v>0</v>
      </c>
      <c r="N309" s="47">
        <f t="shared" ca="1" si="234"/>
        <v>0</v>
      </c>
      <c r="O309" s="47">
        <f t="shared" ca="1" si="223"/>
        <v>0</v>
      </c>
      <c r="P309" s="47">
        <f t="shared" ca="1" si="224"/>
        <v>0</v>
      </c>
      <c r="Q309" s="47">
        <f t="shared" ref="Q309:S309" ca="1" si="235">Q310+Q311</f>
        <v>0</v>
      </c>
      <c r="R309" s="47">
        <f t="shared" ca="1" si="235"/>
        <v>0</v>
      </c>
      <c r="S309" s="47">
        <f t="shared" ca="1" si="235"/>
        <v>0</v>
      </c>
      <c r="T309" s="47">
        <f t="shared" ca="1" si="226"/>
        <v>0</v>
      </c>
      <c r="U309" s="47">
        <f t="shared" ca="1" si="227"/>
        <v>0</v>
      </c>
    </row>
    <row r="310" spans="1:21" ht="18.75" hidden="1" x14ac:dyDescent="0.25">
      <c r="A310" s="128"/>
      <c r="B310" s="41"/>
      <c r="C310" s="41"/>
      <c r="D310" s="41"/>
      <c r="E310" s="48" t="s">
        <v>20</v>
      </c>
      <c r="F310" s="41"/>
      <c r="G310" s="43"/>
      <c r="H310" s="134" t="s">
        <v>14</v>
      </c>
      <c r="I310" s="135"/>
      <c r="J310" s="135"/>
      <c r="K310" s="136"/>
      <c r="L310" s="47">
        <f ca="1">IFERROR(__xludf.DUMMYFUNCTION("IMPORTRANGE(""https://docs.google.com/spreadsheets/d/1kKUcYdkIfrgTSj8iHHHB2MD2FAtwyyocFgqGQn6ADyI/edit?usp=sharing"",""กระบี่!L310"")+IMPORTRANGE(""https://docs.google.com/spreadsheets/d/1GwtLaSlNZkLk7iDqcyZz22giiy40b_usZZBXYciEN1U/edit?usp=sharing"",""ชุ"&amp;"มพร!L310"")+IMPORTRANGE(""https://docs.google.com/spreadsheets/d/16pAz3pOhQEZBhvFNMa5KGgZS6iKWpsKX0pg6tQmwFpo/edit?usp=sharing"",""ตรัง!L310"")+IMPORTRANGE(""https://docs.google.com/spreadsheets/d/1Dj4jcHCTV9JXKCaMoheSXS52JE63kDKyG7bPXnFogHk/edit?usp=shar"&amp;"ing"",""นครศรีธรรมราช!L310"")+IMPORTRANGE(""https://docs.google.com/spreadsheets/d/1iodCdmuK2GR3jzUwk8tpccY2JHQQA-87DLOtJP-ooyU/edit?usp=sharing"",""นราธิวาส!L310"")+IMPORTRANGE(""https://docs.google.com/spreadsheets/d/1SDNX3JhDdYRuIOsj0Wh2M-Qa_eaXl0NbWmh"&amp;"AOTbfQAs/edit?usp=sharing"",""ปัตตานี!L310"")+IMPORTRANGE(""https://docs.google.com/spreadsheets/d/16JDLGguT8s5DsGCND1KcwHP_AWR_zDMTqLHPLJUKhaU/edit?usp=sharing"",""พังงา!L310"")+IMPORTRANGE(""https://docs.google.com/spreadsheets/d/17ht0gPKzzT3PObBL1XJkeR"&amp;"mntBXI7wGjpLV7QorqlTk/edit?usp=sharing"",""พัทลุง!L310"")+IMPORTRANGE(""https://docs.google.com/spreadsheets/d/1rd4qoM1q_hsgaolqNGfrim9gbsoLxQsda4-vOz5x_BM/edit?usp=sharing"",""ภูเก็ต!L310"")+IMPORTRANGE(""https://docs.google.com/spreadsheets/d/1woKwKjgoL"&amp;"ssDvPcPeVyezB5izizAn4X1JDrys69n6xI/edit?usp=sharing"",""ยะลา!L310"")+IMPORTRANGE(""https://docs.google.com/spreadsheets/d/1qfrKjzMhm2HJfxQ-qVlJlJQ25Hne1d0khsySbZyGtPA/edit?usp=sharing"",""ระนอง!L310"")+IMPORTRANGE(""https://docs.google.com/spreadsheets/d/"&amp;"1IbSCnFOKpZsnFogBHJnL_isstZVaOMnFiIN0fGTPZZw/edit?usp=sharing"",""สงขลา!L310"")+IMPORTRANGE(""https://docs.google.com/spreadsheets/d/1q9nWasZJ-K8bFGvbE9n0qSRuKGA4Toe3Y89cKCiVtCU/edit?usp=sharing"",""สตูล!L310"")+IMPORTRANGE(""https://docs.google.com/sprea"&amp;"dsheets/d/18T20gbkS_WBjdscyTOV05cvq_JqvqQ17C81mpxf7Ncs/edit?usp=sharing"",""สุราษฎร์ธานี!L310"")"),0)</f>
        <v>0</v>
      </c>
      <c r="M310" s="47">
        <f ca="1">IFERROR(__xludf.DUMMYFUNCTION("IMPORTRANGE(""https://docs.google.com/spreadsheets/d/1kKUcYdkIfrgTSj8iHHHB2MD2FAtwyyocFgqGQn6ADyI/edit?usp=sharing"",""กระบี่!M310"")+IMPORTRANGE(""https://docs.google.com/spreadsheets/d/1GwtLaSlNZkLk7iDqcyZz22giiy40b_usZZBXYciEN1U/edit?usp=sharing"",""ชุ"&amp;"มพร!M310"")+IMPORTRANGE(""https://docs.google.com/spreadsheets/d/16pAz3pOhQEZBhvFNMa5KGgZS6iKWpsKX0pg6tQmwFpo/edit?usp=sharing"",""ตรัง!M310"")+IMPORTRANGE(""https://docs.google.com/spreadsheets/d/1Dj4jcHCTV9JXKCaMoheSXS52JE63kDKyG7bPXnFogHk/edit?usp=shar"&amp;"ing"",""นครศรีธรรมราช!M310"")+IMPORTRANGE(""https://docs.google.com/spreadsheets/d/1iodCdmuK2GR3jzUwk8tpccY2JHQQA-87DLOtJP-ooyU/edit?usp=sharing"",""นราธิวาส!M310"")+IMPORTRANGE(""https://docs.google.com/spreadsheets/d/1SDNX3JhDdYRuIOsj0Wh2M-Qa_eaXl0NbWmh"&amp;"AOTbfQAs/edit?usp=sharing"",""ปัตตานี!M310"")+IMPORTRANGE(""https://docs.google.com/spreadsheets/d/16JDLGguT8s5DsGCND1KcwHP_AWR_zDMTqLHPLJUKhaU/edit?usp=sharing"",""พังงา!M310"")+IMPORTRANGE(""https://docs.google.com/spreadsheets/d/17ht0gPKzzT3PObBL1XJkeR"&amp;"mntBXI7wGjpLV7QorqlTk/edit?usp=sharing"",""พัทลุง!M310"")+IMPORTRANGE(""https://docs.google.com/spreadsheets/d/1rd4qoM1q_hsgaolqNGfrim9gbsoLxQsda4-vOz5x_BM/edit?usp=sharing"",""ภูเก็ต!M310"")+IMPORTRANGE(""https://docs.google.com/spreadsheets/d/1woKwKjgoL"&amp;"ssDvPcPeVyezB5izizAn4X1JDrys69n6xI/edit?usp=sharing"",""ยะลา!M310"")+IMPORTRANGE(""https://docs.google.com/spreadsheets/d/1qfrKjzMhm2HJfxQ-qVlJlJQ25Hne1d0khsySbZyGtPA/edit?usp=sharing"",""ระนอง!M310"")+IMPORTRANGE(""https://docs.google.com/spreadsheets/d/"&amp;"1IbSCnFOKpZsnFogBHJnL_isstZVaOMnFiIN0fGTPZZw/edit?usp=sharing"",""สงขลา!M310"")+IMPORTRANGE(""https://docs.google.com/spreadsheets/d/1q9nWasZJ-K8bFGvbE9n0qSRuKGA4Toe3Y89cKCiVtCU/edit?usp=sharing"",""สตูล!M310"")+IMPORTRANGE(""https://docs.google.com/sprea"&amp;"dsheets/d/18T20gbkS_WBjdscyTOV05cvq_JqvqQ17C81mpxf7Ncs/edit?usp=sharing"",""สุราษฎร์ธานี!M310"")"),0)</f>
        <v>0</v>
      </c>
      <c r="N310" s="47">
        <f ca="1">IFERROR(__xludf.DUMMYFUNCTION("IMPORTRANGE(""https://docs.google.com/spreadsheets/d/1kKUcYdkIfrgTSj8iHHHB2MD2FAtwyyocFgqGQn6ADyI/edit?usp=sharing"",""กระบี่!N310"")+IMPORTRANGE(""https://docs.google.com/spreadsheets/d/1GwtLaSlNZkLk7iDqcyZz22giiy40b_usZZBXYciEN1U/edit?usp=sharing"",""ชุ"&amp;"มพร!N310"")+IMPORTRANGE(""https://docs.google.com/spreadsheets/d/16pAz3pOhQEZBhvFNMa5KGgZS6iKWpsKX0pg6tQmwFpo/edit?usp=sharing"",""ตรัง!N310"")+IMPORTRANGE(""https://docs.google.com/spreadsheets/d/1Dj4jcHCTV9JXKCaMoheSXS52JE63kDKyG7bPXnFogHk/edit?usp=shar"&amp;"ing"",""นครศรีธรรมราช!N310"")+IMPORTRANGE(""https://docs.google.com/spreadsheets/d/1iodCdmuK2GR3jzUwk8tpccY2JHQQA-87DLOtJP-ooyU/edit?usp=sharing"",""นราธิวาส!N310"")+IMPORTRANGE(""https://docs.google.com/spreadsheets/d/1SDNX3JhDdYRuIOsj0Wh2M-Qa_eaXl0NbWmh"&amp;"AOTbfQAs/edit?usp=sharing"",""ปัตตานี!N310"")+IMPORTRANGE(""https://docs.google.com/spreadsheets/d/16JDLGguT8s5DsGCND1KcwHP_AWR_zDMTqLHPLJUKhaU/edit?usp=sharing"",""พังงา!N310"")+IMPORTRANGE(""https://docs.google.com/spreadsheets/d/17ht0gPKzzT3PObBL1XJkeR"&amp;"mntBXI7wGjpLV7QorqlTk/edit?usp=sharing"",""พัทลุง!N310"")+IMPORTRANGE(""https://docs.google.com/spreadsheets/d/1rd4qoM1q_hsgaolqNGfrim9gbsoLxQsda4-vOz5x_BM/edit?usp=sharing"",""ภูเก็ต!N310"")+IMPORTRANGE(""https://docs.google.com/spreadsheets/d/1woKwKjgoL"&amp;"ssDvPcPeVyezB5izizAn4X1JDrys69n6xI/edit?usp=sharing"",""ยะลา!N310"")+IMPORTRANGE(""https://docs.google.com/spreadsheets/d/1qfrKjzMhm2HJfxQ-qVlJlJQ25Hne1d0khsySbZyGtPA/edit?usp=sharing"",""ระนอง!N310"")+IMPORTRANGE(""https://docs.google.com/spreadsheets/d/"&amp;"1IbSCnFOKpZsnFogBHJnL_isstZVaOMnFiIN0fGTPZZw/edit?usp=sharing"",""สงขลา!N310"")+IMPORTRANGE(""https://docs.google.com/spreadsheets/d/1q9nWasZJ-K8bFGvbE9n0qSRuKGA4Toe3Y89cKCiVtCU/edit?usp=sharing"",""สตูล!N310"")+IMPORTRANGE(""https://docs.google.com/sprea"&amp;"dsheets/d/18T20gbkS_WBjdscyTOV05cvq_JqvqQ17C81mpxf7Ncs/edit?usp=sharing"",""สุราษฎร์ธานี!N310"")"),0)</f>
        <v>0</v>
      </c>
      <c r="O310" s="47">
        <f t="shared" ca="1" si="223"/>
        <v>0</v>
      </c>
      <c r="P310" s="47">
        <f t="shared" ca="1" si="224"/>
        <v>0</v>
      </c>
      <c r="Q310" s="47">
        <f ca="1">IFERROR(__xludf.DUMMYFUNCTION("IMPORTRANGE(""https://docs.google.com/spreadsheets/d/1kKUcYdkIfrgTSj8iHHHB2MD2FAtwyyocFgqGQn6ADyI/edit?usp=sharing"",""กระบี่!Q310"")+IMPORTRANGE(""https://docs.google.com/spreadsheets/d/1GwtLaSlNZkLk7iDqcyZz22giiy40b_usZZBXYciEN1U/edit?usp=sharing"",""ชุ"&amp;"มพร!Q310"")+IMPORTRANGE(""https://docs.google.com/spreadsheets/d/16pAz3pOhQEZBhvFNMa5KGgZS6iKWpsKX0pg6tQmwFpo/edit?usp=sharing"",""ตรัง!Q310"")+IMPORTRANGE(""https://docs.google.com/spreadsheets/d/1Dj4jcHCTV9JXKCaMoheSXS52JE63kDKyG7bPXnFogHk/edit?usp=shar"&amp;"ing"",""นครศรีธรรมราช!Q310"")+IMPORTRANGE(""https://docs.google.com/spreadsheets/d/1iodCdmuK2GR3jzUwk8tpccY2JHQQA-87DLOtJP-ooyU/edit?usp=sharing"",""นราธิวาส!Q310"")+IMPORTRANGE(""https://docs.google.com/spreadsheets/d/1SDNX3JhDdYRuIOsj0Wh2M-Qa_eaXl0NbWmh"&amp;"AOTbfQAs/edit?usp=sharing"",""ปัตตานี!Q310"")+IMPORTRANGE(""https://docs.google.com/spreadsheets/d/16JDLGguT8s5DsGCND1KcwHP_AWR_zDMTqLHPLJUKhaU/edit?usp=sharing"",""พังงา!Q310"")+IMPORTRANGE(""https://docs.google.com/spreadsheets/d/17ht0gPKzzT3PObBL1XJkeR"&amp;"mntBXI7wGjpLV7QorqlTk/edit?usp=sharing"",""พัทลุง!Q310"")+IMPORTRANGE(""https://docs.google.com/spreadsheets/d/1rd4qoM1q_hsgaolqNGfrim9gbsoLxQsda4-vOz5x_BM/edit?usp=sharing"",""ภูเก็ต!Q310"")+IMPORTRANGE(""https://docs.google.com/spreadsheets/d/1woKwKjgoL"&amp;"ssDvPcPeVyezB5izizAn4X1JDrys69n6xI/edit?usp=sharing"",""ยะลา!Q310"")+IMPORTRANGE(""https://docs.google.com/spreadsheets/d/1qfrKjzMhm2HJfxQ-qVlJlJQ25Hne1d0khsySbZyGtPA/edit?usp=sharing"",""ระนอง!Q310"")+IMPORTRANGE(""https://docs.google.com/spreadsheets/d/"&amp;"1IbSCnFOKpZsnFogBHJnL_isstZVaOMnFiIN0fGTPZZw/edit?usp=sharing"",""สงขลา!Q310"")+IMPORTRANGE(""https://docs.google.com/spreadsheets/d/1q9nWasZJ-K8bFGvbE9n0qSRuKGA4Toe3Y89cKCiVtCU/edit?usp=sharing"",""สตูล!Q310"")+IMPORTRANGE(""https://docs.google.com/sprea"&amp;"dsheets/d/18T20gbkS_WBjdscyTOV05cvq_JqvqQ17C81mpxf7Ncs/edit?usp=sharing"",""สุราษฎร์ธานี!Q310"")"),0)</f>
        <v>0</v>
      </c>
      <c r="R310" s="47">
        <f ca="1">IFERROR(__xludf.DUMMYFUNCTION("IMPORTRANGE(""https://docs.google.com/spreadsheets/d/1kKUcYdkIfrgTSj8iHHHB2MD2FAtwyyocFgqGQn6ADyI/edit?usp=sharing"",""กระบี่!R310"")+IMPORTRANGE(""https://docs.google.com/spreadsheets/d/1GwtLaSlNZkLk7iDqcyZz22giiy40b_usZZBXYciEN1U/edit?usp=sharing"",""ชุ"&amp;"มพร!R310"")+IMPORTRANGE(""https://docs.google.com/spreadsheets/d/16pAz3pOhQEZBhvFNMa5KGgZS6iKWpsKX0pg6tQmwFpo/edit?usp=sharing"",""ตรัง!R310"")+IMPORTRANGE(""https://docs.google.com/spreadsheets/d/1Dj4jcHCTV9JXKCaMoheSXS52JE63kDKyG7bPXnFogHk/edit?usp=shar"&amp;"ing"",""นครศรีธรรมราช!R310"")+IMPORTRANGE(""https://docs.google.com/spreadsheets/d/1iodCdmuK2GR3jzUwk8tpccY2JHQQA-87DLOtJP-ooyU/edit?usp=sharing"",""นราธิวาส!R310"")+IMPORTRANGE(""https://docs.google.com/spreadsheets/d/1SDNX3JhDdYRuIOsj0Wh2M-Qa_eaXl0NbWmh"&amp;"AOTbfQAs/edit?usp=sharing"",""ปัตตานี!R310"")+IMPORTRANGE(""https://docs.google.com/spreadsheets/d/16JDLGguT8s5DsGCND1KcwHP_AWR_zDMTqLHPLJUKhaU/edit?usp=sharing"",""พังงา!R310"")+IMPORTRANGE(""https://docs.google.com/spreadsheets/d/17ht0gPKzzT3PObBL1XJkeR"&amp;"mntBXI7wGjpLV7QorqlTk/edit?usp=sharing"",""พัทลุง!R310"")+IMPORTRANGE(""https://docs.google.com/spreadsheets/d/1rd4qoM1q_hsgaolqNGfrim9gbsoLxQsda4-vOz5x_BM/edit?usp=sharing"",""ภูเก็ต!R310"")+IMPORTRANGE(""https://docs.google.com/spreadsheets/d/1woKwKjgoL"&amp;"ssDvPcPeVyezB5izizAn4X1JDrys69n6xI/edit?usp=sharing"",""ยะลา!R310"")+IMPORTRANGE(""https://docs.google.com/spreadsheets/d/1qfrKjzMhm2HJfxQ-qVlJlJQ25Hne1d0khsySbZyGtPA/edit?usp=sharing"",""ระนอง!R310"")+IMPORTRANGE(""https://docs.google.com/spreadsheets/d/"&amp;"1IbSCnFOKpZsnFogBHJnL_isstZVaOMnFiIN0fGTPZZw/edit?usp=sharing"",""สงขลา!R310"")+IMPORTRANGE(""https://docs.google.com/spreadsheets/d/1q9nWasZJ-K8bFGvbE9n0qSRuKGA4Toe3Y89cKCiVtCU/edit?usp=sharing"",""สตูล!R310"")+IMPORTRANGE(""https://docs.google.com/sprea"&amp;"dsheets/d/18T20gbkS_WBjdscyTOV05cvq_JqvqQ17C81mpxf7Ncs/edit?usp=sharing"",""สุราษฎร์ธานี!R310"")"),0)</f>
        <v>0</v>
      </c>
      <c r="S310" s="47">
        <f ca="1">IFERROR(__xludf.DUMMYFUNCTION("IMPORTRANGE(""https://docs.google.com/spreadsheets/d/1kKUcYdkIfrgTSj8iHHHB2MD2FAtwyyocFgqGQn6ADyI/edit?usp=sharing"",""กระบี่!S310"")+IMPORTRANGE(""https://docs.google.com/spreadsheets/d/1GwtLaSlNZkLk7iDqcyZz22giiy40b_usZZBXYciEN1U/edit?usp=sharing"",""ชุ"&amp;"มพร!S310"")+IMPORTRANGE(""https://docs.google.com/spreadsheets/d/16pAz3pOhQEZBhvFNMa5KGgZS6iKWpsKX0pg6tQmwFpo/edit?usp=sharing"",""ตรัง!S310"")+IMPORTRANGE(""https://docs.google.com/spreadsheets/d/1Dj4jcHCTV9JXKCaMoheSXS52JE63kDKyG7bPXnFogHk/edit?usp=shar"&amp;"ing"",""นครศรีธรรมราช!S310"")+IMPORTRANGE(""https://docs.google.com/spreadsheets/d/1iodCdmuK2GR3jzUwk8tpccY2JHQQA-87DLOtJP-ooyU/edit?usp=sharing"",""นราธิวาส!S310"")+IMPORTRANGE(""https://docs.google.com/spreadsheets/d/1SDNX3JhDdYRuIOsj0Wh2M-Qa_eaXl0NbWmh"&amp;"AOTbfQAs/edit?usp=sharing"",""ปัตตานี!S310"")+IMPORTRANGE(""https://docs.google.com/spreadsheets/d/16JDLGguT8s5DsGCND1KcwHP_AWR_zDMTqLHPLJUKhaU/edit?usp=sharing"",""พังงา!S310"")+IMPORTRANGE(""https://docs.google.com/spreadsheets/d/17ht0gPKzzT3PObBL1XJkeR"&amp;"mntBXI7wGjpLV7QorqlTk/edit?usp=sharing"",""พัทลุง!S310"")+IMPORTRANGE(""https://docs.google.com/spreadsheets/d/1rd4qoM1q_hsgaolqNGfrim9gbsoLxQsda4-vOz5x_BM/edit?usp=sharing"",""ภูเก็ต!S310"")+IMPORTRANGE(""https://docs.google.com/spreadsheets/d/1woKwKjgoL"&amp;"ssDvPcPeVyezB5izizAn4X1JDrys69n6xI/edit?usp=sharing"",""ยะลา!S310"")+IMPORTRANGE(""https://docs.google.com/spreadsheets/d/1qfrKjzMhm2HJfxQ-qVlJlJQ25Hne1d0khsySbZyGtPA/edit?usp=sharing"",""ระนอง!S310"")+IMPORTRANGE(""https://docs.google.com/spreadsheets/d/"&amp;"1IbSCnFOKpZsnFogBHJnL_isstZVaOMnFiIN0fGTPZZw/edit?usp=sharing"",""สงขลา!S310"")+IMPORTRANGE(""https://docs.google.com/spreadsheets/d/1q9nWasZJ-K8bFGvbE9n0qSRuKGA4Toe3Y89cKCiVtCU/edit?usp=sharing"",""สตูล!S310"")+IMPORTRANGE(""https://docs.google.com/sprea"&amp;"dsheets/d/18T20gbkS_WBjdscyTOV05cvq_JqvqQ17C81mpxf7Ncs/edit?usp=sharing"",""สุราษฎร์ธานี!S310"")"),0)</f>
        <v>0</v>
      </c>
      <c r="T310" s="49">
        <f t="shared" ca="1" si="226"/>
        <v>0</v>
      </c>
      <c r="U310" s="49">
        <f t="shared" ca="1" si="227"/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47">
        <f ca="1">IFERROR(__xludf.DUMMYFUNCTION("IMPORTRANGE(""https://docs.google.com/spreadsheets/d/1kKUcYdkIfrgTSj8iHHHB2MD2FAtwyyocFgqGQn6ADyI/edit?usp=sharing"",""กระบี่!L311"")+IMPORTRANGE(""https://docs.google.com/spreadsheets/d/1GwtLaSlNZkLk7iDqcyZz22giiy40b_usZZBXYciEN1U/edit?usp=sharing"",""ชุ"&amp;"มพร!L311"")+IMPORTRANGE(""https://docs.google.com/spreadsheets/d/16pAz3pOhQEZBhvFNMa5KGgZS6iKWpsKX0pg6tQmwFpo/edit?usp=sharing"",""ตรัง!L311"")+IMPORTRANGE(""https://docs.google.com/spreadsheets/d/1Dj4jcHCTV9JXKCaMoheSXS52JE63kDKyG7bPXnFogHk/edit?usp=shar"&amp;"ing"",""นครศรีธรรมราช!L311"")+IMPORTRANGE(""https://docs.google.com/spreadsheets/d/1iodCdmuK2GR3jzUwk8tpccY2JHQQA-87DLOtJP-ooyU/edit?usp=sharing"",""นราธิวาส!L311"")+IMPORTRANGE(""https://docs.google.com/spreadsheets/d/1SDNX3JhDdYRuIOsj0Wh2M-Qa_eaXl0NbWmh"&amp;"AOTbfQAs/edit?usp=sharing"",""ปัตตานี!L311"")+IMPORTRANGE(""https://docs.google.com/spreadsheets/d/16JDLGguT8s5DsGCND1KcwHP_AWR_zDMTqLHPLJUKhaU/edit?usp=sharing"",""พังงา!L311"")+IMPORTRANGE(""https://docs.google.com/spreadsheets/d/17ht0gPKzzT3PObBL1XJkeR"&amp;"mntBXI7wGjpLV7QorqlTk/edit?usp=sharing"",""พัทลุง!L311"")+IMPORTRANGE(""https://docs.google.com/spreadsheets/d/1rd4qoM1q_hsgaolqNGfrim9gbsoLxQsda4-vOz5x_BM/edit?usp=sharing"",""ภูเก็ต!L311"")+IMPORTRANGE(""https://docs.google.com/spreadsheets/d/1woKwKjgoL"&amp;"ssDvPcPeVyezB5izizAn4X1JDrys69n6xI/edit?usp=sharing"",""ยะลา!L311"")+IMPORTRANGE(""https://docs.google.com/spreadsheets/d/1qfrKjzMhm2HJfxQ-qVlJlJQ25Hne1d0khsySbZyGtPA/edit?usp=sharing"",""ระนอง!L311"")+IMPORTRANGE(""https://docs.google.com/spreadsheets/d/"&amp;"1IbSCnFOKpZsnFogBHJnL_isstZVaOMnFiIN0fGTPZZw/edit?usp=sharing"",""สงขลา!L311"")+IMPORTRANGE(""https://docs.google.com/spreadsheets/d/1q9nWasZJ-K8bFGvbE9n0qSRuKGA4Toe3Y89cKCiVtCU/edit?usp=sharing"",""สตูล!L311"")+IMPORTRANGE(""https://docs.google.com/sprea"&amp;"dsheets/d/18T20gbkS_WBjdscyTOV05cvq_JqvqQ17C81mpxf7Ncs/edit?usp=sharing"",""สุราษฎร์ธานี!L311"")"),0)</f>
        <v>0</v>
      </c>
      <c r="M311" s="47">
        <f ca="1">IFERROR(__xludf.DUMMYFUNCTION("IMPORTRANGE(""https://docs.google.com/spreadsheets/d/1kKUcYdkIfrgTSj8iHHHB2MD2FAtwyyocFgqGQn6ADyI/edit?usp=sharing"",""กระบี่!M311"")+IMPORTRANGE(""https://docs.google.com/spreadsheets/d/1GwtLaSlNZkLk7iDqcyZz22giiy40b_usZZBXYciEN1U/edit?usp=sharing"",""ชุ"&amp;"มพร!M311"")+IMPORTRANGE(""https://docs.google.com/spreadsheets/d/16pAz3pOhQEZBhvFNMa5KGgZS6iKWpsKX0pg6tQmwFpo/edit?usp=sharing"",""ตรัง!M311"")+IMPORTRANGE(""https://docs.google.com/spreadsheets/d/1Dj4jcHCTV9JXKCaMoheSXS52JE63kDKyG7bPXnFogHk/edit?usp=shar"&amp;"ing"",""นครศรีธรรมราช!M311"")+IMPORTRANGE(""https://docs.google.com/spreadsheets/d/1iodCdmuK2GR3jzUwk8tpccY2JHQQA-87DLOtJP-ooyU/edit?usp=sharing"",""นราธิวาส!M311"")+IMPORTRANGE(""https://docs.google.com/spreadsheets/d/1SDNX3JhDdYRuIOsj0Wh2M-Qa_eaXl0NbWmh"&amp;"AOTbfQAs/edit?usp=sharing"",""ปัตตานี!M311"")+IMPORTRANGE(""https://docs.google.com/spreadsheets/d/16JDLGguT8s5DsGCND1KcwHP_AWR_zDMTqLHPLJUKhaU/edit?usp=sharing"",""พังงา!M311"")+IMPORTRANGE(""https://docs.google.com/spreadsheets/d/17ht0gPKzzT3PObBL1XJkeR"&amp;"mntBXI7wGjpLV7QorqlTk/edit?usp=sharing"",""พัทลุง!M311"")+IMPORTRANGE(""https://docs.google.com/spreadsheets/d/1rd4qoM1q_hsgaolqNGfrim9gbsoLxQsda4-vOz5x_BM/edit?usp=sharing"",""ภูเก็ต!M311"")+IMPORTRANGE(""https://docs.google.com/spreadsheets/d/1woKwKjgoL"&amp;"ssDvPcPeVyezB5izizAn4X1JDrys69n6xI/edit?usp=sharing"",""ยะลา!M311"")+IMPORTRANGE(""https://docs.google.com/spreadsheets/d/1qfrKjzMhm2HJfxQ-qVlJlJQ25Hne1d0khsySbZyGtPA/edit?usp=sharing"",""ระนอง!M311"")+IMPORTRANGE(""https://docs.google.com/spreadsheets/d/"&amp;"1IbSCnFOKpZsnFogBHJnL_isstZVaOMnFiIN0fGTPZZw/edit?usp=sharing"",""สงขลา!M311"")+IMPORTRANGE(""https://docs.google.com/spreadsheets/d/1q9nWasZJ-K8bFGvbE9n0qSRuKGA4Toe3Y89cKCiVtCU/edit?usp=sharing"",""สตูล!M311"")+IMPORTRANGE(""https://docs.google.com/sprea"&amp;"dsheets/d/18T20gbkS_WBjdscyTOV05cvq_JqvqQ17C81mpxf7Ncs/edit?usp=sharing"",""สุราษฎร์ธานี!M311"")"),0)</f>
        <v>0</v>
      </c>
      <c r="N311" s="47">
        <f ca="1">IFERROR(__xludf.DUMMYFUNCTION("IMPORTRANGE(""https://docs.google.com/spreadsheets/d/1kKUcYdkIfrgTSj8iHHHB2MD2FAtwyyocFgqGQn6ADyI/edit?usp=sharing"",""กระบี่!N311"")+IMPORTRANGE(""https://docs.google.com/spreadsheets/d/1GwtLaSlNZkLk7iDqcyZz22giiy40b_usZZBXYciEN1U/edit?usp=sharing"",""ชุ"&amp;"มพร!N311"")+IMPORTRANGE(""https://docs.google.com/spreadsheets/d/16pAz3pOhQEZBhvFNMa5KGgZS6iKWpsKX0pg6tQmwFpo/edit?usp=sharing"",""ตรัง!N311"")+IMPORTRANGE(""https://docs.google.com/spreadsheets/d/1Dj4jcHCTV9JXKCaMoheSXS52JE63kDKyG7bPXnFogHk/edit?usp=shar"&amp;"ing"",""นครศรีธรรมราช!N311"")+IMPORTRANGE(""https://docs.google.com/spreadsheets/d/1iodCdmuK2GR3jzUwk8tpccY2JHQQA-87DLOtJP-ooyU/edit?usp=sharing"",""นราธิวาส!N311"")+IMPORTRANGE(""https://docs.google.com/spreadsheets/d/1SDNX3JhDdYRuIOsj0Wh2M-Qa_eaXl0NbWmh"&amp;"AOTbfQAs/edit?usp=sharing"",""ปัตตานี!N311"")+IMPORTRANGE(""https://docs.google.com/spreadsheets/d/16JDLGguT8s5DsGCND1KcwHP_AWR_zDMTqLHPLJUKhaU/edit?usp=sharing"",""พังงา!N311"")+IMPORTRANGE(""https://docs.google.com/spreadsheets/d/17ht0gPKzzT3PObBL1XJkeR"&amp;"mntBXI7wGjpLV7QorqlTk/edit?usp=sharing"",""พัทลุง!N311"")+IMPORTRANGE(""https://docs.google.com/spreadsheets/d/1rd4qoM1q_hsgaolqNGfrim9gbsoLxQsda4-vOz5x_BM/edit?usp=sharing"",""ภูเก็ต!N311"")+IMPORTRANGE(""https://docs.google.com/spreadsheets/d/1woKwKjgoL"&amp;"ssDvPcPeVyezB5izizAn4X1JDrys69n6xI/edit?usp=sharing"",""ยะลา!N311"")+IMPORTRANGE(""https://docs.google.com/spreadsheets/d/1qfrKjzMhm2HJfxQ-qVlJlJQ25Hne1d0khsySbZyGtPA/edit?usp=sharing"",""ระนอง!N311"")+IMPORTRANGE(""https://docs.google.com/spreadsheets/d/"&amp;"1IbSCnFOKpZsnFogBHJnL_isstZVaOMnFiIN0fGTPZZw/edit?usp=sharing"",""สงขลา!N311"")+IMPORTRANGE(""https://docs.google.com/spreadsheets/d/1q9nWasZJ-K8bFGvbE9n0qSRuKGA4Toe3Y89cKCiVtCU/edit?usp=sharing"",""สตูล!N311"")+IMPORTRANGE(""https://docs.google.com/sprea"&amp;"dsheets/d/18T20gbkS_WBjdscyTOV05cvq_JqvqQ17C81mpxf7Ncs/edit?usp=sharing"",""สุราษฎร์ธานี!N311"")"),0)</f>
        <v>0</v>
      </c>
      <c r="O311" s="47">
        <f t="shared" ca="1" si="223"/>
        <v>0</v>
      </c>
      <c r="P311" s="47">
        <f t="shared" ca="1" si="224"/>
        <v>0</v>
      </c>
      <c r="Q311" s="47">
        <f ca="1">IFERROR(__xludf.DUMMYFUNCTION("IMPORTRANGE(""https://docs.google.com/spreadsheets/d/1kKUcYdkIfrgTSj8iHHHB2MD2FAtwyyocFgqGQn6ADyI/edit?usp=sharing"",""กระบี่!Q311"")+IMPORTRANGE(""https://docs.google.com/spreadsheets/d/1GwtLaSlNZkLk7iDqcyZz22giiy40b_usZZBXYciEN1U/edit?usp=sharing"",""ชุ"&amp;"มพร!Q311"")+IMPORTRANGE(""https://docs.google.com/spreadsheets/d/16pAz3pOhQEZBhvFNMa5KGgZS6iKWpsKX0pg6tQmwFpo/edit?usp=sharing"",""ตรัง!Q311"")+IMPORTRANGE(""https://docs.google.com/spreadsheets/d/1Dj4jcHCTV9JXKCaMoheSXS52JE63kDKyG7bPXnFogHk/edit?usp=shar"&amp;"ing"",""นครศรีธรรมราช!Q311"")+IMPORTRANGE(""https://docs.google.com/spreadsheets/d/1iodCdmuK2GR3jzUwk8tpccY2JHQQA-87DLOtJP-ooyU/edit?usp=sharing"",""นราธิวาส!Q311"")+IMPORTRANGE(""https://docs.google.com/spreadsheets/d/1SDNX3JhDdYRuIOsj0Wh2M-Qa_eaXl0NbWmh"&amp;"AOTbfQAs/edit?usp=sharing"",""ปัตตานี!Q311"")+IMPORTRANGE(""https://docs.google.com/spreadsheets/d/16JDLGguT8s5DsGCND1KcwHP_AWR_zDMTqLHPLJUKhaU/edit?usp=sharing"",""พังงา!Q311"")+IMPORTRANGE(""https://docs.google.com/spreadsheets/d/17ht0gPKzzT3PObBL1XJkeR"&amp;"mntBXI7wGjpLV7QorqlTk/edit?usp=sharing"",""พัทลุง!Q311"")+IMPORTRANGE(""https://docs.google.com/spreadsheets/d/1rd4qoM1q_hsgaolqNGfrim9gbsoLxQsda4-vOz5x_BM/edit?usp=sharing"",""ภูเก็ต!Q311"")+IMPORTRANGE(""https://docs.google.com/spreadsheets/d/1woKwKjgoL"&amp;"ssDvPcPeVyezB5izizAn4X1JDrys69n6xI/edit?usp=sharing"",""ยะลา!Q311"")+IMPORTRANGE(""https://docs.google.com/spreadsheets/d/1qfrKjzMhm2HJfxQ-qVlJlJQ25Hne1d0khsySbZyGtPA/edit?usp=sharing"",""ระนอง!Q311"")+IMPORTRANGE(""https://docs.google.com/spreadsheets/d/"&amp;"1IbSCnFOKpZsnFogBHJnL_isstZVaOMnFiIN0fGTPZZw/edit?usp=sharing"",""สงขลา!Q311"")+IMPORTRANGE(""https://docs.google.com/spreadsheets/d/1q9nWasZJ-K8bFGvbE9n0qSRuKGA4Toe3Y89cKCiVtCU/edit?usp=sharing"",""สตูล!Q311"")+IMPORTRANGE(""https://docs.google.com/sprea"&amp;"dsheets/d/18T20gbkS_WBjdscyTOV05cvq_JqvqQ17C81mpxf7Ncs/edit?usp=sharing"",""สุราษฎร์ธานี!Q311"")"),0)</f>
        <v>0</v>
      </c>
      <c r="R311" s="47">
        <f ca="1">IFERROR(__xludf.DUMMYFUNCTION("IMPORTRANGE(""https://docs.google.com/spreadsheets/d/1kKUcYdkIfrgTSj8iHHHB2MD2FAtwyyocFgqGQn6ADyI/edit?usp=sharing"",""กระบี่!R311"")+IMPORTRANGE(""https://docs.google.com/spreadsheets/d/1GwtLaSlNZkLk7iDqcyZz22giiy40b_usZZBXYciEN1U/edit?usp=sharing"",""ชุ"&amp;"มพร!R311"")+IMPORTRANGE(""https://docs.google.com/spreadsheets/d/16pAz3pOhQEZBhvFNMa5KGgZS6iKWpsKX0pg6tQmwFpo/edit?usp=sharing"",""ตรัง!R311"")+IMPORTRANGE(""https://docs.google.com/spreadsheets/d/1Dj4jcHCTV9JXKCaMoheSXS52JE63kDKyG7bPXnFogHk/edit?usp=shar"&amp;"ing"",""นครศรีธรรมราช!R311"")+IMPORTRANGE(""https://docs.google.com/spreadsheets/d/1iodCdmuK2GR3jzUwk8tpccY2JHQQA-87DLOtJP-ooyU/edit?usp=sharing"",""นราธิวาส!R311"")+IMPORTRANGE(""https://docs.google.com/spreadsheets/d/1SDNX3JhDdYRuIOsj0Wh2M-Qa_eaXl0NbWmh"&amp;"AOTbfQAs/edit?usp=sharing"",""ปัตตานี!R311"")+IMPORTRANGE(""https://docs.google.com/spreadsheets/d/16JDLGguT8s5DsGCND1KcwHP_AWR_zDMTqLHPLJUKhaU/edit?usp=sharing"",""พังงา!R311"")+IMPORTRANGE(""https://docs.google.com/spreadsheets/d/17ht0gPKzzT3PObBL1XJkeR"&amp;"mntBXI7wGjpLV7QorqlTk/edit?usp=sharing"",""พัทลุง!R311"")+IMPORTRANGE(""https://docs.google.com/spreadsheets/d/1rd4qoM1q_hsgaolqNGfrim9gbsoLxQsda4-vOz5x_BM/edit?usp=sharing"",""ภูเก็ต!R311"")+IMPORTRANGE(""https://docs.google.com/spreadsheets/d/1woKwKjgoL"&amp;"ssDvPcPeVyezB5izizAn4X1JDrys69n6xI/edit?usp=sharing"",""ยะลา!R311"")+IMPORTRANGE(""https://docs.google.com/spreadsheets/d/1qfrKjzMhm2HJfxQ-qVlJlJQ25Hne1d0khsySbZyGtPA/edit?usp=sharing"",""ระนอง!R311"")+IMPORTRANGE(""https://docs.google.com/spreadsheets/d/"&amp;"1IbSCnFOKpZsnFogBHJnL_isstZVaOMnFiIN0fGTPZZw/edit?usp=sharing"",""สงขลา!R311"")+IMPORTRANGE(""https://docs.google.com/spreadsheets/d/1q9nWasZJ-K8bFGvbE9n0qSRuKGA4Toe3Y89cKCiVtCU/edit?usp=sharing"",""สตูล!R311"")+IMPORTRANGE(""https://docs.google.com/sprea"&amp;"dsheets/d/18T20gbkS_WBjdscyTOV05cvq_JqvqQ17C81mpxf7Ncs/edit?usp=sharing"",""สุราษฎร์ธานี!R311"")"),0)</f>
        <v>0</v>
      </c>
      <c r="S311" s="47">
        <f ca="1">IFERROR(__xludf.DUMMYFUNCTION("IMPORTRANGE(""https://docs.google.com/spreadsheets/d/1kKUcYdkIfrgTSj8iHHHB2MD2FAtwyyocFgqGQn6ADyI/edit?usp=sharing"",""กระบี่!S311"")+IMPORTRANGE(""https://docs.google.com/spreadsheets/d/1GwtLaSlNZkLk7iDqcyZz22giiy40b_usZZBXYciEN1U/edit?usp=sharing"",""ชุ"&amp;"มพร!S311"")+IMPORTRANGE(""https://docs.google.com/spreadsheets/d/16pAz3pOhQEZBhvFNMa5KGgZS6iKWpsKX0pg6tQmwFpo/edit?usp=sharing"",""ตรัง!S311"")+IMPORTRANGE(""https://docs.google.com/spreadsheets/d/1Dj4jcHCTV9JXKCaMoheSXS52JE63kDKyG7bPXnFogHk/edit?usp=shar"&amp;"ing"",""นครศรีธรรมราช!S311"")+IMPORTRANGE(""https://docs.google.com/spreadsheets/d/1iodCdmuK2GR3jzUwk8tpccY2JHQQA-87DLOtJP-ooyU/edit?usp=sharing"",""นราธิวาส!S311"")+IMPORTRANGE(""https://docs.google.com/spreadsheets/d/1SDNX3JhDdYRuIOsj0Wh2M-Qa_eaXl0NbWmh"&amp;"AOTbfQAs/edit?usp=sharing"",""ปัตตานี!S311"")+IMPORTRANGE(""https://docs.google.com/spreadsheets/d/16JDLGguT8s5DsGCND1KcwHP_AWR_zDMTqLHPLJUKhaU/edit?usp=sharing"",""พังงา!S311"")+IMPORTRANGE(""https://docs.google.com/spreadsheets/d/17ht0gPKzzT3PObBL1XJkeR"&amp;"mntBXI7wGjpLV7QorqlTk/edit?usp=sharing"",""พัทลุง!S311"")+IMPORTRANGE(""https://docs.google.com/spreadsheets/d/1rd4qoM1q_hsgaolqNGfrim9gbsoLxQsda4-vOz5x_BM/edit?usp=sharing"",""ภูเก็ต!S311"")+IMPORTRANGE(""https://docs.google.com/spreadsheets/d/1woKwKjgoL"&amp;"ssDvPcPeVyezB5izizAn4X1JDrys69n6xI/edit?usp=sharing"",""ยะลา!S311"")+IMPORTRANGE(""https://docs.google.com/spreadsheets/d/1qfrKjzMhm2HJfxQ-qVlJlJQ25Hne1d0khsySbZyGtPA/edit?usp=sharing"",""ระนอง!S311"")+IMPORTRANGE(""https://docs.google.com/spreadsheets/d/"&amp;"1IbSCnFOKpZsnFogBHJnL_isstZVaOMnFiIN0fGTPZZw/edit?usp=sharing"",""สงขลา!S311"")+IMPORTRANGE(""https://docs.google.com/spreadsheets/d/1q9nWasZJ-K8bFGvbE9n0qSRuKGA4Toe3Y89cKCiVtCU/edit?usp=sharing"",""สตูล!S311"")+IMPORTRANGE(""https://docs.google.com/sprea"&amp;"dsheets/d/18T20gbkS_WBjdscyTOV05cvq_JqvqQ17C81mpxf7Ncs/edit?usp=sharing"",""สุราษฎร์ธานี!S311"")"),0)</f>
        <v>0</v>
      </c>
      <c r="T311" s="47">
        <f t="shared" ca="1" si="226"/>
        <v>0</v>
      </c>
      <c r="U311" s="47">
        <f t="shared" ca="1" si="227"/>
        <v>0</v>
      </c>
    </row>
    <row r="312" spans="1:21" ht="19.5" x14ac:dyDescent="0.3">
      <c r="A312" s="138"/>
      <c r="B312" s="139"/>
      <c r="C312" s="129" t="s">
        <v>18</v>
      </c>
      <c r="D312" s="140" t="s">
        <v>38</v>
      </c>
      <c r="E312" s="141"/>
      <c r="F312" s="141"/>
      <c r="G312" s="142"/>
      <c r="H312" s="143"/>
      <c r="I312" s="45"/>
      <c r="J312" s="45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x14ac:dyDescent="0.25">
      <c r="A313" s="138"/>
      <c r="B313" s="139"/>
      <c r="C313" s="139"/>
      <c r="D313" s="149" t="s">
        <v>128</v>
      </c>
      <c r="E313" s="145"/>
      <c r="F313" s="145"/>
      <c r="G313" s="143"/>
      <c r="H313" s="143"/>
      <c r="I313" s="45"/>
      <c r="J313" s="152">
        <f ca="1">IFERROR(__xludf.DUMMYFUNCTION("IMPORTRANGE(""https://docs.google.com/spreadsheets/d/1kKUcYdkIfrgTSj8iHHHB2MD2FAtwyyocFgqGQn6ADyI/edit?usp=sharing"",""กระบี่!J313"")+IMPORTRANGE(""https://docs.google.com/spreadsheets/d/1GwtLaSlNZkLk7iDqcyZz22giiy40b_usZZBXYciEN1U/edit?usp=sharing"",""ชุ"&amp;"มพร!J313"")+IMPORTRANGE(""https://docs.google.com/spreadsheets/d/16pAz3pOhQEZBhvFNMa5KGgZS6iKWpsKX0pg6tQmwFpo/edit?usp=sharing"",""ตรัง!J313"")+IMPORTRANGE(""https://docs.google.com/spreadsheets/d/1Dj4jcHCTV9JXKCaMoheSXS52JE63kDKyG7bPXnFogHk/edit?usp=shar"&amp;"ing"",""นครศรีธรรมราช!J313"")+IMPORTRANGE(""https://docs.google.com/spreadsheets/d/1iodCdmuK2GR3jzUwk8tpccY2JHQQA-87DLOtJP-ooyU/edit?usp=sharing"",""นราธิวาส!J313"")+IMPORTRANGE(""https://docs.google.com/spreadsheets/d/1SDNX3JhDdYRuIOsj0Wh2M-Qa_eaXl0NbWmh"&amp;"AOTbfQAs/edit?usp=sharing"",""ปัตตานี!J313"")+IMPORTRANGE(""https://docs.google.com/spreadsheets/d/16JDLGguT8s5DsGCND1KcwHP_AWR_zDMTqLHPLJUKhaU/edit?usp=sharing"",""พังงา!J313"")+IMPORTRANGE(""https://docs.google.com/spreadsheets/d/17ht0gPKzzT3PObBL1XJkeR"&amp;"mntBXI7wGjpLV7QorqlTk/edit?usp=sharing"",""พัทลุง!J313"")+IMPORTRANGE(""https://docs.google.com/spreadsheets/d/1rd4qoM1q_hsgaolqNGfrim9gbsoLxQsda4-vOz5x_BM/edit?usp=sharing"",""ภูเก็ต!J313"")+IMPORTRANGE(""https://docs.google.com/spreadsheets/d/1woKwKjgoL"&amp;"ssDvPcPeVyezB5izizAn4X1JDrys69n6xI/edit?usp=sharing"",""ยะลา!J313"")+IMPORTRANGE(""https://docs.google.com/spreadsheets/d/1qfrKjzMhm2HJfxQ-qVlJlJQ25Hne1d0khsySbZyGtPA/edit?usp=sharing"",""ระนอง!J313"")+IMPORTRANGE(""https://docs.google.com/spreadsheets/d/"&amp;"1IbSCnFOKpZsnFogBHJnL_isstZVaOMnFiIN0fGTPZZw/edit?usp=sharing"",""สงขลา!J313"")+IMPORTRANGE(""https://docs.google.com/spreadsheets/d/1q9nWasZJ-K8bFGvbE9n0qSRuKGA4Toe3Y89cKCiVtCU/edit?usp=sharing"",""สตูล!J313"")+IMPORTRANGE(""https://docs.google.com/sprea"&amp;"dsheets/d/18T20gbkS_WBjdscyTOV05cvq_JqvqQ17C81mpxf7Ncs/edit?usp=sharing"",""สุราษฎร์ธานี!J313"")"),0)</f>
        <v>0</v>
      </c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kKUcYdkIfrgTSj8iHHHB2MD2FAtwyyocFgqGQn6ADyI/edit?usp=sharing"",""กระบี่!I314"")+IMPORTRANGE(""https://docs.google.com/spreadsheets/d/1GwtLaSlNZkLk7iDqcyZz22giiy40b_usZZBXYciEN1U/edit?usp=sharing"",""ชุ"&amp;"มพร!I314"")+IMPORTRANGE(""https://docs.google.com/spreadsheets/d/16pAz3pOhQEZBhvFNMa5KGgZS6iKWpsKX0pg6tQmwFpo/edit?usp=sharing"",""ตรัง!I314"")+IMPORTRANGE(""https://docs.google.com/spreadsheets/d/1Dj4jcHCTV9JXKCaMoheSXS52JE63kDKyG7bPXnFogHk/edit?usp=shar"&amp;"ing"",""นครศรีธรรมราช!I314"")+IMPORTRANGE(""https://docs.google.com/spreadsheets/d/1iodCdmuK2GR3jzUwk8tpccY2JHQQA-87DLOtJP-ooyU/edit?usp=sharing"",""นราธิวาส!I314"")+IMPORTRANGE(""https://docs.google.com/spreadsheets/d/1SDNX3JhDdYRuIOsj0Wh2M-Qa_eaXl0NbWmh"&amp;"AOTbfQAs/edit?usp=sharing"",""ปัตตานี!I314"")+IMPORTRANGE(""https://docs.google.com/spreadsheets/d/16JDLGguT8s5DsGCND1KcwHP_AWR_zDMTqLHPLJUKhaU/edit?usp=sharing"",""พังงา!I314"")+IMPORTRANGE(""https://docs.google.com/spreadsheets/d/17ht0gPKzzT3PObBL1XJkeR"&amp;"mntBXI7wGjpLV7QorqlTk/edit?usp=sharing"",""พัทลุง!I314"")+IMPORTRANGE(""https://docs.google.com/spreadsheets/d/1rd4qoM1q_hsgaolqNGfrim9gbsoLxQsda4-vOz5x_BM/edit?usp=sharing"",""ภูเก็ต!I314"")+IMPORTRANGE(""https://docs.google.com/spreadsheets/d/1woKwKjgoL"&amp;"ssDvPcPeVyezB5izizAn4X1JDrys69n6xI/edit?usp=sharing"",""ยะลา!I314"")+IMPORTRANGE(""https://docs.google.com/spreadsheets/d/1qfrKjzMhm2HJfxQ-qVlJlJQ25Hne1d0khsySbZyGtPA/edit?usp=sharing"",""ระนอง!I314"")+IMPORTRANGE(""https://docs.google.com/spreadsheets/d/"&amp;"1IbSCnFOKpZsnFogBHJnL_isstZVaOMnFiIN0fGTPZZw/edit?usp=sharing"",""สงขลา!I314"")+IMPORTRANGE(""https://docs.google.com/spreadsheets/d/1q9nWasZJ-K8bFGvbE9n0qSRuKGA4Toe3Y89cKCiVtCU/edit?usp=sharing"",""สตูล!I314"")+IMPORTRANGE(""https://docs.google.com/sprea"&amp;"dsheets/d/18T20gbkS_WBjdscyTOV05cvq_JqvqQ17C81mpxf7Ncs/edit?usp=sharing"",""สุราษฎร์ธานี!I314"")"),235)</f>
        <v>235</v>
      </c>
      <c r="J314" s="152">
        <f ca="1">IFERROR(__xludf.DUMMYFUNCTION("IMPORTRANGE(""https://docs.google.com/spreadsheets/d/1kKUcYdkIfrgTSj8iHHHB2MD2FAtwyyocFgqGQn6ADyI/edit?usp=sharing"",""กระบี่!J314"")+IMPORTRANGE(""https://docs.google.com/spreadsheets/d/1GwtLaSlNZkLk7iDqcyZz22giiy40b_usZZBXYciEN1U/edit?usp=sharing"",""ชุ"&amp;"มพร!J314"")+IMPORTRANGE(""https://docs.google.com/spreadsheets/d/16pAz3pOhQEZBhvFNMa5KGgZS6iKWpsKX0pg6tQmwFpo/edit?usp=sharing"",""ตรัง!J314"")+IMPORTRANGE(""https://docs.google.com/spreadsheets/d/1Dj4jcHCTV9JXKCaMoheSXS52JE63kDKyG7bPXnFogHk/edit?usp=shar"&amp;"ing"",""นครศรีธรรมราช!J314"")+IMPORTRANGE(""https://docs.google.com/spreadsheets/d/1iodCdmuK2GR3jzUwk8tpccY2JHQQA-87DLOtJP-ooyU/edit?usp=sharing"",""นราธิวาส!J314"")+IMPORTRANGE(""https://docs.google.com/spreadsheets/d/1SDNX3JhDdYRuIOsj0Wh2M-Qa_eaXl0NbWmh"&amp;"AOTbfQAs/edit?usp=sharing"",""ปัตตานี!J314"")+IMPORTRANGE(""https://docs.google.com/spreadsheets/d/16JDLGguT8s5DsGCND1KcwHP_AWR_zDMTqLHPLJUKhaU/edit?usp=sharing"",""พังงา!J314"")+IMPORTRANGE(""https://docs.google.com/spreadsheets/d/17ht0gPKzzT3PObBL1XJkeR"&amp;"mntBXI7wGjpLV7QorqlTk/edit?usp=sharing"",""พัทลุง!J314"")+IMPORTRANGE(""https://docs.google.com/spreadsheets/d/1rd4qoM1q_hsgaolqNGfrim9gbsoLxQsda4-vOz5x_BM/edit?usp=sharing"",""ภูเก็ต!J314"")+IMPORTRANGE(""https://docs.google.com/spreadsheets/d/1woKwKjgoL"&amp;"ssDvPcPeVyezB5izizAn4X1JDrys69n6xI/edit?usp=sharing"",""ยะลา!J314"")+IMPORTRANGE(""https://docs.google.com/spreadsheets/d/1qfrKjzMhm2HJfxQ-qVlJlJQ25Hne1d0khsySbZyGtPA/edit?usp=sharing"",""ระนอง!J314"")+IMPORTRANGE(""https://docs.google.com/spreadsheets/d/"&amp;"1IbSCnFOKpZsnFogBHJnL_isstZVaOMnFiIN0fGTPZZw/edit?usp=sharing"",""สงขลา!J314"")+IMPORTRANGE(""https://docs.google.com/spreadsheets/d/1q9nWasZJ-K8bFGvbE9n0qSRuKGA4Toe3Y89cKCiVtCU/edit?usp=sharing"",""สตูล!J314"")+IMPORTRANGE(""https://docs.google.com/sprea"&amp;"dsheets/d/18T20gbkS_WBjdscyTOV05cvq_JqvqQ17C81mpxf7Ncs/edit?usp=sharing"",""สุราษฎร์ธานี!J314"")"),50)</f>
        <v>50</v>
      </c>
      <c r="K314" s="47">
        <f t="shared" ref="K314:K317" ca="1" si="236">IF(I314&gt;0,J314*100/I314,0)</f>
        <v>21.276595744680851</v>
      </c>
      <c r="L314" s="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x14ac:dyDescent="0.25">
      <c r="A315" s="138"/>
      <c r="B315" s="139"/>
      <c r="C315" s="139"/>
      <c r="D315" s="149" t="s">
        <v>129</v>
      </c>
      <c r="E315" s="145"/>
      <c r="F315" s="145"/>
      <c r="G315" s="143"/>
      <c r="H315" s="150" t="s">
        <v>35</v>
      </c>
      <c r="I315" s="152">
        <f ca="1">IFERROR(__xludf.DUMMYFUNCTION("IMPORTRANGE(""https://docs.google.com/spreadsheets/d/1kKUcYdkIfrgTSj8iHHHB2MD2FAtwyyocFgqGQn6ADyI/edit?usp=sharing"",""กระบี่!I315"")+IMPORTRANGE(""https://docs.google.com/spreadsheets/d/1GwtLaSlNZkLk7iDqcyZz22giiy40b_usZZBXYciEN1U/edit?usp=sharing"",""ชุ"&amp;"มพร!I315"")+IMPORTRANGE(""https://docs.google.com/spreadsheets/d/16pAz3pOhQEZBhvFNMa5KGgZS6iKWpsKX0pg6tQmwFpo/edit?usp=sharing"",""ตรัง!I315"")+IMPORTRANGE(""https://docs.google.com/spreadsheets/d/1Dj4jcHCTV9JXKCaMoheSXS52JE63kDKyG7bPXnFogHk/edit?usp=shar"&amp;"ing"",""นครศรีธรรมราช!I315"")+IMPORTRANGE(""https://docs.google.com/spreadsheets/d/1iodCdmuK2GR3jzUwk8tpccY2JHQQA-87DLOtJP-ooyU/edit?usp=sharing"",""นราธิวาส!I315"")+IMPORTRANGE(""https://docs.google.com/spreadsheets/d/1SDNX3JhDdYRuIOsj0Wh2M-Qa_eaXl0NbWmh"&amp;"AOTbfQAs/edit?usp=sharing"",""ปัตตานี!I315"")+IMPORTRANGE(""https://docs.google.com/spreadsheets/d/16JDLGguT8s5DsGCND1KcwHP_AWR_zDMTqLHPLJUKhaU/edit?usp=sharing"",""พังงา!I315"")+IMPORTRANGE(""https://docs.google.com/spreadsheets/d/17ht0gPKzzT3PObBL1XJkeR"&amp;"mntBXI7wGjpLV7QorqlTk/edit?usp=sharing"",""พัทลุง!I315"")+IMPORTRANGE(""https://docs.google.com/spreadsheets/d/1rd4qoM1q_hsgaolqNGfrim9gbsoLxQsda4-vOz5x_BM/edit?usp=sharing"",""ภูเก็ต!I315"")+IMPORTRANGE(""https://docs.google.com/spreadsheets/d/1woKwKjgoL"&amp;"ssDvPcPeVyezB5izizAn4X1JDrys69n6xI/edit?usp=sharing"",""ยะลา!I315"")+IMPORTRANGE(""https://docs.google.com/spreadsheets/d/1qfrKjzMhm2HJfxQ-qVlJlJQ25Hne1d0khsySbZyGtPA/edit?usp=sharing"",""ระนอง!I315"")+IMPORTRANGE(""https://docs.google.com/spreadsheets/d/"&amp;"1IbSCnFOKpZsnFogBHJnL_isstZVaOMnFiIN0fGTPZZw/edit?usp=sharing"",""สงขลา!I315"")+IMPORTRANGE(""https://docs.google.com/spreadsheets/d/1q9nWasZJ-K8bFGvbE9n0qSRuKGA4Toe3Y89cKCiVtCU/edit?usp=sharing"",""สตูล!I315"")+IMPORTRANGE(""https://docs.google.com/sprea"&amp;"dsheets/d/18T20gbkS_WBjdscyTOV05cvq_JqvqQ17C81mpxf7Ncs/edit?usp=sharing"",""สุราษฎร์ธานี!I315"")"),0)</f>
        <v>0</v>
      </c>
      <c r="J315" s="152">
        <f ca="1">IFERROR(__xludf.DUMMYFUNCTION("IMPORTRANGE(""https://docs.google.com/spreadsheets/d/1kKUcYdkIfrgTSj8iHHHB2MD2FAtwyyocFgqGQn6ADyI/edit?usp=sharing"",""กระบี่!J315"")+IMPORTRANGE(""https://docs.google.com/spreadsheets/d/1GwtLaSlNZkLk7iDqcyZz22giiy40b_usZZBXYciEN1U/edit?usp=sharing"",""ชุ"&amp;"มพร!J315"")+IMPORTRANGE(""https://docs.google.com/spreadsheets/d/16pAz3pOhQEZBhvFNMa5KGgZS6iKWpsKX0pg6tQmwFpo/edit?usp=sharing"",""ตรัง!J315"")+IMPORTRANGE(""https://docs.google.com/spreadsheets/d/1Dj4jcHCTV9JXKCaMoheSXS52JE63kDKyG7bPXnFogHk/edit?usp=shar"&amp;"ing"",""นครศรีธรรมราช!J315"")+IMPORTRANGE(""https://docs.google.com/spreadsheets/d/1iodCdmuK2GR3jzUwk8tpccY2JHQQA-87DLOtJP-ooyU/edit?usp=sharing"",""นราธิวาส!J315"")+IMPORTRANGE(""https://docs.google.com/spreadsheets/d/1SDNX3JhDdYRuIOsj0Wh2M-Qa_eaXl0NbWmh"&amp;"AOTbfQAs/edit?usp=sharing"",""ปัตตานี!J315"")+IMPORTRANGE(""https://docs.google.com/spreadsheets/d/16JDLGguT8s5DsGCND1KcwHP_AWR_zDMTqLHPLJUKhaU/edit?usp=sharing"",""พังงา!J315"")+IMPORTRANGE(""https://docs.google.com/spreadsheets/d/17ht0gPKzzT3PObBL1XJkeR"&amp;"mntBXI7wGjpLV7QorqlTk/edit?usp=sharing"",""พัทลุง!J315"")+IMPORTRANGE(""https://docs.google.com/spreadsheets/d/1rd4qoM1q_hsgaolqNGfrim9gbsoLxQsda4-vOz5x_BM/edit?usp=sharing"",""ภูเก็ต!J315"")+IMPORTRANGE(""https://docs.google.com/spreadsheets/d/1woKwKjgoL"&amp;"ssDvPcPeVyezB5izizAn4X1JDrys69n6xI/edit?usp=sharing"",""ยะลา!J315"")+IMPORTRANGE(""https://docs.google.com/spreadsheets/d/1qfrKjzMhm2HJfxQ-qVlJlJQ25Hne1d0khsySbZyGtPA/edit?usp=sharing"",""ระนอง!J315"")+IMPORTRANGE(""https://docs.google.com/spreadsheets/d/"&amp;"1IbSCnFOKpZsnFogBHJnL_isstZVaOMnFiIN0fGTPZZw/edit?usp=sharing"",""สงขลา!J315"")+IMPORTRANGE(""https://docs.google.com/spreadsheets/d/1q9nWasZJ-K8bFGvbE9n0qSRuKGA4Toe3Y89cKCiVtCU/edit?usp=sharing"",""สตูล!J315"")+IMPORTRANGE(""https://docs.google.com/sprea"&amp;"dsheets/d/18T20gbkS_WBjdscyTOV05cvq_JqvqQ17C81mpxf7Ncs/edit?usp=sharing"",""สุราษฎร์ธานี!J315"")"),0)</f>
        <v>0</v>
      </c>
      <c r="K315" s="47">
        <f t="shared" ca="1" si="236"/>
        <v>0</v>
      </c>
      <c r="L315" s="46"/>
      <c r="M315" s="46"/>
      <c r="N315" s="46"/>
      <c r="O315" s="46"/>
      <c r="P315" s="46"/>
      <c r="Q315" s="46"/>
      <c r="R315" s="46"/>
      <c r="S315" s="46"/>
      <c r="T315" s="46"/>
      <c r="U315" s="46"/>
    </row>
    <row r="316" spans="1:21" ht="18.75" x14ac:dyDescent="0.25">
      <c r="A316" s="138"/>
      <c r="B316" s="139"/>
      <c r="C316" s="139"/>
      <c r="D316" s="149" t="s">
        <v>50</v>
      </c>
      <c r="E316" s="145"/>
      <c r="F316" s="145"/>
      <c r="G316" s="143"/>
      <c r="H316" s="150" t="s">
        <v>35</v>
      </c>
      <c r="I316" s="152">
        <f ca="1">IFERROR(__xludf.DUMMYFUNCTION("IMPORTRANGE(""https://docs.google.com/spreadsheets/d/1kKUcYdkIfrgTSj8iHHHB2MD2FAtwyyocFgqGQn6ADyI/edit?usp=sharing"",""กระบี่!I316"")+IMPORTRANGE(""https://docs.google.com/spreadsheets/d/1GwtLaSlNZkLk7iDqcyZz22giiy40b_usZZBXYciEN1U/edit?usp=sharing"",""ชุ"&amp;"มพร!I316"")+IMPORTRANGE(""https://docs.google.com/spreadsheets/d/16pAz3pOhQEZBhvFNMa5KGgZS6iKWpsKX0pg6tQmwFpo/edit?usp=sharing"",""ตรัง!I316"")+IMPORTRANGE(""https://docs.google.com/spreadsheets/d/1Dj4jcHCTV9JXKCaMoheSXS52JE63kDKyG7bPXnFogHk/edit?usp=shar"&amp;"ing"",""นครศรีธรรมราช!I316"")+IMPORTRANGE(""https://docs.google.com/spreadsheets/d/1iodCdmuK2GR3jzUwk8tpccY2JHQQA-87DLOtJP-ooyU/edit?usp=sharing"",""นราธิวาส!I316"")+IMPORTRANGE(""https://docs.google.com/spreadsheets/d/1SDNX3JhDdYRuIOsj0Wh2M-Qa_eaXl0NbWmh"&amp;"AOTbfQAs/edit?usp=sharing"",""ปัตตานี!I316"")+IMPORTRANGE(""https://docs.google.com/spreadsheets/d/16JDLGguT8s5DsGCND1KcwHP_AWR_zDMTqLHPLJUKhaU/edit?usp=sharing"",""พังงา!I316"")+IMPORTRANGE(""https://docs.google.com/spreadsheets/d/17ht0gPKzzT3PObBL1XJkeR"&amp;"mntBXI7wGjpLV7QorqlTk/edit?usp=sharing"",""พัทลุง!I316"")+IMPORTRANGE(""https://docs.google.com/spreadsheets/d/1rd4qoM1q_hsgaolqNGfrim9gbsoLxQsda4-vOz5x_BM/edit?usp=sharing"",""ภูเก็ต!I316"")+IMPORTRANGE(""https://docs.google.com/spreadsheets/d/1woKwKjgoL"&amp;"ssDvPcPeVyezB5izizAn4X1JDrys69n6xI/edit?usp=sharing"",""ยะลา!I316"")+IMPORTRANGE(""https://docs.google.com/spreadsheets/d/1qfrKjzMhm2HJfxQ-qVlJlJQ25Hne1d0khsySbZyGtPA/edit?usp=sharing"",""ระนอง!I316"")+IMPORTRANGE(""https://docs.google.com/spreadsheets/d/"&amp;"1IbSCnFOKpZsnFogBHJnL_isstZVaOMnFiIN0fGTPZZw/edit?usp=sharing"",""สงขลา!I316"")+IMPORTRANGE(""https://docs.google.com/spreadsheets/d/1q9nWasZJ-K8bFGvbE9n0qSRuKGA4Toe3Y89cKCiVtCU/edit?usp=sharing"",""สตูล!I316"")+IMPORTRANGE(""https://docs.google.com/sprea"&amp;"dsheets/d/18T20gbkS_WBjdscyTOV05cvq_JqvqQ17C81mpxf7Ncs/edit?usp=sharing"",""สุราษฎร์ธานี!I316"")"),0)</f>
        <v>0</v>
      </c>
      <c r="J316" s="152">
        <f ca="1">IFERROR(__xludf.DUMMYFUNCTION("IMPORTRANGE(""https://docs.google.com/spreadsheets/d/1kKUcYdkIfrgTSj8iHHHB2MD2FAtwyyocFgqGQn6ADyI/edit?usp=sharing"",""กระบี่!J316"")+IMPORTRANGE(""https://docs.google.com/spreadsheets/d/1GwtLaSlNZkLk7iDqcyZz22giiy40b_usZZBXYciEN1U/edit?usp=sharing"",""ชุ"&amp;"มพร!J316"")+IMPORTRANGE(""https://docs.google.com/spreadsheets/d/16pAz3pOhQEZBhvFNMa5KGgZS6iKWpsKX0pg6tQmwFpo/edit?usp=sharing"",""ตรัง!J316"")+IMPORTRANGE(""https://docs.google.com/spreadsheets/d/1Dj4jcHCTV9JXKCaMoheSXS52JE63kDKyG7bPXnFogHk/edit?usp=shar"&amp;"ing"",""นครศรีธรรมราช!J316"")+IMPORTRANGE(""https://docs.google.com/spreadsheets/d/1iodCdmuK2GR3jzUwk8tpccY2JHQQA-87DLOtJP-ooyU/edit?usp=sharing"",""นราธิวาส!J316"")+IMPORTRANGE(""https://docs.google.com/spreadsheets/d/1SDNX3JhDdYRuIOsj0Wh2M-Qa_eaXl0NbWmh"&amp;"AOTbfQAs/edit?usp=sharing"",""ปัตตานี!J316"")+IMPORTRANGE(""https://docs.google.com/spreadsheets/d/16JDLGguT8s5DsGCND1KcwHP_AWR_zDMTqLHPLJUKhaU/edit?usp=sharing"",""พังงา!J316"")+IMPORTRANGE(""https://docs.google.com/spreadsheets/d/17ht0gPKzzT3PObBL1XJkeR"&amp;"mntBXI7wGjpLV7QorqlTk/edit?usp=sharing"",""พัทลุง!J316"")+IMPORTRANGE(""https://docs.google.com/spreadsheets/d/1rd4qoM1q_hsgaolqNGfrim9gbsoLxQsda4-vOz5x_BM/edit?usp=sharing"",""ภูเก็ต!J316"")+IMPORTRANGE(""https://docs.google.com/spreadsheets/d/1woKwKjgoL"&amp;"ssDvPcPeVyezB5izizAn4X1JDrys69n6xI/edit?usp=sharing"",""ยะลา!J316"")+IMPORTRANGE(""https://docs.google.com/spreadsheets/d/1qfrKjzMhm2HJfxQ-qVlJlJQ25Hne1d0khsySbZyGtPA/edit?usp=sharing"",""ระนอง!J316"")+IMPORTRANGE(""https://docs.google.com/spreadsheets/d/"&amp;"1IbSCnFOKpZsnFogBHJnL_isstZVaOMnFiIN0fGTPZZw/edit?usp=sharing"",""สงขลา!J316"")+IMPORTRANGE(""https://docs.google.com/spreadsheets/d/1q9nWasZJ-K8bFGvbE9n0qSRuKGA4Toe3Y89cKCiVtCU/edit?usp=sharing"",""สตูล!J316"")+IMPORTRANGE(""https://docs.google.com/sprea"&amp;"dsheets/d/18T20gbkS_WBjdscyTOV05cvq_JqvqQ17C81mpxf7Ncs/edit?usp=sharing"",""สุราษฎร์ธานี!J316"")"),0)</f>
        <v>0</v>
      </c>
      <c r="K316" s="47">
        <f t="shared" ca="1" si="236"/>
        <v>0</v>
      </c>
      <c r="L316" s="46"/>
      <c r="M316" s="46"/>
      <c r="N316" s="46"/>
      <c r="O316" s="46"/>
      <c r="P316" s="46"/>
      <c r="Q316" s="46"/>
      <c r="R316" s="46"/>
      <c r="S316" s="46"/>
      <c r="T316" s="46"/>
      <c r="U316" s="46"/>
    </row>
    <row r="317" spans="1:21" ht="18.75" x14ac:dyDescent="0.25">
      <c r="A317" s="217"/>
      <c r="B317" s="159"/>
      <c r="C317" s="159"/>
      <c r="D317" s="48" t="s">
        <v>130</v>
      </c>
      <c r="E317" s="41"/>
      <c r="F317" s="41"/>
      <c r="G317" s="43"/>
      <c r="H317" s="44" t="s">
        <v>35</v>
      </c>
      <c r="I317" s="152">
        <f ca="1">IFERROR(__xludf.DUMMYFUNCTION("IMPORTRANGE(""https://docs.google.com/spreadsheets/d/1kKUcYdkIfrgTSj8iHHHB2MD2FAtwyyocFgqGQn6ADyI/edit?usp=sharing"",""กระบี่!I317"")+IMPORTRANGE(""https://docs.google.com/spreadsheets/d/1GwtLaSlNZkLk7iDqcyZz22giiy40b_usZZBXYciEN1U/edit?usp=sharing"",""ชุ"&amp;"มพร!I317"")+IMPORTRANGE(""https://docs.google.com/spreadsheets/d/16pAz3pOhQEZBhvFNMa5KGgZS6iKWpsKX0pg6tQmwFpo/edit?usp=sharing"",""ตรัง!I317"")+IMPORTRANGE(""https://docs.google.com/spreadsheets/d/1Dj4jcHCTV9JXKCaMoheSXS52JE63kDKyG7bPXnFogHk/edit?usp=shar"&amp;"ing"",""นครศรีธรรมราช!I317"")+IMPORTRANGE(""https://docs.google.com/spreadsheets/d/1iodCdmuK2GR3jzUwk8tpccY2JHQQA-87DLOtJP-ooyU/edit?usp=sharing"",""นราธิวาส!I317"")+IMPORTRANGE(""https://docs.google.com/spreadsheets/d/1SDNX3JhDdYRuIOsj0Wh2M-Qa_eaXl0NbWmh"&amp;"AOTbfQAs/edit?usp=sharing"",""ปัตตานี!I317"")+IMPORTRANGE(""https://docs.google.com/spreadsheets/d/16JDLGguT8s5DsGCND1KcwHP_AWR_zDMTqLHPLJUKhaU/edit?usp=sharing"",""พังงา!I317"")+IMPORTRANGE(""https://docs.google.com/spreadsheets/d/17ht0gPKzzT3PObBL1XJkeR"&amp;"mntBXI7wGjpLV7QorqlTk/edit?usp=sharing"",""พัทลุง!I317"")+IMPORTRANGE(""https://docs.google.com/spreadsheets/d/1rd4qoM1q_hsgaolqNGfrim9gbsoLxQsda4-vOz5x_BM/edit?usp=sharing"",""ภูเก็ต!I317"")+IMPORTRANGE(""https://docs.google.com/spreadsheets/d/1woKwKjgoL"&amp;"ssDvPcPeVyezB5izizAn4X1JDrys69n6xI/edit?usp=sharing"",""ยะลา!I317"")+IMPORTRANGE(""https://docs.google.com/spreadsheets/d/1qfrKjzMhm2HJfxQ-qVlJlJQ25Hne1d0khsySbZyGtPA/edit?usp=sharing"",""ระนอง!I317"")+IMPORTRANGE(""https://docs.google.com/spreadsheets/d/"&amp;"1IbSCnFOKpZsnFogBHJnL_isstZVaOMnFiIN0fGTPZZw/edit?usp=sharing"",""สงขลา!I317"")+IMPORTRANGE(""https://docs.google.com/spreadsheets/d/1q9nWasZJ-K8bFGvbE9n0qSRuKGA4Toe3Y89cKCiVtCU/edit?usp=sharing"",""สตูล!I317"")+IMPORTRANGE(""https://docs.google.com/sprea"&amp;"dsheets/d/18T20gbkS_WBjdscyTOV05cvq_JqvqQ17C81mpxf7Ncs/edit?usp=sharing"",""สุราษฎร์ธานี!I317"")"),0)</f>
        <v>0</v>
      </c>
      <c r="J317" s="152">
        <f ca="1">IFERROR(__xludf.DUMMYFUNCTION("IMPORTRANGE(""https://docs.google.com/spreadsheets/d/1kKUcYdkIfrgTSj8iHHHB2MD2FAtwyyocFgqGQn6ADyI/edit?usp=sharing"",""กระบี่!J317"")+IMPORTRANGE(""https://docs.google.com/spreadsheets/d/1GwtLaSlNZkLk7iDqcyZz22giiy40b_usZZBXYciEN1U/edit?usp=sharing"",""ชุ"&amp;"มพร!J317"")+IMPORTRANGE(""https://docs.google.com/spreadsheets/d/16pAz3pOhQEZBhvFNMa5KGgZS6iKWpsKX0pg6tQmwFpo/edit?usp=sharing"",""ตรัง!J317"")+IMPORTRANGE(""https://docs.google.com/spreadsheets/d/1Dj4jcHCTV9JXKCaMoheSXS52JE63kDKyG7bPXnFogHk/edit?usp=shar"&amp;"ing"",""นครศรีธรรมราช!J317"")+IMPORTRANGE(""https://docs.google.com/spreadsheets/d/1iodCdmuK2GR3jzUwk8tpccY2JHQQA-87DLOtJP-ooyU/edit?usp=sharing"",""นราธิวาส!J317"")+IMPORTRANGE(""https://docs.google.com/spreadsheets/d/1SDNX3JhDdYRuIOsj0Wh2M-Qa_eaXl0NbWmh"&amp;"AOTbfQAs/edit?usp=sharing"",""ปัตตานี!J317"")+IMPORTRANGE(""https://docs.google.com/spreadsheets/d/16JDLGguT8s5DsGCND1KcwHP_AWR_zDMTqLHPLJUKhaU/edit?usp=sharing"",""พังงา!J317"")+IMPORTRANGE(""https://docs.google.com/spreadsheets/d/17ht0gPKzzT3PObBL1XJkeR"&amp;"mntBXI7wGjpLV7QorqlTk/edit?usp=sharing"",""พัทลุง!J317"")+IMPORTRANGE(""https://docs.google.com/spreadsheets/d/1rd4qoM1q_hsgaolqNGfrim9gbsoLxQsda4-vOz5x_BM/edit?usp=sharing"",""ภูเก็ต!J317"")+IMPORTRANGE(""https://docs.google.com/spreadsheets/d/1woKwKjgoL"&amp;"ssDvPcPeVyezB5izizAn4X1JDrys69n6xI/edit?usp=sharing"",""ยะลา!J317"")+IMPORTRANGE(""https://docs.google.com/spreadsheets/d/1qfrKjzMhm2HJfxQ-qVlJlJQ25Hne1d0khsySbZyGtPA/edit?usp=sharing"",""ระนอง!J317"")+IMPORTRANGE(""https://docs.google.com/spreadsheets/d/"&amp;"1IbSCnFOKpZsnFogBHJnL_isstZVaOMnFiIN0fGTPZZw/edit?usp=sharing"",""สงขลา!J317"")+IMPORTRANGE(""https://docs.google.com/spreadsheets/d/1q9nWasZJ-K8bFGvbE9n0qSRuKGA4Toe3Y89cKCiVtCU/edit?usp=sharing"",""สตูล!J317"")+IMPORTRANGE(""https://docs.google.com/sprea"&amp;"dsheets/d/18T20gbkS_WBjdscyTOV05cvq_JqvqQ17C81mpxf7Ncs/edit?usp=sharing"",""สุราษฎร์ธานี!J317"")"),0)</f>
        <v>0</v>
      </c>
      <c r="K317" s="47">
        <f t="shared" ca="1" si="236"/>
        <v>0</v>
      </c>
      <c r="L317" s="46"/>
      <c r="M317" s="46"/>
      <c r="N317" s="46"/>
      <c r="O317" s="46"/>
      <c r="P317" s="46"/>
      <c r="Q317" s="46"/>
      <c r="R317" s="46"/>
      <c r="S317" s="46"/>
      <c r="T317" s="46"/>
      <c r="U317" s="46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304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t="shared" ref="I319:J319" ca="1" si="237">I330</f>
        <v>4</v>
      </c>
      <c r="J319" s="310">
        <f t="shared" ca="1" si="237"/>
        <v>2</v>
      </c>
      <c r="K319" s="311">
        <f ca="1">IF(I319&gt;0,J319*100/I319,0)</f>
        <v>50</v>
      </c>
      <c r="L319" s="312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129" t="s">
        <v>18</v>
      </c>
      <c r="D320" s="130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132">
        <f t="shared" ref="L320:N320" ca="1" si="238">L321+L322</f>
        <v>5097000</v>
      </c>
      <c r="M320" s="132">
        <f t="shared" ca="1" si="238"/>
        <v>5097000</v>
      </c>
      <c r="N320" s="132">
        <f t="shared" ca="1" si="238"/>
        <v>3959630.09</v>
      </c>
      <c r="O320" s="132">
        <f t="shared" ref="O320:O328" ca="1" si="239">IF(L320&gt;0,N320*100/L320,0)</f>
        <v>77.685503041004509</v>
      </c>
      <c r="P320" s="132">
        <f t="shared" ref="P320:P328" ca="1" si="240">IF(M320&gt;0,N320*100/M320,0)</f>
        <v>77.685503041004509</v>
      </c>
      <c r="Q320" s="132">
        <f t="shared" ref="Q320:S320" ca="1" si="241">Q321+Q322</f>
        <v>0</v>
      </c>
      <c r="R320" s="132">
        <f t="shared" ca="1" si="241"/>
        <v>0</v>
      </c>
      <c r="S320" s="132">
        <f t="shared" ca="1" si="241"/>
        <v>0</v>
      </c>
      <c r="T320" s="132">
        <f t="shared" ref="T320:T328" ca="1" si="242">IF(Q320&gt;0,S320*100/Q320,0)</f>
        <v>0</v>
      </c>
      <c r="U320" s="132">
        <f t="shared" ref="U320:U328" ca="1" si="243"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48" t="s">
        <v>20</v>
      </c>
      <c r="F321" s="41"/>
      <c r="G321" s="43"/>
      <c r="H321" s="133" t="s">
        <v>14</v>
      </c>
      <c r="I321" s="45"/>
      <c r="J321" s="45"/>
      <c r="K321" s="46"/>
      <c r="L321" s="47">
        <f t="shared" ref="L321:N321" ca="1" si="244">L324+L327</f>
        <v>0</v>
      </c>
      <c r="M321" s="47">
        <f t="shared" ca="1" si="244"/>
        <v>0</v>
      </c>
      <c r="N321" s="47">
        <f t="shared" ca="1" si="244"/>
        <v>0</v>
      </c>
      <c r="O321" s="47">
        <f t="shared" ca="1" si="239"/>
        <v>0</v>
      </c>
      <c r="P321" s="47">
        <f t="shared" ca="1" si="240"/>
        <v>0</v>
      </c>
      <c r="Q321" s="47">
        <f t="shared" ref="Q321:S321" ca="1" si="245">Q324+Q327</f>
        <v>0</v>
      </c>
      <c r="R321" s="47">
        <f t="shared" ca="1" si="245"/>
        <v>0</v>
      </c>
      <c r="S321" s="47">
        <f t="shared" ca="1" si="245"/>
        <v>0</v>
      </c>
      <c r="T321" s="49">
        <f t="shared" ca="1" si="242"/>
        <v>0</v>
      </c>
      <c r="U321" s="49">
        <f t="shared" ca="1" si="243"/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47">
        <f t="shared" ref="L322:N322" ca="1" si="246">L325+L328</f>
        <v>5097000</v>
      </c>
      <c r="M322" s="47">
        <f t="shared" ca="1" si="246"/>
        <v>5097000</v>
      </c>
      <c r="N322" s="47">
        <f t="shared" ca="1" si="246"/>
        <v>3959630.09</v>
      </c>
      <c r="O322" s="47">
        <f t="shared" ca="1" si="239"/>
        <v>77.685503041004509</v>
      </c>
      <c r="P322" s="47">
        <f t="shared" ca="1" si="240"/>
        <v>77.685503041004509</v>
      </c>
      <c r="Q322" s="47">
        <f t="shared" ref="Q322:S322" ca="1" si="247">Q325+Q328</f>
        <v>0</v>
      </c>
      <c r="R322" s="47">
        <f t="shared" ca="1" si="247"/>
        <v>0</v>
      </c>
      <c r="S322" s="47">
        <f t="shared" ca="1" si="247"/>
        <v>0</v>
      </c>
      <c r="T322" s="47">
        <f t="shared" ca="1" si="242"/>
        <v>0</v>
      </c>
      <c r="U322" s="47">
        <f t="shared" ca="1" si="243"/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47">
        <f t="shared" ref="L323:N323" ca="1" si="248">L324+L325</f>
        <v>610000</v>
      </c>
      <c r="M323" s="47">
        <f t="shared" ca="1" si="248"/>
        <v>610000</v>
      </c>
      <c r="N323" s="47">
        <f t="shared" ca="1" si="248"/>
        <v>184830.09</v>
      </c>
      <c r="O323" s="47">
        <f t="shared" ca="1" si="239"/>
        <v>30.30001475409836</v>
      </c>
      <c r="P323" s="47">
        <f t="shared" ca="1" si="240"/>
        <v>30.30001475409836</v>
      </c>
      <c r="Q323" s="47">
        <f t="shared" ref="Q323:S323" ca="1" si="249">Q324+Q325</f>
        <v>0</v>
      </c>
      <c r="R323" s="47">
        <f t="shared" ca="1" si="249"/>
        <v>0</v>
      </c>
      <c r="S323" s="47">
        <f t="shared" ca="1" si="249"/>
        <v>0</v>
      </c>
      <c r="T323" s="47">
        <f t="shared" ca="1" si="242"/>
        <v>0</v>
      </c>
      <c r="U323" s="47">
        <f t="shared" ca="1" si="243"/>
        <v>0</v>
      </c>
    </row>
    <row r="324" spans="1:21" ht="18.75" hidden="1" x14ac:dyDescent="0.25">
      <c r="A324" s="128"/>
      <c r="B324" s="41"/>
      <c r="C324" s="41"/>
      <c r="D324" s="41"/>
      <c r="E324" s="48" t="s">
        <v>36</v>
      </c>
      <c r="F324" s="41"/>
      <c r="G324" s="43"/>
      <c r="H324" s="134" t="s">
        <v>14</v>
      </c>
      <c r="I324" s="135"/>
      <c r="J324" s="135"/>
      <c r="K324" s="136"/>
      <c r="L324" s="47">
        <f ca="1">IFERROR(__xludf.DUMMYFUNCTION("IMPORTRANGE(""https://docs.google.com/spreadsheets/d/1kKUcYdkIfrgTSj8iHHHB2MD2FAtwyyocFgqGQn6ADyI/edit?usp=sharing"",""กระบี่!L324"")+IMPORTRANGE(""https://docs.google.com/spreadsheets/d/1GwtLaSlNZkLk7iDqcyZz22giiy40b_usZZBXYciEN1U/edit?usp=sharing"",""ชุ"&amp;"มพร!L324"")+IMPORTRANGE(""https://docs.google.com/spreadsheets/d/16pAz3pOhQEZBhvFNMa5KGgZS6iKWpsKX0pg6tQmwFpo/edit?usp=sharing"",""ตรัง!L324"")+IMPORTRANGE(""https://docs.google.com/spreadsheets/d/1Dj4jcHCTV9JXKCaMoheSXS52JE63kDKyG7bPXnFogHk/edit?usp=shar"&amp;"ing"",""นครศรีธรรมราช!L324"")+IMPORTRANGE(""https://docs.google.com/spreadsheets/d/1iodCdmuK2GR3jzUwk8tpccY2JHQQA-87DLOtJP-ooyU/edit?usp=sharing"",""นราธิวาส!L324"")+IMPORTRANGE(""https://docs.google.com/spreadsheets/d/1SDNX3JhDdYRuIOsj0Wh2M-Qa_eaXl0NbWmh"&amp;"AOTbfQAs/edit?usp=sharing"",""ปัตตานี!L324"")+IMPORTRANGE(""https://docs.google.com/spreadsheets/d/16JDLGguT8s5DsGCND1KcwHP_AWR_zDMTqLHPLJUKhaU/edit?usp=sharing"",""พังงา!L324"")+IMPORTRANGE(""https://docs.google.com/spreadsheets/d/17ht0gPKzzT3PObBL1XJkeR"&amp;"mntBXI7wGjpLV7QorqlTk/edit?usp=sharing"",""พัทลุง!L324"")+IMPORTRANGE(""https://docs.google.com/spreadsheets/d/1rd4qoM1q_hsgaolqNGfrim9gbsoLxQsda4-vOz5x_BM/edit?usp=sharing"",""ภูเก็ต!L324"")+IMPORTRANGE(""https://docs.google.com/spreadsheets/d/1woKwKjgoL"&amp;"ssDvPcPeVyezB5izizAn4X1JDrys69n6xI/edit?usp=sharing"",""ยะลา!L324"")+IMPORTRANGE(""https://docs.google.com/spreadsheets/d/1qfrKjzMhm2HJfxQ-qVlJlJQ25Hne1d0khsySbZyGtPA/edit?usp=sharing"",""ระนอง!L324"")+IMPORTRANGE(""https://docs.google.com/spreadsheets/d/"&amp;"1IbSCnFOKpZsnFogBHJnL_isstZVaOMnFiIN0fGTPZZw/edit?usp=sharing"",""สงขลา!L324"")+IMPORTRANGE(""https://docs.google.com/spreadsheets/d/1q9nWasZJ-K8bFGvbE9n0qSRuKGA4Toe3Y89cKCiVtCU/edit?usp=sharing"",""สตูล!L324"")+IMPORTRANGE(""https://docs.google.com/sprea"&amp;"dsheets/d/18T20gbkS_WBjdscyTOV05cvq_JqvqQ17C81mpxf7Ncs/edit?usp=sharing"",""สุราษฎร์ธานี!L324"")"),0)</f>
        <v>0</v>
      </c>
      <c r="M324" s="47">
        <f ca="1">IFERROR(__xludf.DUMMYFUNCTION("IMPORTRANGE(""https://docs.google.com/spreadsheets/d/1kKUcYdkIfrgTSj8iHHHB2MD2FAtwyyocFgqGQn6ADyI/edit?usp=sharing"",""กระบี่!M324"")+IMPORTRANGE(""https://docs.google.com/spreadsheets/d/1GwtLaSlNZkLk7iDqcyZz22giiy40b_usZZBXYciEN1U/edit?usp=sharing"",""ชุ"&amp;"มพร!M324"")+IMPORTRANGE(""https://docs.google.com/spreadsheets/d/16pAz3pOhQEZBhvFNMa5KGgZS6iKWpsKX0pg6tQmwFpo/edit?usp=sharing"",""ตรัง!M324"")+IMPORTRANGE(""https://docs.google.com/spreadsheets/d/1Dj4jcHCTV9JXKCaMoheSXS52JE63kDKyG7bPXnFogHk/edit?usp=shar"&amp;"ing"",""นครศรีธรรมราช!M324"")+IMPORTRANGE(""https://docs.google.com/spreadsheets/d/1iodCdmuK2GR3jzUwk8tpccY2JHQQA-87DLOtJP-ooyU/edit?usp=sharing"",""นราธิวาส!M324"")+IMPORTRANGE(""https://docs.google.com/spreadsheets/d/1SDNX3JhDdYRuIOsj0Wh2M-Qa_eaXl0NbWmh"&amp;"AOTbfQAs/edit?usp=sharing"",""ปัตตานี!M324"")+IMPORTRANGE(""https://docs.google.com/spreadsheets/d/16JDLGguT8s5DsGCND1KcwHP_AWR_zDMTqLHPLJUKhaU/edit?usp=sharing"",""พังงา!M324"")+IMPORTRANGE(""https://docs.google.com/spreadsheets/d/17ht0gPKzzT3PObBL1XJkeR"&amp;"mntBXI7wGjpLV7QorqlTk/edit?usp=sharing"",""พัทลุง!M324"")+IMPORTRANGE(""https://docs.google.com/spreadsheets/d/1rd4qoM1q_hsgaolqNGfrim9gbsoLxQsda4-vOz5x_BM/edit?usp=sharing"",""ภูเก็ต!M324"")+IMPORTRANGE(""https://docs.google.com/spreadsheets/d/1woKwKjgoL"&amp;"ssDvPcPeVyezB5izizAn4X1JDrys69n6xI/edit?usp=sharing"",""ยะลา!M324"")+IMPORTRANGE(""https://docs.google.com/spreadsheets/d/1qfrKjzMhm2HJfxQ-qVlJlJQ25Hne1d0khsySbZyGtPA/edit?usp=sharing"",""ระนอง!M324"")+IMPORTRANGE(""https://docs.google.com/spreadsheets/d/"&amp;"1IbSCnFOKpZsnFogBHJnL_isstZVaOMnFiIN0fGTPZZw/edit?usp=sharing"",""สงขลา!M324"")+IMPORTRANGE(""https://docs.google.com/spreadsheets/d/1q9nWasZJ-K8bFGvbE9n0qSRuKGA4Toe3Y89cKCiVtCU/edit?usp=sharing"",""สตูล!M324"")+IMPORTRANGE(""https://docs.google.com/sprea"&amp;"dsheets/d/18T20gbkS_WBjdscyTOV05cvq_JqvqQ17C81mpxf7Ncs/edit?usp=sharing"",""สุราษฎร์ธานี!M324"")"),0)</f>
        <v>0</v>
      </c>
      <c r="N324" s="47">
        <f ca="1">IFERROR(__xludf.DUMMYFUNCTION("IMPORTRANGE(""https://docs.google.com/spreadsheets/d/1kKUcYdkIfrgTSj8iHHHB2MD2FAtwyyocFgqGQn6ADyI/edit?usp=sharing"",""กระบี่!N324"")+IMPORTRANGE(""https://docs.google.com/spreadsheets/d/1GwtLaSlNZkLk7iDqcyZz22giiy40b_usZZBXYciEN1U/edit?usp=sharing"",""ชุ"&amp;"มพร!N324"")+IMPORTRANGE(""https://docs.google.com/spreadsheets/d/16pAz3pOhQEZBhvFNMa5KGgZS6iKWpsKX0pg6tQmwFpo/edit?usp=sharing"",""ตรัง!N324"")+IMPORTRANGE(""https://docs.google.com/spreadsheets/d/1Dj4jcHCTV9JXKCaMoheSXS52JE63kDKyG7bPXnFogHk/edit?usp=shar"&amp;"ing"",""นครศรีธรรมราช!N324"")+IMPORTRANGE(""https://docs.google.com/spreadsheets/d/1iodCdmuK2GR3jzUwk8tpccY2JHQQA-87DLOtJP-ooyU/edit?usp=sharing"",""นราธิวาส!N324"")+IMPORTRANGE(""https://docs.google.com/spreadsheets/d/1SDNX3JhDdYRuIOsj0Wh2M-Qa_eaXl0NbWmh"&amp;"AOTbfQAs/edit?usp=sharing"",""ปัตตานี!N324"")+IMPORTRANGE(""https://docs.google.com/spreadsheets/d/16JDLGguT8s5DsGCND1KcwHP_AWR_zDMTqLHPLJUKhaU/edit?usp=sharing"",""พังงา!N324"")+IMPORTRANGE(""https://docs.google.com/spreadsheets/d/17ht0gPKzzT3PObBL1XJkeR"&amp;"mntBXI7wGjpLV7QorqlTk/edit?usp=sharing"",""พัทลุง!N324"")+IMPORTRANGE(""https://docs.google.com/spreadsheets/d/1rd4qoM1q_hsgaolqNGfrim9gbsoLxQsda4-vOz5x_BM/edit?usp=sharing"",""ภูเก็ต!N324"")+IMPORTRANGE(""https://docs.google.com/spreadsheets/d/1woKwKjgoL"&amp;"ssDvPcPeVyezB5izizAn4X1JDrys69n6xI/edit?usp=sharing"",""ยะลา!N324"")+IMPORTRANGE(""https://docs.google.com/spreadsheets/d/1qfrKjzMhm2HJfxQ-qVlJlJQ25Hne1d0khsySbZyGtPA/edit?usp=sharing"",""ระนอง!N324"")+IMPORTRANGE(""https://docs.google.com/spreadsheets/d/"&amp;"1IbSCnFOKpZsnFogBHJnL_isstZVaOMnFiIN0fGTPZZw/edit?usp=sharing"",""สงขลา!N324"")+IMPORTRANGE(""https://docs.google.com/spreadsheets/d/1q9nWasZJ-K8bFGvbE9n0qSRuKGA4Toe3Y89cKCiVtCU/edit?usp=sharing"",""สตูล!N324"")+IMPORTRANGE(""https://docs.google.com/sprea"&amp;"dsheets/d/18T20gbkS_WBjdscyTOV05cvq_JqvqQ17C81mpxf7Ncs/edit?usp=sharing"",""สุราษฎร์ธานี!N324"")"),0)</f>
        <v>0</v>
      </c>
      <c r="O324" s="47">
        <f t="shared" ca="1" si="239"/>
        <v>0</v>
      </c>
      <c r="P324" s="47">
        <f t="shared" ca="1" si="240"/>
        <v>0</v>
      </c>
      <c r="Q324" s="47">
        <f ca="1">IFERROR(__xludf.DUMMYFUNCTION("IMPORTRANGE(""https://docs.google.com/spreadsheets/d/1kKUcYdkIfrgTSj8iHHHB2MD2FAtwyyocFgqGQn6ADyI/edit?usp=sharing"",""กระบี่!Q324"")+IMPORTRANGE(""https://docs.google.com/spreadsheets/d/1GwtLaSlNZkLk7iDqcyZz22giiy40b_usZZBXYciEN1U/edit?usp=sharing"",""ชุ"&amp;"มพร!Q324"")+IMPORTRANGE(""https://docs.google.com/spreadsheets/d/16pAz3pOhQEZBhvFNMa5KGgZS6iKWpsKX0pg6tQmwFpo/edit?usp=sharing"",""ตรัง!Q324"")+IMPORTRANGE(""https://docs.google.com/spreadsheets/d/1Dj4jcHCTV9JXKCaMoheSXS52JE63kDKyG7bPXnFogHk/edit?usp=shar"&amp;"ing"",""นครศรีธรรมราช!Q324"")+IMPORTRANGE(""https://docs.google.com/spreadsheets/d/1iodCdmuK2GR3jzUwk8tpccY2JHQQA-87DLOtJP-ooyU/edit?usp=sharing"",""นราธิวาส!Q324"")+IMPORTRANGE(""https://docs.google.com/spreadsheets/d/1SDNX3JhDdYRuIOsj0Wh2M-Qa_eaXl0NbWmh"&amp;"AOTbfQAs/edit?usp=sharing"",""ปัตตานี!Q324"")+IMPORTRANGE(""https://docs.google.com/spreadsheets/d/16JDLGguT8s5DsGCND1KcwHP_AWR_zDMTqLHPLJUKhaU/edit?usp=sharing"",""พังงา!Q324"")+IMPORTRANGE(""https://docs.google.com/spreadsheets/d/17ht0gPKzzT3PObBL1XJkeR"&amp;"mntBXI7wGjpLV7QorqlTk/edit?usp=sharing"",""พัทลุง!Q324"")+IMPORTRANGE(""https://docs.google.com/spreadsheets/d/1rd4qoM1q_hsgaolqNGfrim9gbsoLxQsda4-vOz5x_BM/edit?usp=sharing"",""ภูเก็ต!Q324"")+IMPORTRANGE(""https://docs.google.com/spreadsheets/d/1woKwKjgoL"&amp;"ssDvPcPeVyezB5izizAn4X1JDrys69n6xI/edit?usp=sharing"",""ยะลา!Q324"")+IMPORTRANGE(""https://docs.google.com/spreadsheets/d/1qfrKjzMhm2HJfxQ-qVlJlJQ25Hne1d0khsySbZyGtPA/edit?usp=sharing"",""ระนอง!Q324"")+IMPORTRANGE(""https://docs.google.com/spreadsheets/d/"&amp;"1IbSCnFOKpZsnFogBHJnL_isstZVaOMnFiIN0fGTPZZw/edit?usp=sharing"",""สงขลา!Q324"")+IMPORTRANGE(""https://docs.google.com/spreadsheets/d/1q9nWasZJ-K8bFGvbE9n0qSRuKGA4Toe3Y89cKCiVtCU/edit?usp=sharing"",""สตูล!Q324"")+IMPORTRANGE(""https://docs.google.com/sprea"&amp;"dsheets/d/18T20gbkS_WBjdscyTOV05cvq_JqvqQ17C81mpxf7Ncs/edit?usp=sharing"",""สุราษฎร์ธานี!Q324"")"),0)</f>
        <v>0</v>
      </c>
      <c r="R324" s="47">
        <f ca="1">IFERROR(__xludf.DUMMYFUNCTION("IMPORTRANGE(""https://docs.google.com/spreadsheets/d/1kKUcYdkIfrgTSj8iHHHB2MD2FAtwyyocFgqGQn6ADyI/edit?usp=sharing"",""กระบี่!R324"")+IMPORTRANGE(""https://docs.google.com/spreadsheets/d/1GwtLaSlNZkLk7iDqcyZz22giiy40b_usZZBXYciEN1U/edit?usp=sharing"",""ชุ"&amp;"มพร!R324"")+IMPORTRANGE(""https://docs.google.com/spreadsheets/d/16pAz3pOhQEZBhvFNMa5KGgZS6iKWpsKX0pg6tQmwFpo/edit?usp=sharing"",""ตรัง!R324"")+IMPORTRANGE(""https://docs.google.com/spreadsheets/d/1Dj4jcHCTV9JXKCaMoheSXS52JE63kDKyG7bPXnFogHk/edit?usp=shar"&amp;"ing"",""นครศรีธรรมราช!R324"")+IMPORTRANGE(""https://docs.google.com/spreadsheets/d/1iodCdmuK2GR3jzUwk8tpccY2JHQQA-87DLOtJP-ooyU/edit?usp=sharing"",""นราธิวาส!R324"")+IMPORTRANGE(""https://docs.google.com/spreadsheets/d/1SDNX3JhDdYRuIOsj0Wh2M-Qa_eaXl0NbWmh"&amp;"AOTbfQAs/edit?usp=sharing"",""ปัตตานี!R324"")+IMPORTRANGE(""https://docs.google.com/spreadsheets/d/16JDLGguT8s5DsGCND1KcwHP_AWR_zDMTqLHPLJUKhaU/edit?usp=sharing"",""พังงา!R324"")+IMPORTRANGE(""https://docs.google.com/spreadsheets/d/17ht0gPKzzT3PObBL1XJkeR"&amp;"mntBXI7wGjpLV7QorqlTk/edit?usp=sharing"",""พัทลุง!R324"")+IMPORTRANGE(""https://docs.google.com/spreadsheets/d/1rd4qoM1q_hsgaolqNGfrim9gbsoLxQsda4-vOz5x_BM/edit?usp=sharing"",""ภูเก็ต!R324"")+IMPORTRANGE(""https://docs.google.com/spreadsheets/d/1woKwKjgoL"&amp;"ssDvPcPeVyezB5izizAn4X1JDrys69n6xI/edit?usp=sharing"",""ยะลา!R324"")+IMPORTRANGE(""https://docs.google.com/spreadsheets/d/1qfrKjzMhm2HJfxQ-qVlJlJQ25Hne1d0khsySbZyGtPA/edit?usp=sharing"",""ระนอง!R324"")+IMPORTRANGE(""https://docs.google.com/spreadsheets/d/"&amp;"1IbSCnFOKpZsnFogBHJnL_isstZVaOMnFiIN0fGTPZZw/edit?usp=sharing"",""สงขลา!R324"")+IMPORTRANGE(""https://docs.google.com/spreadsheets/d/1q9nWasZJ-K8bFGvbE9n0qSRuKGA4Toe3Y89cKCiVtCU/edit?usp=sharing"",""สตูล!R324"")+IMPORTRANGE(""https://docs.google.com/sprea"&amp;"dsheets/d/18T20gbkS_WBjdscyTOV05cvq_JqvqQ17C81mpxf7Ncs/edit?usp=sharing"",""สุราษฎร์ธานี!R324"")"),0)</f>
        <v>0</v>
      </c>
      <c r="S324" s="47">
        <f ca="1">IFERROR(__xludf.DUMMYFUNCTION("IMPORTRANGE(""https://docs.google.com/spreadsheets/d/1kKUcYdkIfrgTSj8iHHHB2MD2FAtwyyocFgqGQn6ADyI/edit?usp=sharing"",""กระบี่!S324"")+IMPORTRANGE(""https://docs.google.com/spreadsheets/d/1GwtLaSlNZkLk7iDqcyZz22giiy40b_usZZBXYciEN1U/edit?usp=sharing"",""ชุ"&amp;"มพร!S324"")+IMPORTRANGE(""https://docs.google.com/spreadsheets/d/16pAz3pOhQEZBhvFNMa5KGgZS6iKWpsKX0pg6tQmwFpo/edit?usp=sharing"",""ตรัง!S324"")+IMPORTRANGE(""https://docs.google.com/spreadsheets/d/1Dj4jcHCTV9JXKCaMoheSXS52JE63kDKyG7bPXnFogHk/edit?usp=shar"&amp;"ing"",""นครศรีธรรมราช!S324"")+IMPORTRANGE(""https://docs.google.com/spreadsheets/d/1iodCdmuK2GR3jzUwk8tpccY2JHQQA-87DLOtJP-ooyU/edit?usp=sharing"",""นราธิวาส!S324"")+IMPORTRANGE(""https://docs.google.com/spreadsheets/d/1SDNX3JhDdYRuIOsj0Wh2M-Qa_eaXl0NbWmh"&amp;"AOTbfQAs/edit?usp=sharing"",""ปัตตานี!S324"")+IMPORTRANGE(""https://docs.google.com/spreadsheets/d/16JDLGguT8s5DsGCND1KcwHP_AWR_zDMTqLHPLJUKhaU/edit?usp=sharing"",""พังงา!S324"")+IMPORTRANGE(""https://docs.google.com/spreadsheets/d/17ht0gPKzzT3PObBL1XJkeR"&amp;"mntBXI7wGjpLV7QorqlTk/edit?usp=sharing"",""พัทลุง!S324"")+IMPORTRANGE(""https://docs.google.com/spreadsheets/d/1rd4qoM1q_hsgaolqNGfrim9gbsoLxQsda4-vOz5x_BM/edit?usp=sharing"",""ภูเก็ต!S324"")+IMPORTRANGE(""https://docs.google.com/spreadsheets/d/1woKwKjgoL"&amp;"ssDvPcPeVyezB5izizAn4X1JDrys69n6xI/edit?usp=sharing"",""ยะลา!S324"")+IMPORTRANGE(""https://docs.google.com/spreadsheets/d/1qfrKjzMhm2HJfxQ-qVlJlJQ25Hne1d0khsySbZyGtPA/edit?usp=sharing"",""ระนอง!S324"")+IMPORTRANGE(""https://docs.google.com/spreadsheets/d/"&amp;"1IbSCnFOKpZsnFogBHJnL_isstZVaOMnFiIN0fGTPZZw/edit?usp=sharing"",""สงขลา!S324"")+IMPORTRANGE(""https://docs.google.com/spreadsheets/d/1q9nWasZJ-K8bFGvbE9n0qSRuKGA4Toe3Y89cKCiVtCU/edit?usp=sharing"",""สตูล!S324"")+IMPORTRANGE(""https://docs.google.com/sprea"&amp;"dsheets/d/18T20gbkS_WBjdscyTOV05cvq_JqvqQ17C81mpxf7Ncs/edit?usp=sharing"",""สุราษฎร์ธานี!S324"")"),0)</f>
        <v>0</v>
      </c>
      <c r="T324" s="49">
        <f t="shared" ca="1" si="242"/>
        <v>0</v>
      </c>
      <c r="U324" s="49">
        <f t="shared" ca="1" si="243"/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47">
        <f ca="1">IFERROR(__xludf.DUMMYFUNCTION("IMPORTRANGE(""https://docs.google.com/spreadsheets/d/1kKUcYdkIfrgTSj8iHHHB2MD2FAtwyyocFgqGQn6ADyI/edit?usp=sharing"",""กระบี่!L325"")+IMPORTRANGE(""https://docs.google.com/spreadsheets/d/1GwtLaSlNZkLk7iDqcyZz22giiy40b_usZZBXYciEN1U/edit?usp=sharing"",""ชุ"&amp;"มพร!L325"")+IMPORTRANGE(""https://docs.google.com/spreadsheets/d/16pAz3pOhQEZBhvFNMa5KGgZS6iKWpsKX0pg6tQmwFpo/edit?usp=sharing"",""ตรัง!L325"")+IMPORTRANGE(""https://docs.google.com/spreadsheets/d/1Dj4jcHCTV9JXKCaMoheSXS52JE63kDKyG7bPXnFogHk/edit?usp=shar"&amp;"ing"",""นครศรีธรรมราช!L325"")+IMPORTRANGE(""https://docs.google.com/spreadsheets/d/1iodCdmuK2GR3jzUwk8tpccY2JHQQA-87DLOtJP-ooyU/edit?usp=sharing"",""นราธิวาส!L325"")+IMPORTRANGE(""https://docs.google.com/spreadsheets/d/1SDNX3JhDdYRuIOsj0Wh2M-Qa_eaXl0NbWmh"&amp;"AOTbfQAs/edit?usp=sharing"",""ปัตตานี!L325"")+IMPORTRANGE(""https://docs.google.com/spreadsheets/d/16JDLGguT8s5DsGCND1KcwHP_AWR_zDMTqLHPLJUKhaU/edit?usp=sharing"",""พังงา!L325"")+IMPORTRANGE(""https://docs.google.com/spreadsheets/d/17ht0gPKzzT3PObBL1XJkeR"&amp;"mntBXI7wGjpLV7QorqlTk/edit?usp=sharing"",""พัทลุง!L325"")+IMPORTRANGE(""https://docs.google.com/spreadsheets/d/1rd4qoM1q_hsgaolqNGfrim9gbsoLxQsda4-vOz5x_BM/edit?usp=sharing"",""ภูเก็ต!L325"")+IMPORTRANGE(""https://docs.google.com/spreadsheets/d/1woKwKjgoL"&amp;"ssDvPcPeVyezB5izizAn4X1JDrys69n6xI/edit?usp=sharing"",""ยะลา!L325"")+IMPORTRANGE(""https://docs.google.com/spreadsheets/d/1qfrKjzMhm2HJfxQ-qVlJlJQ25Hne1d0khsySbZyGtPA/edit?usp=sharing"",""ระนอง!L325"")+IMPORTRANGE(""https://docs.google.com/spreadsheets/d/"&amp;"1IbSCnFOKpZsnFogBHJnL_isstZVaOMnFiIN0fGTPZZw/edit?usp=sharing"",""สงขลา!L325"")+IMPORTRANGE(""https://docs.google.com/spreadsheets/d/1q9nWasZJ-K8bFGvbE9n0qSRuKGA4Toe3Y89cKCiVtCU/edit?usp=sharing"",""สตูล!L325"")+IMPORTRANGE(""https://docs.google.com/sprea"&amp;"dsheets/d/18T20gbkS_WBjdscyTOV05cvq_JqvqQ17C81mpxf7Ncs/edit?usp=sharing"",""สุราษฎร์ธานี!L325"")"),610000)</f>
        <v>610000</v>
      </c>
      <c r="M325" s="47">
        <f ca="1">IFERROR(__xludf.DUMMYFUNCTION("IMPORTRANGE(""https://docs.google.com/spreadsheets/d/1kKUcYdkIfrgTSj8iHHHB2MD2FAtwyyocFgqGQn6ADyI/edit?usp=sharing"",""กระบี่!M325"")+IMPORTRANGE(""https://docs.google.com/spreadsheets/d/1GwtLaSlNZkLk7iDqcyZz22giiy40b_usZZBXYciEN1U/edit?usp=sharing"",""ชุ"&amp;"มพร!M325"")+IMPORTRANGE(""https://docs.google.com/spreadsheets/d/16pAz3pOhQEZBhvFNMa5KGgZS6iKWpsKX0pg6tQmwFpo/edit?usp=sharing"",""ตรัง!M325"")+IMPORTRANGE(""https://docs.google.com/spreadsheets/d/1Dj4jcHCTV9JXKCaMoheSXS52JE63kDKyG7bPXnFogHk/edit?usp=shar"&amp;"ing"",""นครศรีธรรมราช!M325"")+IMPORTRANGE(""https://docs.google.com/spreadsheets/d/1iodCdmuK2GR3jzUwk8tpccY2JHQQA-87DLOtJP-ooyU/edit?usp=sharing"",""นราธิวาส!M325"")+IMPORTRANGE(""https://docs.google.com/spreadsheets/d/1SDNX3JhDdYRuIOsj0Wh2M-Qa_eaXl0NbWmh"&amp;"AOTbfQAs/edit?usp=sharing"",""ปัตตานี!M325"")+IMPORTRANGE(""https://docs.google.com/spreadsheets/d/16JDLGguT8s5DsGCND1KcwHP_AWR_zDMTqLHPLJUKhaU/edit?usp=sharing"",""พังงา!M325"")+IMPORTRANGE(""https://docs.google.com/spreadsheets/d/17ht0gPKzzT3PObBL1XJkeR"&amp;"mntBXI7wGjpLV7QorqlTk/edit?usp=sharing"",""พัทลุง!M325"")+IMPORTRANGE(""https://docs.google.com/spreadsheets/d/1rd4qoM1q_hsgaolqNGfrim9gbsoLxQsda4-vOz5x_BM/edit?usp=sharing"",""ภูเก็ต!M325"")+IMPORTRANGE(""https://docs.google.com/spreadsheets/d/1woKwKjgoL"&amp;"ssDvPcPeVyezB5izizAn4X1JDrys69n6xI/edit?usp=sharing"",""ยะลา!M325"")+IMPORTRANGE(""https://docs.google.com/spreadsheets/d/1qfrKjzMhm2HJfxQ-qVlJlJQ25Hne1d0khsySbZyGtPA/edit?usp=sharing"",""ระนอง!M325"")+IMPORTRANGE(""https://docs.google.com/spreadsheets/d/"&amp;"1IbSCnFOKpZsnFogBHJnL_isstZVaOMnFiIN0fGTPZZw/edit?usp=sharing"",""สงขลา!M325"")+IMPORTRANGE(""https://docs.google.com/spreadsheets/d/1q9nWasZJ-K8bFGvbE9n0qSRuKGA4Toe3Y89cKCiVtCU/edit?usp=sharing"",""สตูล!M325"")+IMPORTRANGE(""https://docs.google.com/sprea"&amp;"dsheets/d/18T20gbkS_WBjdscyTOV05cvq_JqvqQ17C81mpxf7Ncs/edit?usp=sharing"",""สุราษฎร์ธานี!M325"")"),610000)</f>
        <v>610000</v>
      </c>
      <c r="N325" s="47">
        <f ca="1">IFERROR(__xludf.DUMMYFUNCTION("IMPORTRANGE(""https://docs.google.com/spreadsheets/d/1kKUcYdkIfrgTSj8iHHHB2MD2FAtwyyocFgqGQn6ADyI/edit?usp=sharing"",""กระบี่!N325"")+IMPORTRANGE(""https://docs.google.com/spreadsheets/d/1GwtLaSlNZkLk7iDqcyZz22giiy40b_usZZBXYciEN1U/edit?usp=sharing"",""ชุ"&amp;"มพร!N325"")+IMPORTRANGE(""https://docs.google.com/spreadsheets/d/16pAz3pOhQEZBhvFNMa5KGgZS6iKWpsKX0pg6tQmwFpo/edit?usp=sharing"",""ตรัง!N325"")+IMPORTRANGE(""https://docs.google.com/spreadsheets/d/1Dj4jcHCTV9JXKCaMoheSXS52JE63kDKyG7bPXnFogHk/edit?usp=shar"&amp;"ing"",""นครศรีธรรมราช!N325"")+IMPORTRANGE(""https://docs.google.com/spreadsheets/d/1iodCdmuK2GR3jzUwk8tpccY2JHQQA-87DLOtJP-ooyU/edit?usp=sharing"",""นราธิวาส!N325"")+IMPORTRANGE(""https://docs.google.com/spreadsheets/d/1SDNX3JhDdYRuIOsj0Wh2M-Qa_eaXl0NbWmh"&amp;"AOTbfQAs/edit?usp=sharing"",""ปัตตานี!N325"")+IMPORTRANGE(""https://docs.google.com/spreadsheets/d/16JDLGguT8s5DsGCND1KcwHP_AWR_zDMTqLHPLJUKhaU/edit?usp=sharing"",""พังงา!N325"")+IMPORTRANGE(""https://docs.google.com/spreadsheets/d/17ht0gPKzzT3PObBL1XJkeR"&amp;"mntBXI7wGjpLV7QorqlTk/edit?usp=sharing"",""พัทลุง!N325"")+IMPORTRANGE(""https://docs.google.com/spreadsheets/d/1rd4qoM1q_hsgaolqNGfrim9gbsoLxQsda4-vOz5x_BM/edit?usp=sharing"",""ภูเก็ต!N325"")+IMPORTRANGE(""https://docs.google.com/spreadsheets/d/1woKwKjgoL"&amp;"ssDvPcPeVyezB5izizAn4X1JDrys69n6xI/edit?usp=sharing"",""ยะลา!N325"")+IMPORTRANGE(""https://docs.google.com/spreadsheets/d/1qfrKjzMhm2HJfxQ-qVlJlJQ25Hne1d0khsySbZyGtPA/edit?usp=sharing"",""ระนอง!N325"")+IMPORTRANGE(""https://docs.google.com/spreadsheets/d/"&amp;"1IbSCnFOKpZsnFogBHJnL_isstZVaOMnFiIN0fGTPZZw/edit?usp=sharing"",""สงขลา!N325"")+IMPORTRANGE(""https://docs.google.com/spreadsheets/d/1q9nWasZJ-K8bFGvbE9n0qSRuKGA4Toe3Y89cKCiVtCU/edit?usp=sharing"",""สตูล!N325"")+IMPORTRANGE(""https://docs.google.com/sprea"&amp;"dsheets/d/18T20gbkS_WBjdscyTOV05cvq_JqvqQ17C81mpxf7Ncs/edit?usp=sharing"",""สุราษฎร์ธานี!N325"")"),184830.09)</f>
        <v>184830.09</v>
      </c>
      <c r="O325" s="47">
        <f t="shared" ca="1" si="239"/>
        <v>30.30001475409836</v>
      </c>
      <c r="P325" s="47">
        <f t="shared" ca="1" si="240"/>
        <v>30.30001475409836</v>
      </c>
      <c r="Q325" s="47">
        <f ca="1">IFERROR(__xludf.DUMMYFUNCTION("IMPORTRANGE(""https://docs.google.com/spreadsheets/d/1kKUcYdkIfrgTSj8iHHHB2MD2FAtwyyocFgqGQn6ADyI/edit?usp=sharing"",""กระบี่!Q325"")+IMPORTRANGE(""https://docs.google.com/spreadsheets/d/1GwtLaSlNZkLk7iDqcyZz22giiy40b_usZZBXYciEN1U/edit?usp=sharing"",""ชุ"&amp;"มพร!Q325"")+IMPORTRANGE(""https://docs.google.com/spreadsheets/d/16pAz3pOhQEZBhvFNMa5KGgZS6iKWpsKX0pg6tQmwFpo/edit?usp=sharing"",""ตรัง!Q325"")+IMPORTRANGE(""https://docs.google.com/spreadsheets/d/1Dj4jcHCTV9JXKCaMoheSXS52JE63kDKyG7bPXnFogHk/edit?usp=shar"&amp;"ing"",""นครศรีธรรมราช!Q325"")+IMPORTRANGE(""https://docs.google.com/spreadsheets/d/1iodCdmuK2GR3jzUwk8tpccY2JHQQA-87DLOtJP-ooyU/edit?usp=sharing"",""นราธิวาส!Q325"")+IMPORTRANGE(""https://docs.google.com/spreadsheets/d/1SDNX3JhDdYRuIOsj0Wh2M-Qa_eaXl0NbWmh"&amp;"AOTbfQAs/edit?usp=sharing"",""ปัตตานี!Q325"")+IMPORTRANGE(""https://docs.google.com/spreadsheets/d/16JDLGguT8s5DsGCND1KcwHP_AWR_zDMTqLHPLJUKhaU/edit?usp=sharing"",""พังงา!Q325"")+IMPORTRANGE(""https://docs.google.com/spreadsheets/d/17ht0gPKzzT3PObBL1XJkeR"&amp;"mntBXI7wGjpLV7QorqlTk/edit?usp=sharing"",""พัทลุง!Q325"")+IMPORTRANGE(""https://docs.google.com/spreadsheets/d/1rd4qoM1q_hsgaolqNGfrim9gbsoLxQsda4-vOz5x_BM/edit?usp=sharing"",""ภูเก็ต!Q325"")+IMPORTRANGE(""https://docs.google.com/spreadsheets/d/1woKwKjgoL"&amp;"ssDvPcPeVyezB5izizAn4X1JDrys69n6xI/edit?usp=sharing"",""ยะลา!Q325"")+IMPORTRANGE(""https://docs.google.com/spreadsheets/d/1qfrKjzMhm2HJfxQ-qVlJlJQ25Hne1d0khsySbZyGtPA/edit?usp=sharing"",""ระนอง!Q325"")+IMPORTRANGE(""https://docs.google.com/spreadsheets/d/"&amp;"1IbSCnFOKpZsnFogBHJnL_isstZVaOMnFiIN0fGTPZZw/edit?usp=sharing"",""สงขลา!Q325"")+IMPORTRANGE(""https://docs.google.com/spreadsheets/d/1q9nWasZJ-K8bFGvbE9n0qSRuKGA4Toe3Y89cKCiVtCU/edit?usp=sharing"",""สตูล!Q325"")+IMPORTRANGE(""https://docs.google.com/sprea"&amp;"dsheets/d/18T20gbkS_WBjdscyTOV05cvq_JqvqQ17C81mpxf7Ncs/edit?usp=sharing"",""สุราษฎร์ธานี!Q325"")"),0)</f>
        <v>0</v>
      </c>
      <c r="R325" s="47">
        <f ca="1">IFERROR(__xludf.DUMMYFUNCTION("IMPORTRANGE(""https://docs.google.com/spreadsheets/d/1kKUcYdkIfrgTSj8iHHHB2MD2FAtwyyocFgqGQn6ADyI/edit?usp=sharing"",""กระบี่!R325"")+IMPORTRANGE(""https://docs.google.com/spreadsheets/d/1GwtLaSlNZkLk7iDqcyZz22giiy40b_usZZBXYciEN1U/edit?usp=sharing"",""ชุ"&amp;"มพร!R325"")+IMPORTRANGE(""https://docs.google.com/spreadsheets/d/16pAz3pOhQEZBhvFNMa5KGgZS6iKWpsKX0pg6tQmwFpo/edit?usp=sharing"",""ตรัง!R325"")+IMPORTRANGE(""https://docs.google.com/spreadsheets/d/1Dj4jcHCTV9JXKCaMoheSXS52JE63kDKyG7bPXnFogHk/edit?usp=shar"&amp;"ing"",""นครศรีธรรมราช!R325"")+IMPORTRANGE(""https://docs.google.com/spreadsheets/d/1iodCdmuK2GR3jzUwk8tpccY2JHQQA-87DLOtJP-ooyU/edit?usp=sharing"",""นราธิวาส!R325"")+IMPORTRANGE(""https://docs.google.com/spreadsheets/d/1SDNX3JhDdYRuIOsj0Wh2M-Qa_eaXl0NbWmh"&amp;"AOTbfQAs/edit?usp=sharing"",""ปัตตานี!R325"")+IMPORTRANGE(""https://docs.google.com/spreadsheets/d/16JDLGguT8s5DsGCND1KcwHP_AWR_zDMTqLHPLJUKhaU/edit?usp=sharing"",""พังงา!R325"")+IMPORTRANGE(""https://docs.google.com/spreadsheets/d/17ht0gPKzzT3PObBL1XJkeR"&amp;"mntBXI7wGjpLV7QorqlTk/edit?usp=sharing"",""พัทลุง!R325"")+IMPORTRANGE(""https://docs.google.com/spreadsheets/d/1rd4qoM1q_hsgaolqNGfrim9gbsoLxQsda4-vOz5x_BM/edit?usp=sharing"",""ภูเก็ต!R325"")+IMPORTRANGE(""https://docs.google.com/spreadsheets/d/1woKwKjgoL"&amp;"ssDvPcPeVyezB5izizAn4X1JDrys69n6xI/edit?usp=sharing"",""ยะลา!R325"")+IMPORTRANGE(""https://docs.google.com/spreadsheets/d/1qfrKjzMhm2HJfxQ-qVlJlJQ25Hne1d0khsySbZyGtPA/edit?usp=sharing"",""ระนอง!R325"")+IMPORTRANGE(""https://docs.google.com/spreadsheets/d/"&amp;"1IbSCnFOKpZsnFogBHJnL_isstZVaOMnFiIN0fGTPZZw/edit?usp=sharing"",""สงขลา!R325"")+IMPORTRANGE(""https://docs.google.com/spreadsheets/d/1q9nWasZJ-K8bFGvbE9n0qSRuKGA4Toe3Y89cKCiVtCU/edit?usp=sharing"",""สตูล!R325"")+IMPORTRANGE(""https://docs.google.com/sprea"&amp;"dsheets/d/18T20gbkS_WBjdscyTOV05cvq_JqvqQ17C81mpxf7Ncs/edit?usp=sharing"",""สุราษฎร์ธานี!R325"")"),0)</f>
        <v>0</v>
      </c>
      <c r="S325" s="47">
        <f ca="1">IFERROR(__xludf.DUMMYFUNCTION("IMPORTRANGE(""https://docs.google.com/spreadsheets/d/1kKUcYdkIfrgTSj8iHHHB2MD2FAtwyyocFgqGQn6ADyI/edit?usp=sharing"",""กระบี่!S325"")+IMPORTRANGE(""https://docs.google.com/spreadsheets/d/1GwtLaSlNZkLk7iDqcyZz22giiy40b_usZZBXYciEN1U/edit?usp=sharing"",""ชุ"&amp;"มพร!S325"")+IMPORTRANGE(""https://docs.google.com/spreadsheets/d/16pAz3pOhQEZBhvFNMa5KGgZS6iKWpsKX0pg6tQmwFpo/edit?usp=sharing"",""ตรัง!S325"")+IMPORTRANGE(""https://docs.google.com/spreadsheets/d/1Dj4jcHCTV9JXKCaMoheSXS52JE63kDKyG7bPXnFogHk/edit?usp=shar"&amp;"ing"",""นครศรีธรรมราช!S325"")+IMPORTRANGE(""https://docs.google.com/spreadsheets/d/1iodCdmuK2GR3jzUwk8tpccY2JHQQA-87DLOtJP-ooyU/edit?usp=sharing"",""นราธิวาส!S325"")+IMPORTRANGE(""https://docs.google.com/spreadsheets/d/1SDNX3JhDdYRuIOsj0Wh2M-Qa_eaXl0NbWmh"&amp;"AOTbfQAs/edit?usp=sharing"",""ปัตตานี!S325"")+IMPORTRANGE(""https://docs.google.com/spreadsheets/d/16JDLGguT8s5DsGCND1KcwHP_AWR_zDMTqLHPLJUKhaU/edit?usp=sharing"",""พังงา!S325"")+IMPORTRANGE(""https://docs.google.com/spreadsheets/d/17ht0gPKzzT3PObBL1XJkeR"&amp;"mntBXI7wGjpLV7QorqlTk/edit?usp=sharing"",""พัทลุง!S325"")+IMPORTRANGE(""https://docs.google.com/spreadsheets/d/1rd4qoM1q_hsgaolqNGfrim9gbsoLxQsda4-vOz5x_BM/edit?usp=sharing"",""ภูเก็ต!S325"")+IMPORTRANGE(""https://docs.google.com/spreadsheets/d/1woKwKjgoL"&amp;"ssDvPcPeVyezB5izizAn4X1JDrys69n6xI/edit?usp=sharing"",""ยะลา!S325"")+IMPORTRANGE(""https://docs.google.com/spreadsheets/d/1qfrKjzMhm2HJfxQ-qVlJlJQ25Hne1d0khsySbZyGtPA/edit?usp=sharing"",""ระนอง!S325"")+IMPORTRANGE(""https://docs.google.com/spreadsheets/d/"&amp;"1IbSCnFOKpZsnFogBHJnL_isstZVaOMnFiIN0fGTPZZw/edit?usp=sharing"",""สงขลา!S325"")+IMPORTRANGE(""https://docs.google.com/spreadsheets/d/1q9nWasZJ-K8bFGvbE9n0qSRuKGA4Toe3Y89cKCiVtCU/edit?usp=sharing"",""สตูล!S325"")+IMPORTRANGE(""https://docs.google.com/sprea"&amp;"dsheets/d/18T20gbkS_WBjdscyTOV05cvq_JqvqQ17C81mpxf7Ncs/edit?usp=sharing"",""สุราษฎร์ธานี!S325"")"),0)</f>
        <v>0</v>
      </c>
      <c r="T325" s="47">
        <f t="shared" ca="1" si="242"/>
        <v>0</v>
      </c>
      <c r="U325" s="47">
        <f t="shared" ca="1" si="243"/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47">
        <f t="shared" ref="L326:N326" ca="1" si="250">L327+L328</f>
        <v>4487000</v>
      </c>
      <c r="M326" s="47">
        <f t="shared" ca="1" si="250"/>
        <v>4487000</v>
      </c>
      <c r="N326" s="47">
        <f t="shared" ca="1" si="250"/>
        <v>3774800</v>
      </c>
      <c r="O326" s="47">
        <f t="shared" ca="1" si="239"/>
        <v>84.127479384889682</v>
      </c>
      <c r="P326" s="47">
        <f t="shared" ca="1" si="240"/>
        <v>84.127479384889682</v>
      </c>
      <c r="Q326" s="47">
        <f t="shared" ref="Q326:S326" ca="1" si="251">Q327+Q328</f>
        <v>0</v>
      </c>
      <c r="R326" s="47">
        <f t="shared" ca="1" si="251"/>
        <v>0</v>
      </c>
      <c r="S326" s="47">
        <f t="shared" ca="1" si="251"/>
        <v>0</v>
      </c>
      <c r="T326" s="47">
        <f t="shared" ca="1" si="242"/>
        <v>0</v>
      </c>
      <c r="U326" s="47">
        <f t="shared" ca="1" si="243"/>
        <v>0</v>
      </c>
    </row>
    <row r="327" spans="1:21" ht="18.75" hidden="1" x14ac:dyDescent="0.25">
      <c r="A327" s="128"/>
      <c r="B327" s="41"/>
      <c r="C327" s="41"/>
      <c r="D327" s="41"/>
      <c r="E327" s="48" t="s">
        <v>20</v>
      </c>
      <c r="F327" s="41"/>
      <c r="G327" s="43"/>
      <c r="H327" s="134" t="s">
        <v>14</v>
      </c>
      <c r="I327" s="135"/>
      <c r="J327" s="135"/>
      <c r="K327" s="136"/>
      <c r="L327" s="47">
        <f ca="1">IFERROR(__xludf.DUMMYFUNCTION("IMPORTRANGE(""https://docs.google.com/spreadsheets/d/1kKUcYdkIfrgTSj8iHHHB2MD2FAtwyyocFgqGQn6ADyI/edit?usp=sharing"",""กระบี่!L327"")+IMPORTRANGE(""https://docs.google.com/spreadsheets/d/1GwtLaSlNZkLk7iDqcyZz22giiy40b_usZZBXYciEN1U/edit?usp=sharing"",""ชุ"&amp;"มพร!L327"")+IMPORTRANGE(""https://docs.google.com/spreadsheets/d/16pAz3pOhQEZBhvFNMa5KGgZS6iKWpsKX0pg6tQmwFpo/edit?usp=sharing"",""ตรัง!L327"")+IMPORTRANGE(""https://docs.google.com/spreadsheets/d/1Dj4jcHCTV9JXKCaMoheSXS52JE63kDKyG7bPXnFogHk/edit?usp=shar"&amp;"ing"",""นครศรีธรรมราช!L327"")+IMPORTRANGE(""https://docs.google.com/spreadsheets/d/1iodCdmuK2GR3jzUwk8tpccY2JHQQA-87DLOtJP-ooyU/edit?usp=sharing"",""นราธิวาส!L327"")+IMPORTRANGE(""https://docs.google.com/spreadsheets/d/1SDNX3JhDdYRuIOsj0Wh2M-Qa_eaXl0NbWmh"&amp;"AOTbfQAs/edit?usp=sharing"",""ปัตตานี!L327"")+IMPORTRANGE(""https://docs.google.com/spreadsheets/d/16JDLGguT8s5DsGCND1KcwHP_AWR_zDMTqLHPLJUKhaU/edit?usp=sharing"",""พังงา!L327"")+IMPORTRANGE(""https://docs.google.com/spreadsheets/d/17ht0gPKzzT3PObBL1XJkeR"&amp;"mntBXI7wGjpLV7QorqlTk/edit?usp=sharing"",""พัทลุง!L327"")+IMPORTRANGE(""https://docs.google.com/spreadsheets/d/1rd4qoM1q_hsgaolqNGfrim9gbsoLxQsda4-vOz5x_BM/edit?usp=sharing"",""ภูเก็ต!L327"")+IMPORTRANGE(""https://docs.google.com/spreadsheets/d/1woKwKjgoL"&amp;"ssDvPcPeVyezB5izizAn4X1JDrys69n6xI/edit?usp=sharing"",""ยะลา!L327"")+IMPORTRANGE(""https://docs.google.com/spreadsheets/d/1qfrKjzMhm2HJfxQ-qVlJlJQ25Hne1d0khsySbZyGtPA/edit?usp=sharing"",""ระนอง!L327"")+IMPORTRANGE(""https://docs.google.com/spreadsheets/d/"&amp;"1IbSCnFOKpZsnFogBHJnL_isstZVaOMnFiIN0fGTPZZw/edit?usp=sharing"",""สงขลา!L327"")+IMPORTRANGE(""https://docs.google.com/spreadsheets/d/1q9nWasZJ-K8bFGvbE9n0qSRuKGA4Toe3Y89cKCiVtCU/edit?usp=sharing"",""สตูล!L327"")+IMPORTRANGE(""https://docs.google.com/sprea"&amp;"dsheets/d/18T20gbkS_WBjdscyTOV05cvq_JqvqQ17C81mpxf7Ncs/edit?usp=sharing"",""สุราษฎร์ธานี!L327"")"),0)</f>
        <v>0</v>
      </c>
      <c r="M327" s="47">
        <f ca="1">IFERROR(__xludf.DUMMYFUNCTION("IMPORTRANGE(""https://docs.google.com/spreadsheets/d/1kKUcYdkIfrgTSj8iHHHB2MD2FAtwyyocFgqGQn6ADyI/edit?usp=sharing"",""กระบี่!M327"")+IMPORTRANGE(""https://docs.google.com/spreadsheets/d/1GwtLaSlNZkLk7iDqcyZz22giiy40b_usZZBXYciEN1U/edit?usp=sharing"",""ชุ"&amp;"มพร!M327"")+IMPORTRANGE(""https://docs.google.com/spreadsheets/d/16pAz3pOhQEZBhvFNMa5KGgZS6iKWpsKX0pg6tQmwFpo/edit?usp=sharing"",""ตรัง!M327"")+IMPORTRANGE(""https://docs.google.com/spreadsheets/d/1Dj4jcHCTV9JXKCaMoheSXS52JE63kDKyG7bPXnFogHk/edit?usp=shar"&amp;"ing"",""นครศรีธรรมราช!M327"")+IMPORTRANGE(""https://docs.google.com/spreadsheets/d/1iodCdmuK2GR3jzUwk8tpccY2JHQQA-87DLOtJP-ooyU/edit?usp=sharing"",""นราธิวาส!M327"")+IMPORTRANGE(""https://docs.google.com/spreadsheets/d/1SDNX3JhDdYRuIOsj0Wh2M-Qa_eaXl0NbWmh"&amp;"AOTbfQAs/edit?usp=sharing"",""ปัตตานี!M327"")+IMPORTRANGE(""https://docs.google.com/spreadsheets/d/16JDLGguT8s5DsGCND1KcwHP_AWR_zDMTqLHPLJUKhaU/edit?usp=sharing"",""พังงา!M327"")+IMPORTRANGE(""https://docs.google.com/spreadsheets/d/17ht0gPKzzT3PObBL1XJkeR"&amp;"mntBXI7wGjpLV7QorqlTk/edit?usp=sharing"",""พัทลุง!M327"")+IMPORTRANGE(""https://docs.google.com/spreadsheets/d/1rd4qoM1q_hsgaolqNGfrim9gbsoLxQsda4-vOz5x_BM/edit?usp=sharing"",""ภูเก็ต!M327"")+IMPORTRANGE(""https://docs.google.com/spreadsheets/d/1woKwKjgoL"&amp;"ssDvPcPeVyezB5izizAn4X1JDrys69n6xI/edit?usp=sharing"",""ยะลา!M327"")+IMPORTRANGE(""https://docs.google.com/spreadsheets/d/1qfrKjzMhm2HJfxQ-qVlJlJQ25Hne1d0khsySbZyGtPA/edit?usp=sharing"",""ระนอง!M327"")+IMPORTRANGE(""https://docs.google.com/spreadsheets/d/"&amp;"1IbSCnFOKpZsnFogBHJnL_isstZVaOMnFiIN0fGTPZZw/edit?usp=sharing"",""สงขลา!M327"")+IMPORTRANGE(""https://docs.google.com/spreadsheets/d/1q9nWasZJ-K8bFGvbE9n0qSRuKGA4Toe3Y89cKCiVtCU/edit?usp=sharing"",""สตูล!M327"")+IMPORTRANGE(""https://docs.google.com/sprea"&amp;"dsheets/d/18T20gbkS_WBjdscyTOV05cvq_JqvqQ17C81mpxf7Ncs/edit?usp=sharing"",""สุราษฎร์ธานี!M327"")"),0)</f>
        <v>0</v>
      </c>
      <c r="N327" s="47">
        <f ca="1">IFERROR(__xludf.DUMMYFUNCTION("IMPORTRANGE(""https://docs.google.com/spreadsheets/d/1kKUcYdkIfrgTSj8iHHHB2MD2FAtwyyocFgqGQn6ADyI/edit?usp=sharing"",""กระบี่!N327"")+IMPORTRANGE(""https://docs.google.com/spreadsheets/d/1GwtLaSlNZkLk7iDqcyZz22giiy40b_usZZBXYciEN1U/edit?usp=sharing"",""ชุ"&amp;"มพร!N327"")+IMPORTRANGE(""https://docs.google.com/spreadsheets/d/16pAz3pOhQEZBhvFNMa5KGgZS6iKWpsKX0pg6tQmwFpo/edit?usp=sharing"",""ตรัง!N327"")+IMPORTRANGE(""https://docs.google.com/spreadsheets/d/1Dj4jcHCTV9JXKCaMoheSXS52JE63kDKyG7bPXnFogHk/edit?usp=shar"&amp;"ing"",""นครศรีธรรมราช!N327"")+IMPORTRANGE(""https://docs.google.com/spreadsheets/d/1iodCdmuK2GR3jzUwk8tpccY2JHQQA-87DLOtJP-ooyU/edit?usp=sharing"",""นราธิวาส!N327"")+IMPORTRANGE(""https://docs.google.com/spreadsheets/d/1SDNX3JhDdYRuIOsj0Wh2M-Qa_eaXl0NbWmh"&amp;"AOTbfQAs/edit?usp=sharing"",""ปัตตานี!N327"")+IMPORTRANGE(""https://docs.google.com/spreadsheets/d/16JDLGguT8s5DsGCND1KcwHP_AWR_zDMTqLHPLJUKhaU/edit?usp=sharing"",""พังงา!N327"")+IMPORTRANGE(""https://docs.google.com/spreadsheets/d/17ht0gPKzzT3PObBL1XJkeR"&amp;"mntBXI7wGjpLV7QorqlTk/edit?usp=sharing"",""พัทลุง!N327"")+IMPORTRANGE(""https://docs.google.com/spreadsheets/d/1rd4qoM1q_hsgaolqNGfrim9gbsoLxQsda4-vOz5x_BM/edit?usp=sharing"",""ภูเก็ต!N327"")+IMPORTRANGE(""https://docs.google.com/spreadsheets/d/1woKwKjgoL"&amp;"ssDvPcPeVyezB5izizAn4X1JDrys69n6xI/edit?usp=sharing"",""ยะลา!N327"")+IMPORTRANGE(""https://docs.google.com/spreadsheets/d/1qfrKjzMhm2HJfxQ-qVlJlJQ25Hne1d0khsySbZyGtPA/edit?usp=sharing"",""ระนอง!N327"")+IMPORTRANGE(""https://docs.google.com/spreadsheets/d/"&amp;"1IbSCnFOKpZsnFogBHJnL_isstZVaOMnFiIN0fGTPZZw/edit?usp=sharing"",""สงขลา!N327"")+IMPORTRANGE(""https://docs.google.com/spreadsheets/d/1q9nWasZJ-K8bFGvbE9n0qSRuKGA4Toe3Y89cKCiVtCU/edit?usp=sharing"",""สตูล!N327"")+IMPORTRANGE(""https://docs.google.com/sprea"&amp;"dsheets/d/18T20gbkS_WBjdscyTOV05cvq_JqvqQ17C81mpxf7Ncs/edit?usp=sharing"",""สุราษฎร์ธานี!N327"")"),0)</f>
        <v>0</v>
      </c>
      <c r="O327" s="47">
        <f t="shared" ca="1" si="239"/>
        <v>0</v>
      </c>
      <c r="P327" s="47">
        <f t="shared" ca="1" si="240"/>
        <v>0</v>
      </c>
      <c r="Q327" s="47">
        <f ca="1">IFERROR(__xludf.DUMMYFUNCTION("IMPORTRANGE(""https://docs.google.com/spreadsheets/d/1kKUcYdkIfrgTSj8iHHHB2MD2FAtwyyocFgqGQn6ADyI/edit?usp=sharing"",""กระบี่!Q327"")+IMPORTRANGE(""https://docs.google.com/spreadsheets/d/1GwtLaSlNZkLk7iDqcyZz22giiy40b_usZZBXYciEN1U/edit?usp=sharing"",""ชุ"&amp;"มพร!Q327"")+IMPORTRANGE(""https://docs.google.com/spreadsheets/d/16pAz3pOhQEZBhvFNMa5KGgZS6iKWpsKX0pg6tQmwFpo/edit?usp=sharing"",""ตรัง!Q327"")+IMPORTRANGE(""https://docs.google.com/spreadsheets/d/1Dj4jcHCTV9JXKCaMoheSXS52JE63kDKyG7bPXnFogHk/edit?usp=shar"&amp;"ing"",""นครศรีธรรมราช!Q327"")+IMPORTRANGE(""https://docs.google.com/spreadsheets/d/1iodCdmuK2GR3jzUwk8tpccY2JHQQA-87DLOtJP-ooyU/edit?usp=sharing"",""นราธิวาส!Q327"")+IMPORTRANGE(""https://docs.google.com/spreadsheets/d/1SDNX3JhDdYRuIOsj0Wh2M-Qa_eaXl0NbWmh"&amp;"AOTbfQAs/edit?usp=sharing"",""ปัตตานี!Q327"")+IMPORTRANGE(""https://docs.google.com/spreadsheets/d/16JDLGguT8s5DsGCND1KcwHP_AWR_zDMTqLHPLJUKhaU/edit?usp=sharing"",""พังงา!Q327"")+IMPORTRANGE(""https://docs.google.com/spreadsheets/d/17ht0gPKzzT3PObBL1XJkeR"&amp;"mntBXI7wGjpLV7QorqlTk/edit?usp=sharing"",""พัทลุง!Q327"")+IMPORTRANGE(""https://docs.google.com/spreadsheets/d/1rd4qoM1q_hsgaolqNGfrim9gbsoLxQsda4-vOz5x_BM/edit?usp=sharing"",""ภูเก็ต!Q327"")+IMPORTRANGE(""https://docs.google.com/spreadsheets/d/1woKwKjgoL"&amp;"ssDvPcPeVyezB5izizAn4X1JDrys69n6xI/edit?usp=sharing"",""ยะลา!Q327"")+IMPORTRANGE(""https://docs.google.com/spreadsheets/d/1qfrKjzMhm2HJfxQ-qVlJlJQ25Hne1d0khsySbZyGtPA/edit?usp=sharing"",""ระนอง!Q327"")+IMPORTRANGE(""https://docs.google.com/spreadsheets/d/"&amp;"1IbSCnFOKpZsnFogBHJnL_isstZVaOMnFiIN0fGTPZZw/edit?usp=sharing"",""สงขลา!Q327"")+IMPORTRANGE(""https://docs.google.com/spreadsheets/d/1q9nWasZJ-K8bFGvbE9n0qSRuKGA4Toe3Y89cKCiVtCU/edit?usp=sharing"",""สตูล!Q327"")+IMPORTRANGE(""https://docs.google.com/sprea"&amp;"dsheets/d/18T20gbkS_WBjdscyTOV05cvq_JqvqQ17C81mpxf7Ncs/edit?usp=sharing"",""สุราษฎร์ธานี!Q327"")"),0)</f>
        <v>0</v>
      </c>
      <c r="R327" s="47">
        <f ca="1">IFERROR(__xludf.DUMMYFUNCTION("IMPORTRANGE(""https://docs.google.com/spreadsheets/d/1kKUcYdkIfrgTSj8iHHHB2MD2FAtwyyocFgqGQn6ADyI/edit?usp=sharing"",""กระบี่!R327"")+IMPORTRANGE(""https://docs.google.com/spreadsheets/d/1GwtLaSlNZkLk7iDqcyZz22giiy40b_usZZBXYciEN1U/edit?usp=sharing"",""ชุ"&amp;"มพร!R327"")+IMPORTRANGE(""https://docs.google.com/spreadsheets/d/16pAz3pOhQEZBhvFNMa5KGgZS6iKWpsKX0pg6tQmwFpo/edit?usp=sharing"",""ตรัง!R327"")+IMPORTRANGE(""https://docs.google.com/spreadsheets/d/1Dj4jcHCTV9JXKCaMoheSXS52JE63kDKyG7bPXnFogHk/edit?usp=shar"&amp;"ing"",""นครศรีธรรมราช!R327"")+IMPORTRANGE(""https://docs.google.com/spreadsheets/d/1iodCdmuK2GR3jzUwk8tpccY2JHQQA-87DLOtJP-ooyU/edit?usp=sharing"",""นราธิวาส!R327"")+IMPORTRANGE(""https://docs.google.com/spreadsheets/d/1SDNX3JhDdYRuIOsj0Wh2M-Qa_eaXl0NbWmh"&amp;"AOTbfQAs/edit?usp=sharing"",""ปัตตานี!R327"")+IMPORTRANGE(""https://docs.google.com/spreadsheets/d/16JDLGguT8s5DsGCND1KcwHP_AWR_zDMTqLHPLJUKhaU/edit?usp=sharing"",""พังงา!R327"")+IMPORTRANGE(""https://docs.google.com/spreadsheets/d/17ht0gPKzzT3PObBL1XJkeR"&amp;"mntBXI7wGjpLV7QorqlTk/edit?usp=sharing"",""พัทลุง!R327"")+IMPORTRANGE(""https://docs.google.com/spreadsheets/d/1rd4qoM1q_hsgaolqNGfrim9gbsoLxQsda4-vOz5x_BM/edit?usp=sharing"",""ภูเก็ต!R327"")+IMPORTRANGE(""https://docs.google.com/spreadsheets/d/1woKwKjgoL"&amp;"ssDvPcPeVyezB5izizAn4X1JDrys69n6xI/edit?usp=sharing"",""ยะลา!R327"")+IMPORTRANGE(""https://docs.google.com/spreadsheets/d/1qfrKjzMhm2HJfxQ-qVlJlJQ25Hne1d0khsySbZyGtPA/edit?usp=sharing"",""ระนอง!R327"")+IMPORTRANGE(""https://docs.google.com/spreadsheets/d/"&amp;"1IbSCnFOKpZsnFogBHJnL_isstZVaOMnFiIN0fGTPZZw/edit?usp=sharing"",""สงขลา!R327"")+IMPORTRANGE(""https://docs.google.com/spreadsheets/d/1q9nWasZJ-K8bFGvbE9n0qSRuKGA4Toe3Y89cKCiVtCU/edit?usp=sharing"",""สตูล!R327"")+IMPORTRANGE(""https://docs.google.com/sprea"&amp;"dsheets/d/18T20gbkS_WBjdscyTOV05cvq_JqvqQ17C81mpxf7Ncs/edit?usp=sharing"",""สุราษฎร์ธานี!R327"")"),0)</f>
        <v>0</v>
      </c>
      <c r="S327" s="47">
        <f ca="1">IFERROR(__xludf.DUMMYFUNCTION("IMPORTRANGE(""https://docs.google.com/spreadsheets/d/1kKUcYdkIfrgTSj8iHHHB2MD2FAtwyyocFgqGQn6ADyI/edit?usp=sharing"",""กระบี่!S327"")+IMPORTRANGE(""https://docs.google.com/spreadsheets/d/1GwtLaSlNZkLk7iDqcyZz22giiy40b_usZZBXYciEN1U/edit?usp=sharing"",""ชุ"&amp;"มพร!S327"")+IMPORTRANGE(""https://docs.google.com/spreadsheets/d/16pAz3pOhQEZBhvFNMa5KGgZS6iKWpsKX0pg6tQmwFpo/edit?usp=sharing"",""ตรัง!S327"")+IMPORTRANGE(""https://docs.google.com/spreadsheets/d/1Dj4jcHCTV9JXKCaMoheSXS52JE63kDKyG7bPXnFogHk/edit?usp=shar"&amp;"ing"",""นครศรีธรรมราช!S327"")+IMPORTRANGE(""https://docs.google.com/spreadsheets/d/1iodCdmuK2GR3jzUwk8tpccY2JHQQA-87DLOtJP-ooyU/edit?usp=sharing"",""นราธิวาส!S327"")+IMPORTRANGE(""https://docs.google.com/spreadsheets/d/1SDNX3JhDdYRuIOsj0Wh2M-Qa_eaXl0NbWmh"&amp;"AOTbfQAs/edit?usp=sharing"",""ปัตตานี!S327"")+IMPORTRANGE(""https://docs.google.com/spreadsheets/d/16JDLGguT8s5DsGCND1KcwHP_AWR_zDMTqLHPLJUKhaU/edit?usp=sharing"",""พังงา!S327"")+IMPORTRANGE(""https://docs.google.com/spreadsheets/d/17ht0gPKzzT3PObBL1XJkeR"&amp;"mntBXI7wGjpLV7QorqlTk/edit?usp=sharing"",""พัทลุง!S327"")+IMPORTRANGE(""https://docs.google.com/spreadsheets/d/1rd4qoM1q_hsgaolqNGfrim9gbsoLxQsda4-vOz5x_BM/edit?usp=sharing"",""ภูเก็ต!S327"")+IMPORTRANGE(""https://docs.google.com/spreadsheets/d/1woKwKjgoL"&amp;"ssDvPcPeVyezB5izizAn4X1JDrys69n6xI/edit?usp=sharing"",""ยะลา!S327"")+IMPORTRANGE(""https://docs.google.com/spreadsheets/d/1qfrKjzMhm2HJfxQ-qVlJlJQ25Hne1d0khsySbZyGtPA/edit?usp=sharing"",""ระนอง!S327"")+IMPORTRANGE(""https://docs.google.com/spreadsheets/d/"&amp;"1IbSCnFOKpZsnFogBHJnL_isstZVaOMnFiIN0fGTPZZw/edit?usp=sharing"",""สงขลา!S327"")+IMPORTRANGE(""https://docs.google.com/spreadsheets/d/1q9nWasZJ-K8bFGvbE9n0qSRuKGA4Toe3Y89cKCiVtCU/edit?usp=sharing"",""สตูล!S327"")+IMPORTRANGE(""https://docs.google.com/sprea"&amp;"dsheets/d/18T20gbkS_WBjdscyTOV05cvq_JqvqQ17C81mpxf7Ncs/edit?usp=sharing"",""สุราษฎร์ธานี!S327"")"),0)</f>
        <v>0</v>
      </c>
      <c r="T327" s="49">
        <f t="shared" ca="1" si="242"/>
        <v>0</v>
      </c>
      <c r="U327" s="49">
        <f t="shared" ca="1" si="243"/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47">
        <f ca="1">IFERROR(__xludf.DUMMYFUNCTION("IMPORTRANGE(""https://docs.google.com/spreadsheets/d/1kKUcYdkIfrgTSj8iHHHB2MD2FAtwyyocFgqGQn6ADyI/edit?usp=sharing"",""กระบี่!L328"")+IMPORTRANGE(""https://docs.google.com/spreadsheets/d/1GwtLaSlNZkLk7iDqcyZz22giiy40b_usZZBXYciEN1U/edit?usp=sharing"",""ชุ"&amp;"มพร!L328"")+IMPORTRANGE(""https://docs.google.com/spreadsheets/d/16pAz3pOhQEZBhvFNMa5KGgZS6iKWpsKX0pg6tQmwFpo/edit?usp=sharing"",""ตรัง!L328"")+IMPORTRANGE(""https://docs.google.com/spreadsheets/d/1Dj4jcHCTV9JXKCaMoheSXS52JE63kDKyG7bPXnFogHk/edit?usp=shar"&amp;"ing"",""นครศรีธรรมราช!L328"")+IMPORTRANGE(""https://docs.google.com/spreadsheets/d/1iodCdmuK2GR3jzUwk8tpccY2JHQQA-87DLOtJP-ooyU/edit?usp=sharing"",""นราธิวาส!L328"")+IMPORTRANGE(""https://docs.google.com/spreadsheets/d/1SDNX3JhDdYRuIOsj0Wh2M-Qa_eaXl0NbWmh"&amp;"AOTbfQAs/edit?usp=sharing"",""ปัตตานี!L328"")+IMPORTRANGE(""https://docs.google.com/spreadsheets/d/16JDLGguT8s5DsGCND1KcwHP_AWR_zDMTqLHPLJUKhaU/edit?usp=sharing"",""พังงา!L328"")+IMPORTRANGE(""https://docs.google.com/spreadsheets/d/17ht0gPKzzT3PObBL1XJkeR"&amp;"mntBXI7wGjpLV7QorqlTk/edit?usp=sharing"",""พัทลุง!L328"")+IMPORTRANGE(""https://docs.google.com/spreadsheets/d/1rd4qoM1q_hsgaolqNGfrim9gbsoLxQsda4-vOz5x_BM/edit?usp=sharing"",""ภูเก็ต!L328"")+IMPORTRANGE(""https://docs.google.com/spreadsheets/d/1woKwKjgoL"&amp;"ssDvPcPeVyezB5izizAn4X1JDrys69n6xI/edit?usp=sharing"",""ยะลา!L328"")+IMPORTRANGE(""https://docs.google.com/spreadsheets/d/1qfrKjzMhm2HJfxQ-qVlJlJQ25Hne1d0khsySbZyGtPA/edit?usp=sharing"",""ระนอง!L328"")+IMPORTRANGE(""https://docs.google.com/spreadsheets/d/"&amp;"1IbSCnFOKpZsnFogBHJnL_isstZVaOMnFiIN0fGTPZZw/edit?usp=sharing"",""สงขลา!L328"")+IMPORTRANGE(""https://docs.google.com/spreadsheets/d/1q9nWasZJ-K8bFGvbE9n0qSRuKGA4Toe3Y89cKCiVtCU/edit?usp=sharing"",""สตูล!L328"")+IMPORTRANGE(""https://docs.google.com/sprea"&amp;"dsheets/d/18T20gbkS_WBjdscyTOV05cvq_JqvqQ17C81mpxf7Ncs/edit?usp=sharing"",""สุราษฎร์ธานี!L328"")"),4487000)</f>
        <v>4487000</v>
      </c>
      <c r="M328" s="47">
        <f ca="1">IFERROR(__xludf.DUMMYFUNCTION("IMPORTRANGE(""https://docs.google.com/spreadsheets/d/1kKUcYdkIfrgTSj8iHHHB2MD2FAtwyyocFgqGQn6ADyI/edit?usp=sharing"",""กระบี่!M328"")+IMPORTRANGE(""https://docs.google.com/spreadsheets/d/1GwtLaSlNZkLk7iDqcyZz22giiy40b_usZZBXYciEN1U/edit?usp=sharing"",""ชุ"&amp;"มพร!M328"")+IMPORTRANGE(""https://docs.google.com/spreadsheets/d/16pAz3pOhQEZBhvFNMa5KGgZS6iKWpsKX0pg6tQmwFpo/edit?usp=sharing"",""ตรัง!M328"")+IMPORTRANGE(""https://docs.google.com/spreadsheets/d/1Dj4jcHCTV9JXKCaMoheSXS52JE63kDKyG7bPXnFogHk/edit?usp=shar"&amp;"ing"",""นครศรีธรรมราช!M328"")+IMPORTRANGE(""https://docs.google.com/spreadsheets/d/1iodCdmuK2GR3jzUwk8tpccY2JHQQA-87DLOtJP-ooyU/edit?usp=sharing"",""นราธิวาส!M328"")+IMPORTRANGE(""https://docs.google.com/spreadsheets/d/1SDNX3JhDdYRuIOsj0Wh2M-Qa_eaXl0NbWmh"&amp;"AOTbfQAs/edit?usp=sharing"",""ปัตตานี!M328"")+IMPORTRANGE(""https://docs.google.com/spreadsheets/d/16JDLGguT8s5DsGCND1KcwHP_AWR_zDMTqLHPLJUKhaU/edit?usp=sharing"",""พังงา!M328"")+IMPORTRANGE(""https://docs.google.com/spreadsheets/d/17ht0gPKzzT3PObBL1XJkeR"&amp;"mntBXI7wGjpLV7QorqlTk/edit?usp=sharing"",""พัทลุง!M328"")+IMPORTRANGE(""https://docs.google.com/spreadsheets/d/1rd4qoM1q_hsgaolqNGfrim9gbsoLxQsda4-vOz5x_BM/edit?usp=sharing"",""ภูเก็ต!M328"")+IMPORTRANGE(""https://docs.google.com/spreadsheets/d/1woKwKjgoL"&amp;"ssDvPcPeVyezB5izizAn4X1JDrys69n6xI/edit?usp=sharing"",""ยะลา!M328"")+IMPORTRANGE(""https://docs.google.com/spreadsheets/d/1qfrKjzMhm2HJfxQ-qVlJlJQ25Hne1d0khsySbZyGtPA/edit?usp=sharing"",""ระนอง!M328"")+IMPORTRANGE(""https://docs.google.com/spreadsheets/d/"&amp;"1IbSCnFOKpZsnFogBHJnL_isstZVaOMnFiIN0fGTPZZw/edit?usp=sharing"",""สงขลา!M328"")+IMPORTRANGE(""https://docs.google.com/spreadsheets/d/1q9nWasZJ-K8bFGvbE9n0qSRuKGA4Toe3Y89cKCiVtCU/edit?usp=sharing"",""สตูล!M328"")+IMPORTRANGE(""https://docs.google.com/sprea"&amp;"dsheets/d/18T20gbkS_WBjdscyTOV05cvq_JqvqQ17C81mpxf7Ncs/edit?usp=sharing"",""สุราษฎร์ธานี!M328"")"),4487000)</f>
        <v>4487000</v>
      </c>
      <c r="N328" s="47">
        <f ca="1">IFERROR(__xludf.DUMMYFUNCTION("IMPORTRANGE(""https://docs.google.com/spreadsheets/d/1kKUcYdkIfrgTSj8iHHHB2MD2FAtwyyocFgqGQn6ADyI/edit?usp=sharing"",""กระบี่!N328"")+IMPORTRANGE(""https://docs.google.com/spreadsheets/d/1GwtLaSlNZkLk7iDqcyZz22giiy40b_usZZBXYciEN1U/edit?usp=sharing"",""ชุ"&amp;"มพร!N328"")+IMPORTRANGE(""https://docs.google.com/spreadsheets/d/16pAz3pOhQEZBhvFNMa5KGgZS6iKWpsKX0pg6tQmwFpo/edit?usp=sharing"",""ตรัง!N328"")+IMPORTRANGE(""https://docs.google.com/spreadsheets/d/1Dj4jcHCTV9JXKCaMoheSXS52JE63kDKyG7bPXnFogHk/edit?usp=shar"&amp;"ing"",""นครศรีธรรมราช!N328"")+IMPORTRANGE(""https://docs.google.com/spreadsheets/d/1iodCdmuK2GR3jzUwk8tpccY2JHQQA-87DLOtJP-ooyU/edit?usp=sharing"",""นราธิวาส!N328"")+IMPORTRANGE(""https://docs.google.com/spreadsheets/d/1SDNX3JhDdYRuIOsj0Wh2M-Qa_eaXl0NbWmh"&amp;"AOTbfQAs/edit?usp=sharing"",""ปัตตานี!N328"")+IMPORTRANGE(""https://docs.google.com/spreadsheets/d/16JDLGguT8s5DsGCND1KcwHP_AWR_zDMTqLHPLJUKhaU/edit?usp=sharing"",""พังงา!N328"")+IMPORTRANGE(""https://docs.google.com/spreadsheets/d/17ht0gPKzzT3PObBL1XJkeR"&amp;"mntBXI7wGjpLV7QorqlTk/edit?usp=sharing"",""พัทลุง!N328"")+IMPORTRANGE(""https://docs.google.com/spreadsheets/d/1rd4qoM1q_hsgaolqNGfrim9gbsoLxQsda4-vOz5x_BM/edit?usp=sharing"",""ภูเก็ต!N328"")+IMPORTRANGE(""https://docs.google.com/spreadsheets/d/1woKwKjgoL"&amp;"ssDvPcPeVyezB5izizAn4X1JDrys69n6xI/edit?usp=sharing"",""ยะลา!N328"")+IMPORTRANGE(""https://docs.google.com/spreadsheets/d/1qfrKjzMhm2HJfxQ-qVlJlJQ25Hne1d0khsySbZyGtPA/edit?usp=sharing"",""ระนอง!N328"")+IMPORTRANGE(""https://docs.google.com/spreadsheets/d/"&amp;"1IbSCnFOKpZsnFogBHJnL_isstZVaOMnFiIN0fGTPZZw/edit?usp=sharing"",""สงขลา!N328"")+IMPORTRANGE(""https://docs.google.com/spreadsheets/d/1q9nWasZJ-K8bFGvbE9n0qSRuKGA4Toe3Y89cKCiVtCU/edit?usp=sharing"",""สตูล!N328"")+IMPORTRANGE(""https://docs.google.com/sprea"&amp;"dsheets/d/18T20gbkS_WBjdscyTOV05cvq_JqvqQ17C81mpxf7Ncs/edit?usp=sharing"",""สุราษฎร์ธานี!N328"")"),3774800)</f>
        <v>3774800</v>
      </c>
      <c r="O328" s="47">
        <f t="shared" ca="1" si="239"/>
        <v>84.127479384889682</v>
      </c>
      <c r="P328" s="47">
        <f t="shared" ca="1" si="240"/>
        <v>84.127479384889682</v>
      </c>
      <c r="Q328" s="47">
        <f ca="1">IFERROR(__xludf.DUMMYFUNCTION("IMPORTRANGE(""https://docs.google.com/spreadsheets/d/1kKUcYdkIfrgTSj8iHHHB2MD2FAtwyyocFgqGQn6ADyI/edit?usp=sharing"",""กระบี่!Q328"")+IMPORTRANGE(""https://docs.google.com/spreadsheets/d/1GwtLaSlNZkLk7iDqcyZz22giiy40b_usZZBXYciEN1U/edit?usp=sharing"",""ชุ"&amp;"มพร!Q328"")+IMPORTRANGE(""https://docs.google.com/spreadsheets/d/16pAz3pOhQEZBhvFNMa5KGgZS6iKWpsKX0pg6tQmwFpo/edit?usp=sharing"",""ตรัง!Q328"")+IMPORTRANGE(""https://docs.google.com/spreadsheets/d/1Dj4jcHCTV9JXKCaMoheSXS52JE63kDKyG7bPXnFogHk/edit?usp=shar"&amp;"ing"",""นครศรีธรรมราช!Q328"")+IMPORTRANGE(""https://docs.google.com/spreadsheets/d/1iodCdmuK2GR3jzUwk8tpccY2JHQQA-87DLOtJP-ooyU/edit?usp=sharing"",""นราธิวาส!Q328"")+IMPORTRANGE(""https://docs.google.com/spreadsheets/d/1SDNX3JhDdYRuIOsj0Wh2M-Qa_eaXl0NbWmh"&amp;"AOTbfQAs/edit?usp=sharing"",""ปัตตานี!Q328"")+IMPORTRANGE(""https://docs.google.com/spreadsheets/d/16JDLGguT8s5DsGCND1KcwHP_AWR_zDMTqLHPLJUKhaU/edit?usp=sharing"",""พังงา!Q328"")+IMPORTRANGE(""https://docs.google.com/spreadsheets/d/17ht0gPKzzT3PObBL1XJkeR"&amp;"mntBXI7wGjpLV7QorqlTk/edit?usp=sharing"",""พัทลุง!Q328"")+IMPORTRANGE(""https://docs.google.com/spreadsheets/d/1rd4qoM1q_hsgaolqNGfrim9gbsoLxQsda4-vOz5x_BM/edit?usp=sharing"",""ภูเก็ต!Q328"")+IMPORTRANGE(""https://docs.google.com/spreadsheets/d/1woKwKjgoL"&amp;"ssDvPcPeVyezB5izizAn4X1JDrys69n6xI/edit?usp=sharing"",""ยะลา!Q328"")+IMPORTRANGE(""https://docs.google.com/spreadsheets/d/1qfrKjzMhm2HJfxQ-qVlJlJQ25Hne1d0khsySbZyGtPA/edit?usp=sharing"",""ระนอง!Q328"")+IMPORTRANGE(""https://docs.google.com/spreadsheets/d/"&amp;"1IbSCnFOKpZsnFogBHJnL_isstZVaOMnFiIN0fGTPZZw/edit?usp=sharing"",""สงขลา!Q328"")+IMPORTRANGE(""https://docs.google.com/spreadsheets/d/1q9nWasZJ-K8bFGvbE9n0qSRuKGA4Toe3Y89cKCiVtCU/edit?usp=sharing"",""สตูล!Q328"")+IMPORTRANGE(""https://docs.google.com/sprea"&amp;"dsheets/d/18T20gbkS_WBjdscyTOV05cvq_JqvqQ17C81mpxf7Ncs/edit?usp=sharing"",""สุราษฎร์ธานี!Q328"")"),0)</f>
        <v>0</v>
      </c>
      <c r="R328" s="47">
        <f ca="1">IFERROR(__xludf.DUMMYFUNCTION("IMPORTRANGE(""https://docs.google.com/spreadsheets/d/1kKUcYdkIfrgTSj8iHHHB2MD2FAtwyyocFgqGQn6ADyI/edit?usp=sharing"",""กระบี่!R328"")+IMPORTRANGE(""https://docs.google.com/spreadsheets/d/1GwtLaSlNZkLk7iDqcyZz22giiy40b_usZZBXYciEN1U/edit?usp=sharing"",""ชุ"&amp;"มพร!R328"")+IMPORTRANGE(""https://docs.google.com/spreadsheets/d/16pAz3pOhQEZBhvFNMa5KGgZS6iKWpsKX0pg6tQmwFpo/edit?usp=sharing"",""ตรัง!R328"")+IMPORTRANGE(""https://docs.google.com/spreadsheets/d/1Dj4jcHCTV9JXKCaMoheSXS52JE63kDKyG7bPXnFogHk/edit?usp=shar"&amp;"ing"",""นครศรีธรรมราช!R328"")+IMPORTRANGE(""https://docs.google.com/spreadsheets/d/1iodCdmuK2GR3jzUwk8tpccY2JHQQA-87DLOtJP-ooyU/edit?usp=sharing"",""นราธิวาส!R328"")+IMPORTRANGE(""https://docs.google.com/spreadsheets/d/1SDNX3JhDdYRuIOsj0Wh2M-Qa_eaXl0NbWmh"&amp;"AOTbfQAs/edit?usp=sharing"",""ปัตตานี!R328"")+IMPORTRANGE(""https://docs.google.com/spreadsheets/d/16JDLGguT8s5DsGCND1KcwHP_AWR_zDMTqLHPLJUKhaU/edit?usp=sharing"",""พังงา!R328"")+IMPORTRANGE(""https://docs.google.com/spreadsheets/d/17ht0gPKzzT3PObBL1XJkeR"&amp;"mntBXI7wGjpLV7QorqlTk/edit?usp=sharing"",""พัทลุง!R328"")+IMPORTRANGE(""https://docs.google.com/spreadsheets/d/1rd4qoM1q_hsgaolqNGfrim9gbsoLxQsda4-vOz5x_BM/edit?usp=sharing"",""ภูเก็ต!R328"")+IMPORTRANGE(""https://docs.google.com/spreadsheets/d/1woKwKjgoL"&amp;"ssDvPcPeVyezB5izizAn4X1JDrys69n6xI/edit?usp=sharing"",""ยะลา!R328"")+IMPORTRANGE(""https://docs.google.com/spreadsheets/d/1qfrKjzMhm2HJfxQ-qVlJlJQ25Hne1d0khsySbZyGtPA/edit?usp=sharing"",""ระนอง!R328"")+IMPORTRANGE(""https://docs.google.com/spreadsheets/d/"&amp;"1IbSCnFOKpZsnFogBHJnL_isstZVaOMnFiIN0fGTPZZw/edit?usp=sharing"",""สงขลา!R328"")+IMPORTRANGE(""https://docs.google.com/spreadsheets/d/1q9nWasZJ-K8bFGvbE9n0qSRuKGA4Toe3Y89cKCiVtCU/edit?usp=sharing"",""สตูล!R328"")+IMPORTRANGE(""https://docs.google.com/sprea"&amp;"dsheets/d/18T20gbkS_WBjdscyTOV05cvq_JqvqQ17C81mpxf7Ncs/edit?usp=sharing"",""สุราษฎร์ธานี!R328"")"),0)</f>
        <v>0</v>
      </c>
      <c r="S328" s="47">
        <f ca="1">IFERROR(__xludf.DUMMYFUNCTION("IMPORTRANGE(""https://docs.google.com/spreadsheets/d/1kKUcYdkIfrgTSj8iHHHB2MD2FAtwyyocFgqGQn6ADyI/edit?usp=sharing"",""กระบี่!S328"")+IMPORTRANGE(""https://docs.google.com/spreadsheets/d/1GwtLaSlNZkLk7iDqcyZz22giiy40b_usZZBXYciEN1U/edit?usp=sharing"",""ชุ"&amp;"มพร!S328"")+IMPORTRANGE(""https://docs.google.com/spreadsheets/d/16pAz3pOhQEZBhvFNMa5KGgZS6iKWpsKX0pg6tQmwFpo/edit?usp=sharing"",""ตรัง!S328"")+IMPORTRANGE(""https://docs.google.com/spreadsheets/d/1Dj4jcHCTV9JXKCaMoheSXS52JE63kDKyG7bPXnFogHk/edit?usp=shar"&amp;"ing"",""นครศรีธรรมราช!S328"")+IMPORTRANGE(""https://docs.google.com/spreadsheets/d/1iodCdmuK2GR3jzUwk8tpccY2JHQQA-87DLOtJP-ooyU/edit?usp=sharing"",""นราธิวาส!S328"")+IMPORTRANGE(""https://docs.google.com/spreadsheets/d/1SDNX3JhDdYRuIOsj0Wh2M-Qa_eaXl0NbWmh"&amp;"AOTbfQAs/edit?usp=sharing"",""ปัตตานี!S328"")+IMPORTRANGE(""https://docs.google.com/spreadsheets/d/16JDLGguT8s5DsGCND1KcwHP_AWR_zDMTqLHPLJUKhaU/edit?usp=sharing"",""พังงา!S328"")+IMPORTRANGE(""https://docs.google.com/spreadsheets/d/17ht0gPKzzT3PObBL1XJkeR"&amp;"mntBXI7wGjpLV7QorqlTk/edit?usp=sharing"",""พัทลุง!S328"")+IMPORTRANGE(""https://docs.google.com/spreadsheets/d/1rd4qoM1q_hsgaolqNGfrim9gbsoLxQsda4-vOz5x_BM/edit?usp=sharing"",""ภูเก็ต!S328"")+IMPORTRANGE(""https://docs.google.com/spreadsheets/d/1woKwKjgoL"&amp;"ssDvPcPeVyezB5izizAn4X1JDrys69n6xI/edit?usp=sharing"",""ยะลา!S328"")+IMPORTRANGE(""https://docs.google.com/spreadsheets/d/1qfrKjzMhm2HJfxQ-qVlJlJQ25Hne1d0khsySbZyGtPA/edit?usp=sharing"",""ระนอง!S328"")+IMPORTRANGE(""https://docs.google.com/spreadsheets/d/"&amp;"1IbSCnFOKpZsnFogBHJnL_isstZVaOMnFiIN0fGTPZZw/edit?usp=sharing"",""สงขลา!S328"")+IMPORTRANGE(""https://docs.google.com/spreadsheets/d/1q9nWasZJ-K8bFGvbE9n0qSRuKGA4Toe3Y89cKCiVtCU/edit?usp=sharing"",""สตูล!S328"")+IMPORTRANGE(""https://docs.google.com/sprea"&amp;"dsheets/d/18T20gbkS_WBjdscyTOV05cvq_JqvqQ17C81mpxf7Ncs/edit?usp=sharing"",""สุราษฎร์ธานี!S328"")"),0)</f>
        <v>0</v>
      </c>
      <c r="T328" s="47">
        <f t="shared" ca="1" si="242"/>
        <v>0</v>
      </c>
      <c r="U328" s="47">
        <f t="shared" ca="1" si="243"/>
        <v>0</v>
      </c>
    </row>
    <row r="329" spans="1:21" ht="19.5" x14ac:dyDescent="0.3">
      <c r="A329" s="138"/>
      <c r="B329" s="139"/>
      <c r="C329" s="129" t="s">
        <v>18</v>
      </c>
      <c r="D329" s="140" t="s">
        <v>38</v>
      </c>
      <c r="E329" s="141"/>
      <c r="F329" s="141"/>
      <c r="G329" s="142"/>
      <c r="H329" s="143"/>
      <c r="I329" s="135"/>
      <c r="J329" s="45"/>
      <c r="K329" s="46"/>
      <c r="L329" s="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kKUcYdkIfrgTSj8iHHHB2MD2FAtwyyocFgqGQn6ADyI/edit?usp=sharing"",""กระบี่!I330"")+IMPORTRANGE(""https://docs.google.com/spreadsheets/d/1GwtLaSlNZkLk7iDqcyZz22giiy40b_usZZBXYciEN1U/edit?usp=sharing"",""ชุ"&amp;"มพร!I330"")+IMPORTRANGE(""https://docs.google.com/spreadsheets/d/16pAz3pOhQEZBhvFNMa5KGgZS6iKWpsKX0pg6tQmwFpo/edit?usp=sharing"",""ตรัง!I330"")+IMPORTRANGE(""https://docs.google.com/spreadsheets/d/1Dj4jcHCTV9JXKCaMoheSXS52JE63kDKyG7bPXnFogHk/edit?usp=shar"&amp;"ing"",""นครศรีธรรมราช!I330"")+IMPORTRANGE(""https://docs.google.com/spreadsheets/d/1iodCdmuK2GR3jzUwk8tpccY2JHQQA-87DLOtJP-ooyU/edit?usp=sharing"",""นราธิวาส!I330"")+IMPORTRANGE(""https://docs.google.com/spreadsheets/d/1SDNX3JhDdYRuIOsj0Wh2M-Qa_eaXl0NbWmh"&amp;"AOTbfQAs/edit?usp=sharing"",""ปัตตานี!I330"")+IMPORTRANGE(""https://docs.google.com/spreadsheets/d/16JDLGguT8s5DsGCND1KcwHP_AWR_zDMTqLHPLJUKhaU/edit?usp=sharing"",""พังงา!I330"")+IMPORTRANGE(""https://docs.google.com/spreadsheets/d/17ht0gPKzzT3PObBL1XJkeR"&amp;"mntBXI7wGjpLV7QorqlTk/edit?usp=sharing"",""พัทลุง!I330"")+IMPORTRANGE(""https://docs.google.com/spreadsheets/d/1rd4qoM1q_hsgaolqNGfrim9gbsoLxQsda4-vOz5x_BM/edit?usp=sharing"",""ภูเก็ต!I330"")+IMPORTRANGE(""https://docs.google.com/spreadsheets/d/1woKwKjgoL"&amp;"ssDvPcPeVyezB5izizAn4X1JDrys69n6xI/edit?usp=sharing"",""ยะลา!I330"")+IMPORTRANGE(""https://docs.google.com/spreadsheets/d/1qfrKjzMhm2HJfxQ-qVlJlJQ25Hne1d0khsySbZyGtPA/edit?usp=sharing"",""ระนอง!I330"")+IMPORTRANGE(""https://docs.google.com/spreadsheets/d/"&amp;"1IbSCnFOKpZsnFogBHJnL_isstZVaOMnFiIN0fGTPZZw/edit?usp=sharing"",""สงขลา!I330"")+IMPORTRANGE(""https://docs.google.com/spreadsheets/d/1q9nWasZJ-K8bFGvbE9n0qSRuKGA4Toe3Y89cKCiVtCU/edit?usp=sharing"",""สตูล!I330"")+IMPORTRANGE(""https://docs.google.com/sprea"&amp;"dsheets/d/18T20gbkS_WBjdscyTOV05cvq_JqvqQ17C81mpxf7Ncs/edit?usp=sharing"",""สุราษฎร์ธานี!I330"")"),4)</f>
        <v>4</v>
      </c>
      <c r="J330" s="152">
        <f ca="1">IFERROR(__xludf.DUMMYFUNCTION("IMPORTRANGE(""https://docs.google.com/spreadsheets/d/1kKUcYdkIfrgTSj8iHHHB2MD2FAtwyyocFgqGQn6ADyI/edit?usp=sharing"",""กระบี่!J330"")+IMPORTRANGE(""https://docs.google.com/spreadsheets/d/1GwtLaSlNZkLk7iDqcyZz22giiy40b_usZZBXYciEN1U/edit?usp=sharing"",""ชุ"&amp;"มพร!J330"")+IMPORTRANGE(""https://docs.google.com/spreadsheets/d/16pAz3pOhQEZBhvFNMa5KGgZS6iKWpsKX0pg6tQmwFpo/edit?usp=sharing"",""ตรัง!J330"")+IMPORTRANGE(""https://docs.google.com/spreadsheets/d/1Dj4jcHCTV9JXKCaMoheSXS52JE63kDKyG7bPXnFogHk/edit?usp=shar"&amp;"ing"",""นครศรีธรรมราช!J330"")+IMPORTRANGE(""https://docs.google.com/spreadsheets/d/1iodCdmuK2GR3jzUwk8tpccY2JHQQA-87DLOtJP-ooyU/edit?usp=sharing"",""นราธิวาส!J330"")+IMPORTRANGE(""https://docs.google.com/spreadsheets/d/1SDNX3JhDdYRuIOsj0Wh2M-Qa_eaXl0NbWmh"&amp;"AOTbfQAs/edit?usp=sharing"",""ปัตตานี!J330"")+IMPORTRANGE(""https://docs.google.com/spreadsheets/d/16JDLGguT8s5DsGCND1KcwHP_AWR_zDMTqLHPLJUKhaU/edit?usp=sharing"",""พังงา!J330"")+IMPORTRANGE(""https://docs.google.com/spreadsheets/d/17ht0gPKzzT3PObBL1XJkeR"&amp;"mntBXI7wGjpLV7QorqlTk/edit?usp=sharing"",""พัทลุง!J330"")+IMPORTRANGE(""https://docs.google.com/spreadsheets/d/1rd4qoM1q_hsgaolqNGfrim9gbsoLxQsda4-vOz5x_BM/edit?usp=sharing"",""ภูเก็ต!J330"")+IMPORTRANGE(""https://docs.google.com/spreadsheets/d/1woKwKjgoL"&amp;"ssDvPcPeVyezB5izizAn4X1JDrys69n6xI/edit?usp=sharing"",""ยะลา!J330"")+IMPORTRANGE(""https://docs.google.com/spreadsheets/d/1qfrKjzMhm2HJfxQ-qVlJlJQ25Hne1d0khsySbZyGtPA/edit?usp=sharing"",""ระนอง!J330"")+IMPORTRANGE(""https://docs.google.com/spreadsheets/d/"&amp;"1IbSCnFOKpZsnFogBHJnL_isstZVaOMnFiIN0fGTPZZw/edit?usp=sharing"",""สงขลา!J330"")+IMPORTRANGE(""https://docs.google.com/spreadsheets/d/1q9nWasZJ-K8bFGvbE9n0qSRuKGA4Toe3Y89cKCiVtCU/edit?usp=sharing"",""สตูล!J330"")+IMPORTRANGE(""https://docs.google.com/sprea"&amp;"dsheets/d/18T20gbkS_WBjdscyTOV05cvq_JqvqQ17C81mpxf7Ncs/edit?usp=sharing"",""สุราษฎร์ธานี!J330"")"),2)</f>
        <v>2</v>
      </c>
      <c r="K330" s="47">
        <f ca="1">IF(I330&gt;0,J330*100/I330,0)</f>
        <v>50</v>
      </c>
      <c r="L330" s="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304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310">
        <f ca="1">I344</f>
        <v>12140</v>
      </c>
      <c r="J332" s="310">
        <f ca="1">J344+J347+J348+J349+J353</f>
        <v>57553</v>
      </c>
      <c r="K332" s="311">
        <f ca="1">IF(I332&gt;0,J332*100/I332,0)</f>
        <v>474.07742998352552</v>
      </c>
      <c r="L332" s="312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129" t="s">
        <v>18</v>
      </c>
      <c r="D333" s="130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132">
        <f t="shared" ref="L333:N333" ca="1" si="252">L334+L335</f>
        <v>3831100</v>
      </c>
      <c r="M333" s="132">
        <f t="shared" ca="1" si="252"/>
        <v>3882275</v>
      </c>
      <c r="N333" s="132">
        <f t="shared" ca="1" si="252"/>
        <v>1684142.05</v>
      </c>
      <c r="O333" s="132">
        <f t="shared" ref="O333:O341" ca="1" si="253">IF(L333&gt;0,N333*100/L333,0)</f>
        <v>43.959751768421604</v>
      </c>
      <c r="P333" s="132">
        <f t="shared" ref="P333:P341" ca="1" si="254">IF(M333&gt;0,N333*100/M333,0)</f>
        <v>43.38028733152597</v>
      </c>
      <c r="Q333" s="132">
        <f t="shared" ref="Q333:S333" ca="1" si="255">Q334+Q335</f>
        <v>0</v>
      </c>
      <c r="R333" s="132">
        <f t="shared" ca="1" si="255"/>
        <v>0</v>
      </c>
      <c r="S333" s="132">
        <f t="shared" ca="1" si="255"/>
        <v>0</v>
      </c>
      <c r="T333" s="132">
        <f t="shared" ref="T333:T341" ca="1" si="256">IF(Q333&gt;0,S333*100/Q333,0)</f>
        <v>0</v>
      </c>
      <c r="U333" s="132">
        <f t="shared" ref="U333:U341" ca="1" si="257"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48" t="s">
        <v>20</v>
      </c>
      <c r="F334" s="41"/>
      <c r="G334" s="43"/>
      <c r="H334" s="133" t="s">
        <v>14</v>
      </c>
      <c r="I334" s="45"/>
      <c r="J334" s="45"/>
      <c r="K334" s="46"/>
      <c r="L334" s="47">
        <f t="shared" ref="L334:N334" ca="1" si="258">L337+L340</f>
        <v>0</v>
      </c>
      <c r="M334" s="47">
        <f t="shared" ca="1" si="258"/>
        <v>0</v>
      </c>
      <c r="N334" s="47">
        <f t="shared" ca="1" si="258"/>
        <v>0</v>
      </c>
      <c r="O334" s="47">
        <f t="shared" ca="1" si="253"/>
        <v>0</v>
      </c>
      <c r="P334" s="47">
        <f t="shared" ca="1" si="254"/>
        <v>0</v>
      </c>
      <c r="Q334" s="47">
        <f t="shared" ref="Q334:S334" ca="1" si="259">Q337+Q340</f>
        <v>0</v>
      </c>
      <c r="R334" s="47">
        <f t="shared" ca="1" si="259"/>
        <v>0</v>
      </c>
      <c r="S334" s="47">
        <f t="shared" ca="1" si="259"/>
        <v>0</v>
      </c>
      <c r="T334" s="49">
        <f t="shared" ca="1" si="256"/>
        <v>0</v>
      </c>
      <c r="U334" s="49">
        <f t="shared" ca="1" si="257"/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47">
        <f t="shared" ref="L335:N335" ca="1" si="260">L338+L341</f>
        <v>3831100</v>
      </c>
      <c r="M335" s="47">
        <f t="shared" ca="1" si="260"/>
        <v>3882275</v>
      </c>
      <c r="N335" s="47">
        <f t="shared" ca="1" si="260"/>
        <v>1684142.05</v>
      </c>
      <c r="O335" s="47">
        <f t="shared" ca="1" si="253"/>
        <v>43.959751768421604</v>
      </c>
      <c r="P335" s="47">
        <f t="shared" ca="1" si="254"/>
        <v>43.38028733152597</v>
      </c>
      <c r="Q335" s="47">
        <f t="shared" ref="Q335:S335" ca="1" si="261">Q338+Q341</f>
        <v>0</v>
      </c>
      <c r="R335" s="47">
        <f t="shared" ca="1" si="261"/>
        <v>0</v>
      </c>
      <c r="S335" s="47">
        <f t="shared" ca="1" si="261"/>
        <v>0</v>
      </c>
      <c r="T335" s="47">
        <f t="shared" ca="1" si="256"/>
        <v>0</v>
      </c>
      <c r="U335" s="47">
        <f t="shared" ca="1" si="257"/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47">
        <f t="shared" ref="L336:N336" ca="1" si="262">L337+L338</f>
        <v>2981100</v>
      </c>
      <c r="M336" s="47">
        <f t="shared" ca="1" si="262"/>
        <v>3032275</v>
      </c>
      <c r="N336" s="47">
        <f t="shared" ca="1" si="262"/>
        <v>1684142.05</v>
      </c>
      <c r="O336" s="47">
        <f t="shared" ca="1" si="253"/>
        <v>56.4939804099158</v>
      </c>
      <c r="P336" s="47">
        <f t="shared" ca="1" si="254"/>
        <v>55.540544640575149</v>
      </c>
      <c r="Q336" s="47">
        <f t="shared" ref="Q336:S336" ca="1" si="263">Q337+Q338</f>
        <v>0</v>
      </c>
      <c r="R336" s="47">
        <f t="shared" ca="1" si="263"/>
        <v>0</v>
      </c>
      <c r="S336" s="47">
        <f t="shared" ca="1" si="263"/>
        <v>0</v>
      </c>
      <c r="T336" s="47">
        <f t="shared" ca="1" si="256"/>
        <v>0</v>
      </c>
      <c r="U336" s="47">
        <f t="shared" ca="1" si="257"/>
        <v>0</v>
      </c>
    </row>
    <row r="337" spans="1:21" ht="18.75" hidden="1" x14ac:dyDescent="0.25">
      <c r="A337" s="128"/>
      <c r="B337" s="41"/>
      <c r="C337" s="41"/>
      <c r="D337" s="41"/>
      <c r="E337" s="48" t="s">
        <v>36</v>
      </c>
      <c r="F337" s="41"/>
      <c r="G337" s="43"/>
      <c r="H337" s="134" t="s">
        <v>14</v>
      </c>
      <c r="I337" s="135"/>
      <c r="J337" s="135"/>
      <c r="K337" s="136"/>
      <c r="L337" s="47">
        <f ca="1">IFERROR(__xludf.DUMMYFUNCTION("IMPORTRANGE(""https://docs.google.com/spreadsheets/d/1kKUcYdkIfrgTSj8iHHHB2MD2FAtwyyocFgqGQn6ADyI/edit?usp=sharing"",""กระบี่!L337"")+IMPORTRANGE(""https://docs.google.com/spreadsheets/d/1GwtLaSlNZkLk7iDqcyZz22giiy40b_usZZBXYciEN1U/edit?usp=sharing"",""ชุ"&amp;"มพร!L337"")+IMPORTRANGE(""https://docs.google.com/spreadsheets/d/16pAz3pOhQEZBhvFNMa5KGgZS6iKWpsKX0pg6tQmwFpo/edit?usp=sharing"",""ตรัง!L337"")+IMPORTRANGE(""https://docs.google.com/spreadsheets/d/1Dj4jcHCTV9JXKCaMoheSXS52JE63kDKyG7bPXnFogHk/edit?usp=shar"&amp;"ing"",""นครศรีธรรมราช!L337"")+IMPORTRANGE(""https://docs.google.com/spreadsheets/d/1iodCdmuK2GR3jzUwk8tpccY2JHQQA-87DLOtJP-ooyU/edit?usp=sharing"",""นราธิวาส!L337"")+IMPORTRANGE(""https://docs.google.com/spreadsheets/d/1SDNX3JhDdYRuIOsj0Wh2M-Qa_eaXl0NbWmh"&amp;"AOTbfQAs/edit?usp=sharing"",""ปัตตานี!L337"")+IMPORTRANGE(""https://docs.google.com/spreadsheets/d/16JDLGguT8s5DsGCND1KcwHP_AWR_zDMTqLHPLJUKhaU/edit?usp=sharing"",""พังงา!L337"")+IMPORTRANGE(""https://docs.google.com/spreadsheets/d/17ht0gPKzzT3PObBL1XJkeR"&amp;"mntBXI7wGjpLV7QorqlTk/edit?usp=sharing"",""พัทลุง!L337"")+IMPORTRANGE(""https://docs.google.com/spreadsheets/d/1rd4qoM1q_hsgaolqNGfrim9gbsoLxQsda4-vOz5x_BM/edit?usp=sharing"",""ภูเก็ต!L337"")+IMPORTRANGE(""https://docs.google.com/spreadsheets/d/1woKwKjgoL"&amp;"ssDvPcPeVyezB5izizAn4X1JDrys69n6xI/edit?usp=sharing"",""ยะลา!L337"")+IMPORTRANGE(""https://docs.google.com/spreadsheets/d/1qfrKjzMhm2HJfxQ-qVlJlJQ25Hne1d0khsySbZyGtPA/edit?usp=sharing"",""ระนอง!L337"")+IMPORTRANGE(""https://docs.google.com/spreadsheets/d/"&amp;"1IbSCnFOKpZsnFogBHJnL_isstZVaOMnFiIN0fGTPZZw/edit?usp=sharing"",""สงขลา!L337"")+IMPORTRANGE(""https://docs.google.com/spreadsheets/d/1q9nWasZJ-K8bFGvbE9n0qSRuKGA4Toe3Y89cKCiVtCU/edit?usp=sharing"",""สตูล!L337"")+IMPORTRANGE(""https://docs.google.com/sprea"&amp;"dsheets/d/18T20gbkS_WBjdscyTOV05cvq_JqvqQ17C81mpxf7Ncs/edit?usp=sharing"",""สุราษฎร์ธานี!L337"")"),0)</f>
        <v>0</v>
      </c>
      <c r="M337" s="47">
        <f ca="1">IFERROR(__xludf.DUMMYFUNCTION("IMPORTRANGE(""https://docs.google.com/spreadsheets/d/1kKUcYdkIfrgTSj8iHHHB2MD2FAtwyyocFgqGQn6ADyI/edit?usp=sharing"",""กระบี่!M337"")+IMPORTRANGE(""https://docs.google.com/spreadsheets/d/1GwtLaSlNZkLk7iDqcyZz22giiy40b_usZZBXYciEN1U/edit?usp=sharing"",""ชุ"&amp;"มพร!M337"")+IMPORTRANGE(""https://docs.google.com/spreadsheets/d/16pAz3pOhQEZBhvFNMa5KGgZS6iKWpsKX0pg6tQmwFpo/edit?usp=sharing"",""ตรัง!M337"")+IMPORTRANGE(""https://docs.google.com/spreadsheets/d/1Dj4jcHCTV9JXKCaMoheSXS52JE63kDKyG7bPXnFogHk/edit?usp=shar"&amp;"ing"",""นครศรีธรรมราช!M337"")+IMPORTRANGE(""https://docs.google.com/spreadsheets/d/1iodCdmuK2GR3jzUwk8tpccY2JHQQA-87DLOtJP-ooyU/edit?usp=sharing"",""นราธิวาส!M337"")+IMPORTRANGE(""https://docs.google.com/spreadsheets/d/1SDNX3JhDdYRuIOsj0Wh2M-Qa_eaXl0NbWmh"&amp;"AOTbfQAs/edit?usp=sharing"",""ปัตตานี!M337"")+IMPORTRANGE(""https://docs.google.com/spreadsheets/d/16JDLGguT8s5DsGCND1KcwHP_AWR_zDMTqLHPLJUKhaU/edit?usp=sharing"",""พังงา!M337"")+IMPORTRANGE(""https://docs.google.com/spreadsheets/d/17ht0gPKzzT3PObBL1XJkeR"&amp;"mntBXI7wGjpLV7QorqlTk/edit?usp=sharing"",""พัทลุง!M337"")+IMPORTRANGE(""https://docs.google.com/spreadsheets/d/1rd4qoM1q_hsgaolqNGfrim9gbsoLxQsda4-vOz5x_BM/edit?usp=sharing"",""ภูเก็ต!M337"")+IMPORTRANGE(""https://docs.google.com/spreadsheets/d/1woKwKjgoL"&amp;"ssDvPcPeVyezB5izizAn4X1JDrys69n6xI/edit?usp=sharing"",""ยะลา!M337"")+IMPORTRANGE(""https://docs.google.com/spreadsheets/d/1qfrKjzMhm2HJfxQ-qVlJlJQ25Hne1d0khsySbZyGtPA/edit?usp=sharing"",""ระนอง!M337"")+IMPORTRANGE(""https://docs.google.com/spreadsheets/d/"&amp;"1IbSCnFOKpZsnFogBHJnL_isstZVaOMnFiIN0fGTPZZw/edit?usp=sharing"",""สงขลา!M337"")+IMPORTRANGE(""https://docs.google.com/spreadsheets/d/1q9nWasZJ-K8bFGvbE9n0qSRuKGA4Toe3Y89cKCiVtCU/edit?usp=sharing"",""สตูล!M337"")+IMPORTRANGE(""https://docs.google.com/sprea"&amp;"dsheets/d/18T20gbkS_WBjdscyTOV05cvq_JqvqQ17C81mpxf7Ncs/edit?usp=sharing"",""สุราษฎร์ธานี!M337"")"),0)</f>
        <v>0</v>
      </c>
      <c r="N337" s="47">
        <f ca="1">IFERROR(__xludf.DUMMYFUNCTION("IMPORTRANGE(""https://docs.google.com/spreadsheets/d/1kKUcYdkIfrgTSj8iHHHB2MD2FAtwyyocFgqGQn6ADyI/edit?usp=sharing"",""กระบี่!N337"")+IMPORTRANGE(""https://docs.google.com/spreadsheets/d/1GwtLaSlNZkLk7iDqcyZz22giiy40b_usZZBXYciEN1U/edit?usp=sharing"",""ชุ"&amp;"มพร!N337"")+IMPORTRANGE(""https://docs.google.com/spreadsheets/d/16pAz3pOhQEZBhvFNMa5KGgZS6iKWpsKX0pg6tQmwFpo/edit?usp=sharing"",""ตรัง!N337"")+IMPORTRANGE(""https://docs.google.com/spreadsheets/d/1Dj4jcHCTV9JXKCaMoheSXS52JE63kDKyG7bPXnFogHk/edit?usp=shar"&amp;"ing"",""นครศรีธรรมราช!N337"")+IMPORTRANGE(""https://docs.google.com/spreadsheets/d/1iodCdmuK2GR3jzUwk8tpccY2JHQQA-87DLOtJP-ooyU/edit?usp=sharing"",""นราธิวาส!N337"")+IMPORTRANGE(""https://docs.google.com/spreadsheets/d/1SDNX3JhDdYRuIOsj0Wh2M-Qa_eaXl0NbWmh"&amp;"AOTbfQAs/edit?usp=sharing"",""ปัตตานี!N337"")+IMPORTRANGE(""https://docs.google.com/spreadsheets/d/16JDLGguT8s5DsGCND1KcwHP_AWR_zDMTqLHPLJUKhaU/edit?usp=sharing"",""พังงา!N337"")+IMPORTRANGE(""https://docs.google.com/spreadsheets/d/17ht0gPKzzT3PObBL1XJkeR"&amp;"mntBXI7wGjpLV7QorqlTk/edit?usp=sharing"",""พัทลุง!N337"")+IMPORTRANGE(""https://docs.google.com/spreadsheets/d/1rd4qoM1q_hsgaolqNGfrim9gbsoLxQsda4-vOz5x_BM/edit?usp=sharing"",""ภูเก็ต!N337"")+IMPORTRANGE(""https://docs.google.com/spreadsheets/d/1woKwKjgoL"&amp;"ssDvPcPeVyezB5izizAn4X1JDrys69n6xI/edit?usp=sharing"",""ยะลา!N337"")+IMPORTRANGE(""https://docs.google.com/spreadsheets/d/1qfrKjzMhm2HJfxQ-qVlJlJQ25Hne1d0khsySbZyGtPA/edit?usp=sharing"",""ระนอง!N337"")+IMPORTRANGE(""https://docs.google.com/spreadsheets/d/"&amp;"1IbSCnFOKpZsnFogBHJnL_isstZVaOMnFiIN0fGTPZZw/edit?usp=sharing"",""สงขลา!N337"")+IMPORTRANGE(""https://docs.google.com/spreadsheets/d/1q9nWasZJ-K8bFGvbE9n0qSRuKGA4Toe3Y89cKCiVtCU/edit?usp=sharing"",""สตูล!N337"")+IMPORTRANGE(""https://docs.google.com/sprea"&amp;"dsheets/d/18T20gbkS_WBjdscyTOV05cvq_JqvqQ17C81mpxf7Ncs/edit?usp=sharing"",""สุราษฎร์ธานี!N337"")"),0)</f>
        <v>0</v>
      </c>
      <c r="O337" s="47">
        <f t="shared" ca="1" si="253"/>
        <v>0</v>
      </c>
      <c r="P337" s="47">
        <f t="shared" ca="1" si="254"/>
        <v>0</v>
      </c>
      <c r="Q337" s="47">
        <f ca="1">IFERROR(__xludf.DUMMYFUNCTION("IMPORTRANGE(""https://docs.google.com/spreadsheets/d/1kKUcYdkIfrgTSj8iHHHB2MD2FAtwyyocFgqGQn6ADyI/edit?usp=sharing"",""กระบี่!Q337"")+IMPORTRANGE(""https://docs.google.com/spreadsheets/d/1GwtLaSlNZkLk7iDqcyZz22giiy40b_usZZBXYciEN1U/edit?usp=sharing"",""ชุ"&amp;"มพร!Q337"")+IMPORTRANGE(""https://docs.google.com/spreadsheets/d/16pAz3pOhQEZBhvFNMa5KGgZS6iKWpsKX0pg6tQmwFpo/edit?usp=sharing"",""ตรัง!Q337"")+IMPORTRANGE(""https://docs.google.com/spreadsheets/d/1Dj4jcHCTV9JXKCaMoheSXS52JE63kDKyG7bPXnFogHk/edit?usp=shar"&amp;"ing"",""นครศรีธรรมราช!Q337"")+IMPORTRANGE(""https://docs.google.com/spreadsheets/d/1iodCdmuK2GR3jzUwk8tpccY2JHQQA-87DLOtJP-ooyU/edit?usp=sharing"",""นราธิวาส!Q337"")+IMPORTRANGE(""https://docs.google.com/spreadsheets/d/1SDNX3JhDdYRuIOsj0Wh2M-Qa_eaXl0NbWmh"&amp;"AOTbfQAs/edit?usp=sharing"",""ปัตตานี!Q337"")+IMPORTRANGE(""https://docs.google.com/spreadsheets/d/16JDLGguT8s5DsGCND1KcwHP_AWR_zDMTqLHPLJUKhaU/edit?usp=sharing"",""พังงา!Q337"")+IMPORTRANGE(""https://docs.google.com/spreadsheets/d/17ht0gPKzzT3PObBL1XJkeR"&amp;"mntBXI7wGjpLV7QorqlTk/edit?usp=sharing"",""พัทลุง!Q337"")+IMPORTRANGE(""https://docs.google.com/spreadsheets/d/1rd4qoM1q_hsgaolqNGfrim9gbsoLxQsda4-vOz5x_BM/edit?usp=sharing"",""ภูเก็ต!Q337"")+IMPORTRANGE(""https://docs.google.com/spreadsheets/d/1woKwKjgoL"&amp;"ssDvPcPeVyezB5izizAn4X1JDrys69n6xI/edit?usp=sharing"",""ยะลา!Q337"")+IMPORTRANGE(""https://docs.google.com/spreadsheets/d/1qfrKjzMhm2HJfxQ-qVlJlJQ25Hne1d0khsySbZyGtPA/edit?usp=sharing"",""ระนอง!Q337"")+IMPORTRANGE(""https://docs.google.com/spreadsheets/d/"&amp;"1IbSCnFOKpZsnFogBHJnL_isstZVaOMnFiIN0fGTPZZw/edit?usp=sharing"",""สงขลา!Q337"")+IMPORTRANGE(""https://docs.google.com/spreadsheets/d/1q9nWasZJ-K8bFGvbE9n0qSRuKGA4Toe3Y89cKCiVtCU/edit?usp=sharing"",""สตูล!Q337"")+IMPORTRANGE(""https://docs.google.com/sprea"&amp;"dsheets/d/18T20gbkS_WBjdscyTOV05cvq_JqvqQ17C81mpxf7Ncs/edit?usp=sharing"",""สุราษฎร์ธานี!Q337"")"),0)</f>
        <v>0</v>
      </c>
      <c r="R337" s="47">
        <f ca="1">IFERROR(__xludf.DUMMYFUNCTION("IMPORTRANGE(""https://docs.google.com/spreadsheets/d/1kKUcYdkIfrgTSj8iHHHB2MD2FAtwyyocFgqGQn6ADyI/edit?usp=sharing"",""กระบี่!R337"")+IMPORTRANGE(""https://docs.google.com/spreadsheets/d/1GwtLaSlNZkLk7iDqcyZz22giiy40b_usZZBXYciEN1U/edit?usp=sharing"",""ชุ"&amp;"มพร!R337"")+IMPORTRANGE(""https://docs.google.com/spreadsheets/d/16pAz3pOhQEZBhvFNMa5KGgZS6iKWpsKX0pg6tQmwFpo/edit?usp=sharing"",""ตรัง!R337"")+IMPORTRANGE(""https://docs.google.com/spreadsheets/d/1Dj4jcHCTV9JXKCaMoheSXS52JE63kDKyG7bPXnFogHk/edit?usp=shar"&amp;"ing"",""นครศรีธรรมราช!R337"")+IMPORTRANGE(""https://docs.google.com/spreadsheets/d/1iodCdmuK2GR3jzUwk8tpccY2JHQQA-87DLOtJP-ooyU/edit?usp=sharing"",""นราธิวาส!R337"")+IMPORTRANGE(""https://docs.google.com/spreadsheets/d/1SDNX3JhDdYRuIOsj0Wh2M-Qa_eaXl0NbWmh"&amp;"AOTbfQAs/edit?usp=sharing"",""ปัตตานี!R337"")+IMPORTRANGE(""https://docs.google.com/spreadsheets/d/16JDLGguT8s5DsGCND1KcwHP_AWR_zDMTqLHPLJUKhaU/edit?usp=sharing"",""พังงา!R337"")+IMPORTRANGE(""https://docs.google.com/spreadsheets/d/17ht0gPKzzT3PObBL1XJkeR"&amp;"mntBXI7wGjpLV7QorqlTk/edit?usp=sharing"",""พัทลุง!R337"")+IMPORTRANGE(""https://docs.google.com/spreadsheets/d/1rd4qoM1q_hsgaolqNGfrim9gbsoLxQsda4-vOz5x_BM/edit?usp=sharing"",""ภูเก็ต!R337"")+IMPORTRANGE(""https://docs.google.com/spreadsheets/d/1woKwKjgoL"&amp;"ssDvPcPeVyezB5izizAn4X1JDrys69n6xI/edit?usp=sharing"",""ยะลา!R337"")+IMPORTRANGE(""https://docs.google.com/spreadsheets/d/1qfrKjzMhm2HJfxQ-qVlJlJQ25Hne1d0khsySbZyGtPA/edit?usp=sharing"",""ระนอง!R337"")+IMPORTRANGE(""https://docs.google.com/spreadsheets/d/"&amp;"1IbSCnFOKpZsnFogBHJnL_isstZVaOMnFiIN0fGTPZZw/edit?usp=sharing"",""สงขลา!R337"")+IMPORTRANGE(""https://docs.google.com/spreadsheets/d/1q9nWasZJ-K8bFGvbE9n0qSRuKGA4Toe3Y89cKCiVtCU/edit?usp=sharing"",""สตูล!R337"")+IMPORTRANGE(""https://docs.google.com/sprea"&amp;"dsheets/d/18T20gbkS_WBjdscyTOV05cvq_JqvqQ17C81mpxf7Ncs/edit?usp=sharing"",""สุราษฎร์ธานี!R337"")"),0)</f>
        <v>0</v>
      </c>
      <c r="S337" s="47">
        <f ca="1">IFERROR(__xludf.DUMMYFUNCTION("IMPORTRANGE(""https://docs.google.com/spreadsheets/d/1kKUcYdkIfrgTSj8iHHHB2MD2FAtwyyocFgqGQn6ADyI/edit?usp=sharing"",""กระบี่!S337"")+IMPORTRANGE(""https://docs.google.com/spreadsheets/d/1GwtLaSlNZkLk7iDqcyZz22giiy40b_usZZBXYciEN1U/edit?usp=sharing"",""ชุ"&amp;"มพร!S337"")+IMPORTRANGE(""https://docs.google.com/spreadsheets/d/16pAz3pOhQEZBhvFNMa5KGgZS6iKWpsKX0pg6tQmwFpo/edit?usp=sharing"",""ตรัง!S337"")+IMPORTRANGE(""https://docs.google.com/spreadsheets/d/1Dj4jcHCTV9JXKCaMoheSXS52JE63kDKyG7bPXnFogHk/edit?usp=shar"&amp;"ing"",""นครศรีธรรมราช!S337"")+IMPORTRANGE(""https://docs.google.com/spreadsheets/d/1iodCdmuK2GR3jzUwk8tpccY2JHQQA-87DLOtJP-ooyU/edit?usp=sharing"",""นราธิวาส!S337"")+IMPORTRANGE(""https://docs.google.com/spreadsheets/d/1SDNX3JhDdYRuIOsj0Wh2M-Qa_eaXl0NbWmh"&amp;"AOTbfQAs/edit?usp=sharing"",""ปัตตานี!S337"")+IMPORTRANGE(""https://docs.google.com/spreadsheets/d/16JDLGguT8s5DsGCND1KcwHP_AWR_zDMTqLHPLJUKhaU/edit?usp=sharing"",""พังงา!S337"")+IMPORTRANGE(""https://docs.google.com/spreadsheets/d/17ht0gPKzzT3PObBL1XJkeR"&amp;"mntBXI7wGjpLV7QorqlTk/edit?usp=sharing"",""พัทลุง!S337"")+IMPORTRANGE(""https://docs.google.com/spreadsheets/d/1rd4qoM1q_hsgaolqNGfrim9gbsoLxQsda4-vOz5x_BM/edit?usp=sharing"",""ภูเก็ต!S337"")+IMPORTRANGE(""https://docs.google.com/spreadsheets/d/1woKwKjgoL"&amp;"ssDvPcPeVyezB5izizAn4X1JDrys69n6xI/edit?usp=sharing"",""ยะลา!S337"")+IMPORTRANGE(""https://docs.google.com/spreadsheets/d/1qfrKjzMhm2HJfxQ-qVlJlJQ25Hne1d0khsySbZyGtPA/edit?usp=sharing"",""ระนอง!S337"")+IMPORTRANGE(""https://docs.google.com/spreadsheets/d/"&amp;"1IbSCnFOKpZsnFogBHJnL_isstZVaOMnFiIN0fGTPZZw/edit?usp=sharing"",""สงขลา!S337"")+IMPORTRANGE(""https://docs.google.com/spreadsheets/d/1q9nWasZJ-K8bFGvbE9n0qSRuKGA4Toe3Y89cKCiVtCU/edit?usp=sharing"",""สตูล!S337"")+IMPORTRANGE(""https://docs.google.com/sprea"&amp;"dsheets/d/18T20gbkS_WBjdscyTOV05cvq_JqvqQ17C81mpxf7Ncs/edit?usp=sharing"",""สุราษฎร์ธานี!S337"")"),0)</f>
        <v>0</v>
      </c>
      <c r="T337" s="49">
        <f t="shared" ca="1" si="256"/>
        <v>0</v>
      </c>
      <c r="U337" s="49">
        <f t="shared" ca="1" si="257"/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47">
        <f ca="1">IFERROR(__xludf.DUMMYFUNCTION("IMPORTRANGE(""https://docs.google.com/spreadsheets/d/1kKUcYdkIfrgTSj8iHHHB2MD2FAtwyyocFgqGQn6ADyI/edit?usp=sharing"",""กระบี่!L338"")+IMPORTRANGE(""https://docs.google.com/spreadsheets/d/1GwtLaSlNZkLk7iDqcyZz22giiy40b_usZZBXYciEN1U/edit?usp=sharing"",""ชุ"&amp;"มพร!L338"")+IMPORTRANGE(""https://docs.google.com/spreadsheets/d/16pAz3pOhQEZBhvFNMa5KGgZS6iKWpsKX0pg6tQmwFpo/edit?usp=sharing"",""ตรัง!L338"")+IMPORTRANGE(""https://docs.google.com/spreadsheets/d/1Dj4jcHCTV9JXKCaMoheSXS52JE63kDKyG7bPXnFogHk/edit?usp=shar"&amp;"ing"",""นครศรีธรรมราช!L338"")+IMPORTRANGE(""https://docs.google.com/spreadsheets/d/1iodCdmuK2GR3jzUwk8tpccY2JHQQA-87DLOtJP-ooyU/edit?usp=sharing"",""นราธิวาส!L338"")+IMPORTRANGE(""https://docs.google.com/spreadsheets/d/1SDNX3JhDdYRuIOsj0Wh2M-Qa_eaXl0NbWmh"&amp;"AOTbfQAs/edit?usp=sharing"",""ปัตตานี!L338"")+IMPORTRANGE(""https://docs.google.com/spreadsheets/d/16JDLGguT8s5DsGCND1KcwHP_AWR_zDMTqLHPLJUKhaU/edit?usp=sharing"",""พังงา!L338"")+IMPORTRANGE(""https://docs.google.com/spreadsheets/d/17ht0gPKzzT3PObBL1XJkeR"&amp;"mntBXI7wGjpLV7QorqlTk/edit?usp=sharing"",""พัทลุง!L338"")+IMPORTRANGE(""https://docs.google.com/spreadsheets/d/1rd4qoM1q_hsgaolqNGfrim9gbsoLxQsda4-vOz5x_BM/edit?usp=sharing"",""ภูเก็ต!L338"")+IMPORTRANGE(""https://docs.google.com/spreadsheets/d/1woKwKjgoL"&amp;"ssDvPcPeVyezB5izizAn4X1JDrys69n6xI/edit?usp=sharing"",""ยะลา!L338"")+IMPORTRANGE(""https://docs.google.com/spreadsheets/d/1qfrKjzMhm2HJfxQ-qVlJlJQ25Hne1d0khsySbZyGtPA/edit?usp=sharing"",""ระนอง!L338"")+IMPORTRANGE(""https://docs.google.com/spreadsheets/d/"&amp;"1IbSCnFOKpZsnFogBHJnL_isstZVaOMnFiIN0fGTPZZw/edit?usp=sharing"",""สงขลา!L338"")+IMPORTRANGE(""https://docs.google.com/spreadsheets/d/1q9nWasZJ-K8bFGvbE9n0qSRuKGA4Toe3Y89cKCiVtCU/edit?usp=sharing"",""สตูล!L338"")+IMPORTRANGE(""https://docs.google.com/sprea"&amp;"dsheets/d/18T20gbkS_WBjdscyTOV05cvq_JqvqQ17C81mpxf7Ncs/edit?usp=sharing"",""สุราษฎร์ธานี!L338"")"),2981100)</f>
        <v>2981100</v>
      </c>
      <c r="M338" s="47">
        <f ca="1">IFERROR(__xludf.DUMMYFUNCTION("IMPORTRANGE(""https://docs.google.com/spreadsheets/d/1kKUcYdkIfrgTSj8iHHHB2MD2FAtwyyocFgqGQn6ADyI/edit?usp=sharing"",""กระบี่!M338"")+IMPORTRANGE(""https://docs.google.com/spreadsheets/d/1GwtLaSlNZkLk7iDqcyZz22giiy40b_usZZBXYciEN1U/edit?usp=sharing"",""ชุ"&amp;"มพร!M338"")+IMPORTRANGE(""https://docs.google.com/spreadsheets/d/16pAz3pOhQEZBhvFNMa5KGgZS6iKWpsKX0pg6tQmwFpo/edit?usp=sharing"",""ตรัง!M338"")+IMPORTRANGE(""https://docs.google.com/spreadsheets/d/1Dj4jcHCTV9JXKCaMoheSXS52JE63kDKyG7bPXnFogHk/edit?usp=shar"&amp;"ing"",""นครศรีธรรมราช!M338"")+IMPORTRANGE(""https://docs.google.com/spreadsheets/d/1iodCdmuK2GR3jzUwk8tpccY2JHQQA-87DLOtJP-ooyU/edit?usp=sharing"",""นราธิวาส!M338"")+IMPORTRANGE(""https://docs.google.com/spreadsheets/d/1SDNX3JhDdYRuIOsj0Wh2M-Qa_eaXl0NbWmh"&amp;"AOTbfQAs/edit?usp=sharing"",""ปัตตานี!M338"")+IMPORTRANGE(""https://docs.google.com/spreadsheets/d/16JDLGguT8s5DsGCND1KcwHP_AWR_zDMTqLHPLJUKhaU/edit?usp=sharing"",""พังงา!M338"")+IMPORTRANGE(""https://docs.google.com/spreadsheets/d/17ht0gPKzzT3PObBL1XJkeR"&amp;"mntBXI7wGjpLV7QorqlTk/edit?usp=sharing"",""พัทลุง!M338"")+IMPORTRANGE(""https://docs.google.com/spreadsheets/d/1rd4qoM1q_hsgaolqNGfrim9gbsoLxQsda4-vOz5x_BM/edit?usp=sharing"",""ภูเก็ต!M338"")+IMPORTRANGE(""https://docs.google.com/spreadsheets/d/1woKwKjgoL"&amp;"ssDvPcPeVyezB5izizAn4X1JDrys69n6xI/edit?usp=sharing"",""ยะลา!M338"")+IMPORTRANGE(""https://docs.google.com/spreadsheets/d/1qfrKjzMhm2HJfxQ-qVlJlJQ25Hne1d0khsySbZyGtPA/edit?usp=sharing"",""ระนอง!M338"")+IMPORTRANGE(""https://docs.google.com/spreadsheets/d/"&amp;"1IbSCnFOKpZsnFogBHJnL_isstZVaOMnFiIN0fGTPZZw/edit?usp=sharing"",""สงขลา!M338"")+IMPORTRANGE(""https://docs.google.com/spreadsheets/d/1q9nWasZJ-K8bFGvbE9n0qSRuKGA4Toe3Y89cKCiVtCU/edit?usp=sharing"",""สตูล!M338"")+IMPORTRANGE(""https://docs.google.com/sprea"&amp;"dsheets/d/18T20gbkS_WBjdscyTOV05cvq_JqvqQ17C81mpxf7Ncs/edit?usp=sharing"",""สุราษฎร์ธานี!M338"")"),3032275)</f>
        <v>3032275</v>
      </c>
      <c r="N338" s="47">
        <f ca="1">IFERROR(__xludf.DUMMYFUNCTION("IMPORTRANGE(""https://docs.google.com/spreadsheets/d/1kKUcYdkIfrgTSj8iHHHB2MD2FAtwyyocFgqGQn6ADyI/edit?usp=sharing"",""กระบี่!N338"")+IMPORTRANGE(""https://docs.google.com/spreadsheets/d/1GwtLaSlNZkLk7iDqcyZz22giiy40b_usZZBXYciEN1U/edit?usp=sharing"",""ชุ"&amp;"มพร!N338"")+IMPORTRANGE(""https://docs.google.com/spreadsheets/d/16pAz3pOhQEZBhvFNMa5KGgZS6iKWpsKX0pg6tQmwFpo/edit?usp=sharing"",""ตรัง!N338"")+IMPORTRANGE(""https://docs.google.com/spreadsheets/d/1Dj4jcHCTV9JXKCaMoheSXS52JE63kDKyG7bPXnFogHk/edit?usp=shar"&amp;"ing"",""นครศรีธรรมราช!N338"")+IMPORTRANGE(""https://docs.google.com/spreadsheets/d/1iodCdmuK2GR3jzUwk8tpccY2JHQQA-87DLOtJP-ooyU/edit?usp=sharing"",""นราธิวาส!N338"")+IMPORTRANGE(""https://docs.google.com/spreadsheets/d/1SDNX3JhDdYRuIOsj0Wh2M-Qa_eaXl0NbWmh"&amp;"AOTbfQAs/edit?usp=sharing"",""ปัตตานี!N338"")+IMPORTRANGE(""https://docs.google.com/spreadsheets/d/16JDLGguT8s5DsGCND1KcwHP_AWR_zDMTqLHPLJUKhaU/edit?usp=sharing"",""พังงา!N338"")+IMPORTRANGE(""https://docs.google.com/spreadsheets/d/17ht0gPKzzT3PObBL1XJkeR"&amp;"mntBXI7wGjpLV7QorqlTk/edit?usp=sharing"",""พัทลุง!N338"")+IMPORTRANGE(""https://docs.google.com/spreadsheets/d/1rd4qoM1q_hsgaolqNGfrim9gbsoLxQsda4-vOz5x_BM/edit?usp=sharing"",""ภูเก็ต!N338"")+IMPORTRANGE(""https://docs.google.com/spreadsheets/d/1woKwKjgoL"&amp;"ssDvPcPeVyezB5izizAn4X1JDrys69n6xI/edit?usp=sharing"",""ยะลา!N338"")+IMPORTRANGE(""https://docs.google.com/spreadsheets/d/1qfrKjzMhm2HJfxQ-qVlJlJQ25Hne1d0khsySbZyGtPA/edit?usp=sharing"",""ระนอง!N338"")+IMPORTRANGE(""https://docs.google.com/spreadsheets/d/"&amp;"1IbSCnFOKpZsnFogBHJnL_isstZVaOMnFiIN0fGTPZZw/edit?usp=sharing"",""สงขลา!N338"")+IMPORTRANGE(""https://docs.google.com/spreadsheets/d/1q9nWasZJ-K8bFGvbE9n0qSRuKGA4Toe3Y89cKCiVtCU/edit?usp=sharing"",""สตูล!N338"")+IMPORTRANGE(""https://docs.google.com/sprea"&amp;"dsheets/d/18T20gbkS_WBjdscyTOV05cvq_JqvqQ17C81mpxf7Ncs/edit?usp=sharing"",""สุราษฎร์ธานี!N338"")"),1684142.05)</f>
        <v>1684142.05</v>
      </c>
      <c r="O338" s="47">
        <f t="shared" ca="1" si="253"/>
        <v>56.4939804099158</v>
      </c>
      <c r="P338" s="47">
        <f t="shared" ca="1" si="254"/>
        <v>55.540544640575149</v>
      </c>
      <c r="Q338" s="47">
        <f ca="1">IFERROR(__xludf.DUMMYFUNCTION("IMPORTRANGE(""https://docs.google.com/spreadsheets/d/1kKUcYdkIfrgTSj8iHHHB2MD2FAtwyyocFgqGQn6ADyI/edit?usp=sharing"",""กระบี่!Q338"")+IMPORTRANGE(""https://docs.google.com/spreadsheets/d/1GwtLaSlNZkLk7iDqcyZz22giiy40b_usZZBXYciEN1U/edit?usp=sharing"",""ชุ"&amp;"มพร!Q338"")+IMPORTRANGE(""https://docs.google.com/spreadsheets/d/16pAz3pOhQEZBhvFNMa5KGgZS6iKWpsKX0pg6tQmwFpo/edit?usp=sharing"",""ตรัง!Q338"")+IMPORTRANGE(""https://docs.google.com/spreadsheets/d/1Dj4jcHCTV9JXKCaMoheSXS52JE63kDKyG7bPXnFogHk/edit?usp=shar"&amp;"ing"",""นครศรีธรรมราช!Q338"")+IMPORTRANGE(""https://docs.google.com/spreadsheets/d/1iodCdmuK2GR3jzUwk8tpccY2JHQQA-87DLOtJP-ooyU/edit?usp=sharing"",""นราธิวาส!Q338"")+IMPORTRANGE(""https://docs.google.com/spreadsheets/d/1SDNX3JhDdYRuIOsj0Wh2M-Qa_eaXl0NbWmh"&amp;"AOTbfQAs/edit?usp=sharing"",""ปัตตานี!Q338"")+IMPORTRANGE(""https://docs.google.com/spreadsheets/d/16JDLGguT8s5DsGCND1KcwHP_AWR_zDMTqLHPLJUKhaU/edit?usp=sharing"",""พังงา!Q338"")+IMPORTRANGE(""https://docs.google.com/spreadsheets/d/17ht0gPKzzT3PObBL1XJkeR"&amp;"mntBXI7wGjpLV7QorqlTk/edit?usp=sharing"",""พัทลุง!Q338"")+IMPORTRANGE(""https://docs.google.com/spreadsheets/d/1rd4qoM1q_hsgaolqNGfrim9gbsoLxQsda4-vOz5x_BM/edit?usp=sharing"",""ภูเก็ต!Q338"")+IMPORTRANGE(""https://docs.google.com/spreadsheets/d/1woKwKjgoL"&amp;"ssDvPcPeVyezB5izizAn4X1JDrys69n6xI/edit?usp=sharing"",""ยะลา!Q338"")+IMPORTRANGE(""https://docs.google.com/spreadsheets/d/1qfrKjzMhm2HJfxQ-qVlJlJQ25Hne1d0khsySbZyGtPA/edit?usp=sharing"",""ระนอง!Q338"")+IMPORTRANGE(""https://docs.google.com/spreadsheets/d/"&amp;"1IbSCnFOKpZsnFogBHJnL_isstZVaOMnFiIN0fGTPZZw/edit?usp=sharing"",""สงขลา!Q338"")+IMPORTRANGE(""https://docs.google.com/spreadsheets/d/1q9nWasZJ-K8bFGvbE9n0qSRuKGA4Toe3Y89cKCiVtCU/edit?usp=sharing"",""สตูล!Q338"")+IMPORTRANGE(""https://docs.google.com/sprea"&amp;"dsheets/d/18T20gbkS_WBjdscyTOV05cvq_JqvqQ17C81mpxf7Ncs/edit?usp=sharing"",""สุราษฎร์ธานี!Q338"")"),0)</f>
        <v>0</v>
      </c>
      <c r="R338" s="47">
        <f ca="1">IFERROR(__xludf.DUMMYFUNCTION("IMPORTRANGE(""https://docs.google.com/spreadsheets/d/1kKUcYdkIfrgTSj8iHHHB2MD2FAtwyyocFgqGQn6ADyI/edit?usp=sharing"",""กระบี่!R338"")+IMPORTRANGE(""https://docs.google.com/spreadsheets/d/1GwtLaSlNZkLk7iDqcyZz22giiy40b_usZZBXYciEN1U/edit?usp=sharing"",""ชุ"&amp;"มพร!R338"")+IMPORTRANGE(""https://docs.google.com/spreadsheets/d/16pAz3pOhQEZBhvFNMa5KGgZS6iKWpsKX0pg6tQmwFpo/edit?usp=sharing"",""ตรัง!R338"")+IMPORTRANGE(""https://docs.google.com/spreadsheets/d/1Dj4jcHCTV9JXKCaMoheSXS52JE63kDKyG7bPXnFogHk/edit?usp=shar"&amp;"ing"",""นครศรีธรรมราช!R338"")+IMPORTRANGE(""https://docs.google.com/spreadsheets/d/1iodCdmuK2GR3jzUwk8tpccY2JHQQA-87DLOtJP-ooyU/edit?usp=sharing"",""นราธิวาส!R338"")+IMPORTRANGE(""https://docs.google.com/spreadsheets/d/1SDNX3JhDdYRuIOsj0Wh2M-Qa_eaXl0NbWmh"&amp;"AOTbfQAs/edit?usp=sharing"",""ปัตตานี!R338"")+IMPORTRANGE(""https://docs.google.com/spreadsheets/d/16JDLGguT8s5DsGCND1KcwHP_AWR_zDMTqLHPLJUKhaU/edit?usp=sharing"",""พังงา!R338"")+IMPORTRANGE(""https://docs.google.com/spreadsheets/d/17ht0gPKzzT3PObBL1XJkeR"&amp;"mntBXI7wGjpLV7QorqlTk/edit?usp=sharing"",""พัทลุง!R338"")+IMPORTRANGE(""https://docs.google.com/spreadsheets/d/1rd4qoM1q_hsgaolqNGfrim9gbsoLxQsda4-vOz5x_BM/edit?usp=sharing"",""ภูเก็ต!R338"")+IMPORTRANGE(""https://docs.google.com/spreadsheets/d/1woKwKjgoL"&amp;"ssDvPcPeVyezB5izizAn4X1JDrys69n6xI/edit?usp=sharing"",""ยะลา!R338"")+IMPORTRANGE(""https://docs.google.com/spreadsheets/d/1qfrKjzMhm2HJfxQ-qVlJlJQ25Hne1d0khsySbZyGtPA/edit?usp=sharing"",""ระนอง!R338"")+IMPORTRANGE(""https://docs.google.com/spreadsheets/d/"&amp;"1IbSCnFOKpZsnFogBHJnL_isstZVaOMnFiIN0fGTPZZw/edit?usp=sharing"",""สงขลา!R338"")+IMPORTRANGE(""https://docs.google.com/spreadsheets/d/1q9nWasZJ-K8bFGvbE9n0qSRuKGA4Toe3Y89cKCiVtCU/edit?usp=sharing"",""สตูล!R338"")+IMPORTRANGE(""https://docs.google.com/sprea"&amp;"dsheets/d/18T20gbkS_WBjdscyTOV05cvq_JqvqQ17C81mpxf7Ncs/edit?usp=sharing"",""สุราษฎร์ธานี!R338"")"),0)</f>
        <v>0</v>
      </c>
      <c r="S338" s="47">
        <f ca="1">IFERROR(__xludf.DUMMYFUNCTION("IMPORTRANGE(""https://docs.google.com/spreadsheets/d/1kKUcYdkIfrgTSj8iHHHB2MD2FAtwyyocFgqGQn6ADyI/edit?usp=sharing"",""กระบี่!S338"")+IMPORTRANGE(""https://docs.google.com/spreadsheets/d/1GwtLaSlNZkLk7iDqcyZz22giiy40b_usZZBXYciEN1U/edit?usp=sharing"",""ชุ"&amp;"มพร!S338"")+IMPORTRANGE(""https://docs.google.com/spreadsheets/d/16pAz3pOhQEZBhvFNMa5KGgZS6iKWpsKX0pg6tQmwFpo/edit?usp=sharing"",""ตรัง!S338"")+IMPORTRANGE(""https://docs.google.com/spreadsheets/d/1Dj4jcHCTV9JXKCaMoheSXS52JE63kDKyG7bPXnFogHk/edit?usp=shar"&amp;"ing"",""นครศรีธรรมราช!S338"")+IMPORTRANGE(""https://docs.google.com/spreadsheets/d/1iodCdmuK2GR3jzUwk8tpccY2JHQQA-87DLOtJP-ooyU/edit?usp=sharing"",""นราธิวาส!S338"")+IMPORTRANGE(""https://docs.google.com/spreadsheets/d/1SDNX3JhDdYRuIOsj0Wh2M-Qa_eaXl0NbWmh"&amp;"AOTbfQAs/edit?usp=sharing"",""ปัตตานี!S338"")+IMPORTRANGE(""https://docs.google.com/spreadsheets/d/16JDLGguT8s5DsGCND1KcwHP_AWR_zDMTqLHPLJUKhaU/edit?usp=sharing"",""พังงา!S338"")+IMPORTRANGE(""https://docs.google.com/spreadsheets/d/17ht0gPKzzT3PObBL1XJkeR"&amp;"mntBXI7wGjpLV7QorqlTk/edit?usp=sharing"",""พัทลุง!S338"")+IMPORTRANGE(""https://docs.google.com/spreadsheets/d/1rd4qoM1q_hsgaolqNGfrim9gbsoLxQsda4-vOz5x_BM/edit?usp=sharing"",""ภูเก็ต!S338"")+IMPORTRANGE(""https://docs.google.com/spreadsheets/d/1woKwKjgoL"&amp;"ssDvPcPeVyezB5izizAn4X1JDrys69n6xI/edit?usp=sharing"",""ยะลา!S338"")+IMPORTRANGE(""https://docs.google.com/spreadsheets/d/1qfrKjzMhm2HJfxQ-qVlJlJQ25Hne1d0khsySbZyGtPA/edit?usp=sharing"",""ระนอง!S338"")+IMPORTRANGE(""https://docs.google.com/spreadsheets/d/"&amp;"1IbSCnFOKpZsnFogBHJnL_isstZVaOMnFiIN0fGTPZZw/edit?usp=sharing"",""สงขลา!S338"")+IMPORTRANGE(""https://docs.google.com/spreadsheets/d/1q9nWasZJ-K8bFGvbE9n0qSRuKGA4Toe3Y89cKCiVtCU/edit?usp=sharing"",""สตูล!S338"")+IMPORTRANGE(""https://docs.google.com/sprea"&amp;"dsheets/d/18T20gbkS_WBjdscyTOV05cvq_JqvqQ17C81mpxf7Ncs/edit?usp=sharing"",""สุราษฎร์ธานี!S338"")"),0)</f>
        <v>0</v>
      </c>
      <c r="T338" s="47">
        <f t="shared" ca="1" si="256"/>
        <v>0</v>
      </c>
      <c r="U338" s="47">
        <f t="shared" ca="1" si="257"/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47">
        <f t="shared" ref="L339:N339" ca="1" si="264">L340+L341</f>
        <v>850000</v>
      </c>
      <c r="M339" s="47">
        <f t="shared" ca="1" si="264"/>
        <v>850000</v>
      </c>
      <c r="N339" s="47">
        <f t="shared" ca="1" si="264"/>
        <v>0</v>
      </c>
      <c r="O339" s="47">
        <f t="shared" ca="1" si="253"/>
        <v>0</v>
      </c>
      <c r="P339" s="47">
        <f t="shared" ca="1" si="254"/>
        <v>0</v>
      </c>
      <c r="Q339" s="47">
        <f t="shared" ref="Q339:S339" ca="1" si="265">Q340+Q341</f>
        <v>0</v>
      </c>
      <c r="R339" s="47">
        <f t="shared" ca="1" si="265"/>
        <v>0</v>
      </c>
      <c r="S339" s="47">
        <f t="shared" ca="1" si="265"/>
        <v>0</v>
      </c>
      <c r="T339" s="47">
        <f t="shared" ca="1" si="256"/>
        <v>0</v>
      </c>
      <c r="U339" s="47">
        <f t="shared" ca="1" si="257"/>
        <v>0</v>
      </c>
    </row>
    <row r="340" spans="1:21" ht="18.75" hidden="1" x14ac:dyDescent="0.25">
      <c r="A340" s="128"/>
      <c r="B340" s="41"/>
      <c r="C340" s="41"/>
      <c r="D340" s="41"/>
      <c r="E340" s="48" t="s">
        <v>20</v>
      </c>
      <c r="F340" s="41"/>
      <c r="G340" s="43"/>
      <c r="H340" s="134" t="s">
        <v>14</v>
      </c>
      <c r="I340" s="135"/>
      <c r="J340" s="135"/>
      <c r="K340" s="136"/>
      <c r="L340" s="47">
        <f ca="1">IFERROR(__xludf.DUMMYFUNCTION("IMPORTRANGE(""https://docs.google.com/spreadsheets/d/1kKUcYdkIfrgTSj8iHHHB2MD2FAtwyyocFgqGQn6ADyI/edit?usp=sharing"",""กระบี่!L340"")+IMPORTRANGE(""https://docs.google.com/spreadsheets/d/1GwtLaSlNZkLk7iDqcyZz22giiy40b_usZZBXYciEN1U/edit?usp=sharing"",""ชุ"&amp;"มพร!L340"")+IMPORTRANGE(""https://docs.google.com/spreadsheets/d/16pAz3pOhQEZBhvFNMa5KGgZS6iKWpsKX0pg6tQmwFpo/edit?usp=sharing"",""ตรัง!L340"")+IMPORTRANGE(""https://docs.google.com/spreadsheets/d/1Dj4jcHCTV9JXKCaMoheSXS52JE63kDKyG7bPXnFogHk/edit?usp=shar"&amp;"ing"",""นครศรีธรรมราช!L340"")+IMPORTRANGE(""https://docs.google.com/spreadsheets/d/1iodCdmuK2GR3jzUwk8tpccY2JHQQA-87DLOtJP-ooyU/edit?usp=sharing"",""นราธิวาส!L340"")+IMPORTRANGE(""https://docs.google.com/spreadsheets/d/1SDNX3JhDdYRuIOsj0Wh2M-Qa_eaXl0NbWmh"&amp;"AOTbfQAs/edit?usp=sharing"",""ปัตตานี!L340"")+IMPORTRANGE(""https://docs.google.com/spreadsheets/d/16JDLGguT8s5DsGCND1KcwHP_AWR_zDMTqLHPLJUKhaU/edit?usp=sharing"",""พังงา!L340"")+IMPORTRANGE(""https://docs.google.com/spreadsheets/d/17ht0gPKzzT3PObBL1XJkeR"&amp;"mntBXI7wGjpLV7QorqlTk/edit?usp=sharing"",""พัทลุง!L340"")+IMPORTRANGE(""https://docs.google.com/spreadsheets/d/1rd4qoM1q_hsgaolqNGfrim9gbsoLxQsda4-vOz5x_BM/edit?usp=sharing"",""ภูเก็ต!L340"")+IMPORTRANGE(""https://docs.google.com/spreadsheets/d/1woKwKjgoL"&amp;"ssDvPcPeVyezB5izizAn4X1JDrys69n6xI/edit?usp=sharing"",""ยะลา!L340"")+IMPORTRANGE(""https://docs.google.com/spreadsheets/d/1qfrKjzMhm2HJfxQ-qVlJlJQ25Hne1d0khsySbZyGtPA/edit?usp=sharing"",""ระนอง!L340"")+IMPORTRANGE(""https://docs.google.com/spreadsheets/d/"&amp;"1IbSCnFOKpZsnFogBHJnL_isstZVaOMnFiIN0fGTPZZw/edit?usp=sharing"",""สงขลา!L340"")+IMPORTRANGE(""https://docs.google.com/spreadsheets/d/1q9nWasZJ-K8bFGvbE9n0qSRuKGA4Toe3Y89cKCiVtCU/edit?usp=sharing"",""สตูล!L340"")+IMPORTRANGE(""https://docs.google.com/sprea"&amp;"dsheets/d/18T20gbkS_WBjdscyTOV05cvq_JqvqQ17C81mpxf7Ncs/edit?usp=sharing"",""สุราษฎร์ธานี!L340"")"),0)</f>
        <v>0</v>
      </c>
      <c r="M340" s="47">
        <f ca="1">IFERROR(__xludf.DUMMYFUNCTION("IMPORTRANGE(""https://docs.google.com/spreadsheets/d/1kKUcYdkIfrgTSj8iHHHB2MD2FAtwyyocFgqGQn6ADyI/edit?usp=sharing"",""กระบี่!M340"")+IMPORTRANGE(""https://docs.google.com/spreadsheets/d/1GwtLaSlNZkLk7iDqcyZz22giiy40b_usZZBXYciEN1U/edit?usp=sharing"",""ชุ"&amp;"มพร!M340"")+IMPORTRANGE(""https://docs.google.com/spreadsheets/d/16pAz3pOhQEZBhvFNMa5KGgZS6iKWpsKX0pg6tQmwFpo/edit?usp=sharing"",""ตรัง!M340"")+IMPORTRANGE(""https://docs.google.com/spreadsheets/d/1Dj4jcHCTV9JXKCaMoheSXS52JE63kDKyG7bPXnFogHk/edit?usp=shar"&amp;"ing"",""นครศรีธรรมราช!M340"")+IMPORTRANGE(""https://docs.google.com/spreadsheets/d/1iodCdmuK2GR3jzUwk8tpccY2JHQQA-87DLOtJP-ooyU/edit?usp=sharing"",""นราธิวาส!M340"")+IMPORTRANGE(""https://docs.google.com/spreadsheets/d/1SDNX3JhDdYRuIOsj0Wh2M-Qa_eaXl0NbWmh"&amp;"AOTbfQAs/edit?usp=sharing"",""ปัตตานี!M340"")+IMPORTRANGE(""https://docs.google.com/spreadsheets/d/16JDLGguT8s5DsGCND1KcwHP_AWR_zDMTqLHPLJUKhaU/edit?usp=sharing"",""พังงา!M340"")+IMPORTRANGE(""https://docs.google.com/spreadsheets/d/17ht0gPKzzT3PObBL1XJkeR"&amp;"mntBXI7wGjpLV7QorqlTk/edit?usp=sharing"",""พัทลุง!M340"")+IMPORTRANGE(""https://docs.google.com/spreadsheets/d/1rd4qoM1q_hsgaolqNGfrim9gbsoLxQsda4-vOz5x_BM/edit?usp=sharing"",""ภูเก็ต!M340"")+IMPORTRANGE(""https://docs.google.com/spreadsheets/d/1woKwKjgoL"&amp;"ssDvPcPeVyezB5izizAn4X1JDrys69n6xI/edit?usp=sharing"",""ยะลา!M340"")+IMPORTRANGE(""https://docs.google.com/spreadsheets/d/1qfrKjzMhm2HJfxQ-qVlJlJQ25Hne1d0khsySbZyGtPA/edit?usp=sharing"",""ระนอง!M340"")+IMPORTRANGE(""https://docs.google.com/spreadsheets/d/"&amp;"1IbSCnFOKpZsnFogBHJnL_isstZVaOMnFiIN0fGTPZZw/edit?usp=sharing"",""สงขลา!M340"")+IMPORTRANGE(""https://docs.google.com/spreadsheets/d/1q9nWasZJ-K8bFGvbE9n0qSRuKGA4Toe3Y89cKCiVtCU/edit?usp=sharing"",""สตูล!M340"")+IMPORTRANGE(""https://docs.google.com/sprea"&amp;"dsheets/d/18T20gbkS_WBjdscyTOV05cvq_JqvqQ17C81mpxf7Ncs/edit?usp=sharing"",""สุราษฎร์ธานี!M340"")"),0)</f>
        <v>0</v>
      </c>
      <c r="N340" s="47">
        <f ca="1">IFERROR(__xludf.DUMMYFUNCTION("IMPORTRANGE(""https://docs.google.com/spreadsheets/d/1kKUcYdkIfrgTSj8iHHHB2MD2FAtwyyocFgqGQn6ADyI/edit?usp=sharing"",""กระบี่!N340"")+IMPORTRANGE(""https://docs.google.com/spreadsheets/d/1GwtLaSlNZkLk7iDqcyZz22giiy40b_usZZBXYciEN1U/edit?usp=sharing"",""ชุ"&amp;"มพร!N340"")+IMPORTRANGE(""https://docs.google.com/spreadsheets/d/16pAz3pOhQEZBhvFNMa5KGgZS6iKWpsKX0pg6tQmwFpo/edit?usp=sharing"",""ตรัง!N340"")+IMPORTRANGE(""https://docs.google.com/spreadsheets/d/1Dj4jcHCTV9JXKCaMoheSXS52JE63kDKyG7bPXnFogHk/edit?usp=shar"&amp;"ing"",""นครศรีธรรมราช!N340"")+IMPORTRANGE(""https://docs.google.com/spreadsheets/d/1iodCdmuK2GR3jzUwk8tpccY2JHQQA-87DLOtJP-ooyU/edit?usp=sharing"",""นราธิวาส!N340"")+IMPORTRANGE(""https://docs.google.com/spreadsheets/d/1SDNX3JhDdYRuIOsj0Wh2M-Qa_eaXl0NbWmh"&amp;"AOTbfQAs/edit?usp=sharing"",""ปัตตานี!N340"")+IMPORTRANGE(""https://docs.google.com/spreadsheets/d/16JDLGguT8s5DsGCND1KcwHP_AWR_zDMTqLHPLJUKhaU/edit?usp=sharing"",""พังงา!N340"")+IMPORTRANGE(""https://docs.google.com/spreadsheets/d/17ht0gPKzzT3PObBL1XJkeR"&amp;"mntBXI7wGjpLV7QorqlTk/edit?usp=sharing"",""พัทลุง!N340"")+IMPORTRANGE(""https://docs.google.com/spreadsheets/d/1rd4qoM1q_hsgaolqNGfrim9gbsoLxQsda4-vOz5x_BM/edit?usp=sharing"",""ภูเก็ต!N340"")+IMPORTRANGE(""https://docs.google.com/spreadsheets/d/1woKwKjgoL"&amp;"ssDvPcPeVyezB5izizAn4X1JDrys69n6xI/edit?usp=sharing"",""ยะลา!N340"")+IMPORTRANGE(""https://docs.google.com/spreadsheets/d/1qfrKjzMhm2HJfxQ-qVlJlJQ25Hne1d0khsySbZyGtPA/edit?usp=sharing"",""ระนอง!N340"")+IMPORTRANGE(""https://docs.google.com/spreadsheets/d/"&amp;"1IbSCnFOKpZsnFogBHJnL_isstZVaOMnFiIN0fGTPZZw/edit?usp=sharing"",""สงขลา!N340"")+IMPORTRANGE(""https://docs.google.com/spreadsheets/d/1q9nWasZJ-K8bFGvbE9n0qSRuKGA4Toe3Y89cKCiVtCU/edit?usp=sharing"",""สตูล!N340"")+IMPORTRANGE(""https://docs.google.com/sprea"&amp;"dsheets/d/18T20gbkS_WBjdscyTOV05cvq_JqvqQ17C81mpxf7Ncs/edit?usp=sharing"",""สุราษฎร์ธานี!N340"")"),0)</f>
        <v>0</v>
      </c>
      <c r="O340" s="47">
        <f t="shared" ca="1" si="253"/>
        <v>0</v>
      </c>
      <c r="P340" s="47">
        <f t="shared" ca="1" si="254"/>
        <v>0</v>
      </c>
      <c r="Q340" s="47">
        <f ca="1">IFERROR(__xludf.DUMMYFUNCTION("IMPORTRANGE(""https://docs.google.com/spreadsheets/d/1kKUcYdkIfrgTSj8iHHHB2MD2FAtwyyocFgqGQn6ADyI/edit?usp=sharing"",""กระบี่!Q340"")+IMPORTRANGE(""https://docs.google.com/spreadsheets/d/1GwtLaSlNZkLk7iDqcyZz22giiy40b_usZZBXYciEN1U/edit?usp=sharing"",""ชุ"&amp;"มพร!Q340"")+IMPORTRANGE(""https://docs.google.com/spreadsheets/d/16pAz3pOhQEZBhvFNMa5KGgZS6iKWpsKX0pg6tQmwFpo/edit?usp=sharing"",""ตรัง!Q340"")+IMPORTRANGE(""https://docs.google.com/spreadsheets/d/1Dj4jcHCTV9JXKCaMoheSXS52JE63kDKyG7bPXnFogHk/edit?usp=shar"&amp;"ing"",""นครศรีธรรมราช!Q340"")+IMPORTRANGE(""https://docs.google.com/spreadsheets/d/1iodCdmuK2GR3jzUwk8tpccY2JHQQA-87DLOtJP-ooyU/edit?usp=sharing"",""นราธิวาส!Q340"")+IMPORTRANGE(""https://docs.google.com/spreadsheets/d/1SDNX3JhDdYRuIOsj0Wh2M-Qa_eaXl0NbWmh"&amp;"AOTbfQAs/edit?usp=sharing"",""ปัตตานี!Q340"")+IMPORTRANGE(""https://docs.google.com/spreadsheets/d/16JDLGguT8s5DsGCND1KcwHP_AWR_zDMTqLHPLJUKhaU/edit?usp=sharing"",""พังงา!Q340"")+IMPORTRANGE(""https://docs.google.com/spreadsheets/d/17ht0gPKzzT3PObBL1XJkeR"&amp;"mntBXI7wGjpLV7QorqlTk/edit?usp=sharing"",""พัทลุง!Q340"")+IMPORTRANGE(""https://docs.google.com/spreadsheets/d/1rd4qoM1q_hsgaolqNGfrim9gbsoLxQsda4-vOz5x_BM/edit?usp=sharing"",""ภูเก็ต!Q340"")+IMPORTRANGE(""https://docs.google.com/spreadsheets/d/1woKwKjgoL"&amp;"ssDvPcPeVyezB5izizAn4X1JDrys69n6xI/edit?usp=sharing"",""ยะลา!Q340"")+IMPORTRANGE(""https://docs.google.com/spreadsheets/d/1qfrKjzMhm2HJfxQ-qVlJlJQ25Hne1d0khsySbZyGtPA/edit?usp=sharing"",""ระนอง!Q340"")+IMPORTRANGE(""https://docs.google.com/spreadsheets/d/"&amp;"1IbSCnFOKpZsnFogBHJnL_isstZVaOMnFiIN0fGTPZZw/edit?usp=sharing"",""สงขลา!Q340"")+IMPORTRANGE(""https://docs.google.com/spreadsheets/d/1q9nWasZJ-K8bFGvbE9n0qSRuKGA4Toe3Y89cKCiVtCU/edit?usp=sharing"",""สตูล!Q340"")+IMPORTRANGE(""https://docs.google.com/sprea"&amp;"dsheets/d/18T20gbkS_WBjdscyTOV05cvq_JqvqQ17C81mpxf7Ncs/edit?usp=sharing"",""สุราษฎร์ธานี!Q340"")"),0)</f>
        <v>0</v>
      </c>
      <c r="R340" s="47">
        <f ca="1">IFERROR(__xludf.DUMMYFUNCTION("IMPORTRANGE(""https://docs.google.com/spreadsheets/d/1kKUcYdkIfrgTSj8iHHHB2MD2FAtwyyocFgqGQn6ADyI/edit?usp=sharing"",""กระบี่!R340"")+IMPORTRANGE(""https://docs.google.com/spreadsheets/d/1GwtLaSlNZkLk7iDqcyZz22giiy40b_usZZBXYciEN1U/edit?usp=sharing"",""ชุ"&amp;"มพร!R340"")+IMPORTRANGE(""https://docs.google.com/spreadsheets/d/16pAz3pOhQEZBhvFNMa5KGgZS6iKWpsKX0pg6tQmwFpo/edit?usp=sharing"",""ตรัง!R340"")+IMPORTRANGE(""https://docs.google.com/spreadsheets/d/1Dj4jcHCTV9JXKCaMoheSXS52JE63kDKyG7bPXnFogHk/edit?usp=shar"&amp;"ing"",""นครศรีธรรมราช!R340"")+IMPORTRANGE(""https://docs.google.com/spreadsheets/d/1iodCdmuK2GR3jzUwk8tpccY2JHQQA-87DLOtJP-ooyU/edit?usp=sharing"",""นราธิวาส!R340"")+IMPORTRANGE(""https://docs.google.com/spreadsheets/d/1SDNX3JhDdYRuIOsj0Wh2M-Qa_eaXl0NbWmh"&amp;"AOTbfQAs/edit?usp=sharing"",""ปัตตานี!R340"")+IMPORTRANGE(""https://docs.google.com/spreadsheets/d/16JDLGguT8s5DsGCND1KcwHP_AWR_zDMTqLHPLJUKhaU/edit?usp=sharing"",""พังงา!R340"")+IMPORTRANGE(""https://docs.google.com/spreadsheets/d/17ht0gPKzzT3PObBL1XJkeR"&amp;"mntBXI7wGjpLV7QorqlTk/edit?usp=sharing"",""พัทลุง!R340"")+IMPORTRANGE(""https://docs.google.com/spreadsheets/d/1rd4qoM1q_hsgaolqNGfrim9gbsoLxQsda4-vOz5x_BM/edit?usp=sharing"",""ภูเก็ต!R340"")+IMPORTRANGE(""https://docs.google.com/spreadsheets/d/1woKwKjgoL"&amp;"ssDvPcPeVyezB5izizAn4X1JDrys69n6xI/edit?usp=sharing"",""ยะลา!R340"")+IMPORTRANGE(""https://docs.google.com/spreadsheets/d/1qfrKjzMhm2HJfxQ-qVlJlJQ25Hne1d0khsySbZyGtPA/edit?usp=sharing"",""ระนอง!R340"")+IMPORTRANGE(""https://docs.google.com/spreadsheets/d/"&amp;"1IbSCnFOKpZsnFogBHJnL_isstZVaOMnFiIN0fGTPZZw/edit?usp=sharing"",""สงขลา!R340"")+IMPORTRANGE(""https://docs.google.com/spreadsheets/d/1q9nWasZJ-K8bFGvbE9n0qSRuKGA4Toe3Y89cKCiVtCU/edit?usp=sharing"",""สตูล!R340"")+IMPORTRANGE(""https://docs.google.com/sprea"&amp;"dsheets/d/18T20gbkS_WBjdscyTOV05cvq_JqvqQ17C81mpxf7Ncs/edit?usp=sharing"",""สุราษฎร์ธานี!R340"")"),0)</f>
        <v>0</v>
      </c>
      <c r="S340" s="47">
        <f ca="1">IFERROR(__xludf.DUMMYFUNCTION("IMPORTRANGE(""https://docs.google.com/spreadsheets/d/1kKUcYdkIfrgTSj8iHHHB2MD2FAtwyyocFgqGQn6ADyI/edit?usp=sharing"",""กระบี่!S340"")+IMPORTRANGE(""https://docs.google.com/spreadsheets/d/1GwtLaSlNZkLk7iDqcyZz22giiy40b_usZZBXYciEN1U/edit?usp=sharing"",""ชุ"&amp;"มพร!S340"")+IMPORTRANGE(""https://docs.google.com/spreadsheets/d/16pAz3pOhQEZBhvFNMa5KGgZS6iKWpsKX0pg6tQmwFpo/edit?usp=sharing"",""ตรัง!S340"")+IMPORTRANGE(""https://docs.google.com/spreadsheets/d/1Dj4jcHCTV9JXKCaMoheSXS52JE63kDKyG7bPXnFogHk/edit?usp=shar"&amp;"ing"",""นครศรีธรรมราช!S340"")+IMPORTRANGE(""https://docs.google.com/spreadsheets/d/1iodCdmuK2GR3jzUwk8tpccY2JHQQA-87DLOtJP-ooyU/edit?usp=sharing"",""นราธิวาส!S340"")+IMPORTRANGE(""https://docs.google.com/spreadsheets/d/1SDNX3JhDdYRuIOsj0Wh2M-Qa_eaXl0NbWmh"&amp;"AOTbfQAs/edit?usp=sharing"",""ปัตตานี!S340"")+IMPORTRANGE(""https://docs.google.com/spreadsheets/d/16JDLGguT8s5DsGCND1KcwHP_AWR_zDMTqLHPLJUKhaU/edit?usp=sharing"",""พังงา!S340"")+IMPORTRANGE(""https://docs.google.com/spreadsheets/d/17ht0gPKzzT3PObBL1XJkeR"&amp;"mntBXI7wGjpLV7QorqlTk/edit?usp=sharing"",""พัทลุง!S340"")+IMPORTRANGE(""https://docs.google.com/spreadsheets/d/1rd4qoM1q_hsgaolqNGfrim9gbsoLxQsda4-vOz5x_BM/edit?usp=sharing"",""ภูเก็ต!S340"")+IMPORTRANGE(""https://docs.google.com/spreadsheets/d/1woKwKjgoL"&amp;"ssDvPcPeVyezB5izizAn4X1JDrys69n6xI/edit?usp=sharing"",""ยะลา!S340"")+IMPORTRANGE(""https://docs.google.com/spreadsheets/d/1qfrKjzMhm2HJfxQ-qVlJlJQ25Hne1d0khsySbZyGtPA/edit?usp=sharing"",""ระนอง!S340"")+IMPORTRANGE(""https://docs.google.com/spreadsheets/d/"&amp;"1IbSCnFOKpZsnFogBHJnL_isstZVaOMnFiIN0fGTPZZw/edit?usp=sharing"",""สงขลา!S340"")+IMPORTRANGE(""https://docs.google.com/spreadsheets/d/1q9nWasZJ-K8bFGvbE9n0qSRuKGA4Toe3Y89cKCiVtCU/edit?usp=sharing"",""สตูล!S340"")+IMPORTRANGE(""https://docs.google.com/sprea"&amp;"dsheets/d/18T20gbkS_WBjdscyTOV05cvq_JqvqQ17C81mpxf7Ncs/edit?usp=sharing"",""สุราษฎร์ธานี!S340"")"),0)</f>
        <v>0</v>
      </c>
      <c r="T340" s="49">
        <f t="shared" ca="1" si="256"/>
        <v>0</v>
      </c>
      <c r="U340" s="49">
        <f t="shared" ca="1" si="257"/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47">
        <f ca="1">IFERROR(__xludf.DUMMYFUNCTION("IMPORTRANGE(""https://docs.google.com/spreadsheets/d/1kKUcYdkIfrgTSj8iHHHB2MD2FAtwyyocFgqGQn6ADyI/edit?usp=sharing"",""กระบี่!L341"")+IMPORTRANGE(""https://docs.google.com/spreadsheets/d/1GwtLaSlNZkLk7iDqcyZz22giiy40b_usZZBXYciEN1U/edit?usp=sharing"",""ชุ"&amp;"มพร!L341"")+IMPORTRANGE(""https://docs.google.com/spreadsheets/d/16pAz3pOhQEZBhvFNMa5KGgZS6iKWpsKX0pg6tQmwFpo/edit?usp=sharing"",""ตรัง!L341"")+IMPORTRANGE(""https://docs.google.com/spreadsheets/d/1Dj4jcHCTV9JXKCaMoheSXS52JE63kDKyG7bPXnFogHk/edit?usp=shar"&amp;"ing"",""นครศรีธรรมราช!L341"")+IMPORTRANGE(""https://docs.google.com/spreadsheets/d/1iodCdmuK2GR3jzUwk8tpccY2JHQQA-87DLOtJP-ooyU/edit?usp=sharing"",""นราธิวาส!L341"")+IMPORTRANGE(""https://docs.google.com/spreadsheets/d/1SDNX3JhDdYRuIOsj0Wh2M-Qa_eaXl0NbWmh"&amp;"AOTbfQAs/edit?usp=sharing"",""ปัตตานี!L341"")+IMPORTRANGE(""https://docs.google.com/spreadsheets/d/16JDLGguT8s5DsGCND1KcwHP_AWR_zDMTqLHPLJUKhaU/edit?usp=sharing"",""พังงา!L341"")+IMPORTRANGE(""https://docs.google.com/spreadsheets/d/17ht0gPKzzT3PObBL1XJkeR"&amp;"mntBXI7wGjpLV7QorqlTk/edit?usp=sharing"",""พัทลุง!L341"")+IMPORTRANGE(""https://docs.google.com/spreadsheets/d/1rd4qoM1q_hsgaolqNGfrim9gbsoLxQsda4-vOz5x_BM/edit?usp=sharing"",""ภูเก็ต!L341"")+IMPORTRANGE(""https://docs.google.com/spreadsheets/d/1woKwKjgoL"&amp;"ssDvPcPeVyezB5izizAn4X1JDrys69n6xI/edit?usp=sharing"",""ยะลา!L341"")+IMPORTRANGE(""https://docs.google.com/spreadsheets/d/1qfrKjzMhm2HJfxQ-qVlJlJQ25Hne1d0khsySbZyGtPA/edit?usp=sharing"",""ระนอง!L341"")+IMPORTRANGE(""https://docs.google.com/spreadsheets/d/"&amp;"1IbSCnFOKpZsnFogBHJnL_isstZVaOMnFiIN0fGTPZZw/edit?usp=sharing"",""สงขลา!L341"")+IMPORTRANGE(""https://docs.google.com/spreadsheets/d/1q9nWasZJ-K8bFGvbE9n0qSRuKGA4Toe3Y89cKCiVtCU/edit?usp=sharing"",""สตูล!L341"")+IMPORTRANGE(""https://docs.google.com/sprea"&amp;"dsheets/d/18T20gbkS_WBjdscyTOV05cvq_JqvqQ17C81mpxf7Ncs/edit?usp=sharing"",""สุราษฎร์ธานี!L341"")"),850000)</f>
        <v>850000</v>
      </c>
      <c r="M341" s="47">
        <f ca="1">IFERROR(__xludf.DUMMYFUNCTION("IMPORTRANGE(""https://docs.google.com/spreadsheets/d/1kKUcYdkIfrgTSj8iHHHB2MD2FAtwyyocFgqGQn6ADyI/edit?usp=sharing"",""กระบี่!M341"")+IMPORTRANGE(""https://docs.google.com/spreadsheets/d/1GwtLaSlNZkLk7iDqcyZz22giiy40b_usZZBXYciEN1U/edit?usp=sharing"",""ชุ"&amp;"มพร!M341"")+IMPORTRANGE(""https://docs.google.com/spreadsheets/d/16pAz3pOhQEZBhvFNMa5KGgZS6iKWpsKX0pg6tQmwFpo/edit?usp=sharing"",""ตรัง!M341"")+IMPORTRANGE(""https://docs.google.com/spreadsheets/d/1Dj4jcHCTV9JXKCaMoheSXS52JE63kDKyG7bPXnFogHk/edit?usp=shar"&amp;"ing"",""นครศรีธรรมราช!M341"")+IMPORTRANGE(""https://docs.google.com/spreadsheets/d/1iodCdmuK2GR3jzUwk8tpccY2JHQQA-87DLOtJP-ooyU/edit?usp=sharing"",""นราธิวาส!M341"")+IMPORTRANGE(""https://docs.google.com/spreadsheets/d/1SDNX3JhDdYRuIOsj0Wh2M-Qa_eaXl0NbWmh"&amp;"AOTbfQAs/edit?usp=sharing"",""ปัตตานี!M341"")+IMPORTRANGE(""https://docs.google.com/spreadsheets/d/16JDLGguT8s5DsGCND1KcwHP_AWR_zDMTqLHPLJUKhaU/edit?usp=sharing"",""พังงา!M341"")+IMPORTRANGE(""https://docs.google.com/spreadsheets/d/17ht0gPKzzT3PObBL1XJkeR"&amp;"mntBXI7wGjpLV7QorqlTk/edit?usp=sharing"",""พัทลุง!M341"")+IMPORTRANGE(""https://docs.google.com/spreadsheets/d/1rd4qoM1q_hsgaolqNGfrim9gbsoLxQsda4-vOz5x_BM/edit?usp=sharing"",""ภูเก็ต!M341"")+IMPORTRANGE(""https://docs.google.com/spreadsheets/d/1woKwKjgoL"&amp;"ssDvPcPeVyezB5izizAn4X1JDrys69n6xI/edit?usp=sharing"",""ยะลา!M341"")+IMPORTRANGE(""https://docs.google.com/spreadsheets/d/1qfrKjzMhm2HJfxQ-qVlJlJQ25Hne1d0khsySbZyGtPA/edit?usp=sharing"",""ระนอง!M341"")+IMPORTRANGE(""https://docs.google.com/spreadsheets/d/"&amp;"1IbSCnFOKpZsnFogBHJnL_isstZVaOMnFiIN0fGTPZZw/edit?usp=sharing"",""สงขลา!M341"")+IMPORTRANGE(""https://docs.google.com/spreadsheets/d/1q9nWasZJ-K8bFGvbE9n0qSRuKGA4Toe3Y89cKCiVtCU/edit?usp=sharing"",""สตูล!M341"")+IMPORTRANGE(""https://docs.google.com/sprea"&amp;"dsheets/d/18T20gbkS_WBjdscyTOV05cvq_JqvqQ17C81mpxf7Ncs/edit?usp=sharing"",""สุราษฎร์ธานี!M341"")"),850000)</f>
        <v>850000</v>
      </c>
      <c r="N341" s="47">
        <f ca="1">IFERROR(__xludf.DUMMYFUNCTION("IMPORTRANGE(""https://docs.google.com/spreadsheets/d/1kKUcYdkIfrgTSj8iHHHB2MD2FAtwyyocFgqGQn6ADyI/edit?usp=sharing"",""กระบี่!N341"")+IMPORTRANGE(""https://docs.google.com/spreadsheets/d/1GwtLaSlNZkLk7iDqcyZz22giiy40b_usZZBXYciEN1U/edit?usp=sharing"",""ชุ"&amp;"มพร!N341"")+IMPORTRANGE(""https://docs.google.com/spreadsheets/d/16pAz3pOhQEZBhvFNMa5KGgZS6iKWpsKX0pg6tQmwFpo/edit?usp=sharing"",""ตรัง!N341"")+IMPORTRANGE(""https://docs.google.com/spreadsheets/d/1Dj4jcHCTV9JXKCaMoheSXS52JE63kDKyG7bPXnFogHk/edit?usp=shar"&amp;"ing"",""นครศรีธรรมราช!N341"")+IMPORTRANGE(""https://docs.google.com/spreadsheets/d/1iodCdmuK2GR3jzUwk8tpccY2JHQQA-87DLOtJP-ooyU/edit?usp=sharing"",""นราธิวาส!N341"")+IMPORTRANGE(""https://docs.google.com/spreadsheets/d/1SDNX3JhDdYRuIOsj0Wh2M-Qa_eaXl0NbWmh"&amp;"AOTbfQAs/edit?usp=sharing"",""ปัตตานี!N341"")+IMPORTRANGE(""https://docs.google.com/spreadsheets/d/16JDLGguT8s5DsGCND1KcwHP_AWR_zDMTqLHPLJUKhaU/edit?usp=sharing"",""พังงา!N341"")+IMPORTRANGE(""https://docs.google.com/spreadsheets/d/17ht0gPKzzT3PObBL1XJkeR"&amp;"mntBXI7wGjpLV7QorqlTk/edit?usp=sharing"",""พัทลุง!N341"")+IMPORTRANGE(""https://docs.google.com/spreadsheets/d/1rd4qoM1q_hsgaolqNGfrim9gbsoLxQsda4-vOz5x_BM/edit?usp=sharing"",""ภูเก็ต!N341"")+IMPORTRANGE(""https://docs.google.com/spreadsheets/d/1woKwKjgoL"&amp;"ssDvPcPeVyezB5izizAn4X1JDrys69n6xI/edit?usp=sharing"",""ยะลา!N341"")+IMPORTRANGE(""https://docs.google.com/spreadsheets/d/1qfrKjzMhm2HJfxQ-qVlJlJQ25Hne1d0khsySbZyGtPA/edit?usp=sharing"",""ระนอง!N341"")+IMPORTRANGE(""https://docs.google.com/spreadsheets/d/"&amp;"1IbSCnFOKpZsnFogBHJnL_isstZVaOMnFiIN0fGTPZZw/edit?usp=sharing"",""สงขลา!N341"")+IMPORTRANGE(""https://docs.google.com/spreadsheets/d/1q9nWasZJ-K8bFGvbE9n0qSRuKGA4Toe3Y89cKCiVtCU/edit?usp=sharing"",""สตูล!N341"")+IMPORTRANGE(""https://docs.google.com/sprea"&amp;"dsheets/d/18T20gbkS_WBjdscyTOV05cvq_JqvqQ17C81mpxf7Ncs/edit?usp=sharing"",""สุราษฎร์ธานี!N341"")"),0)</f>
        <v>0</v>
      </c>
      <c r="O341" s="47">
        <f t="shared" ca="1" si="253"/>
        <v>0</v>
      </c>
      <c r="P341" s="47">
        <f t="shared" ca="1" si="254"/>
        <v>0</v>
      </c>
      <c r="Q341" s="47">
        <f ca="1">IFERROR(__xludf.DUMMYFUNCTION("IMPORTRANGE(""https://docs.google.com/spreadsheets/d/1kKUcYdkIfrgTSj8iHHHB2MD2FAtwyyocFgqGQn6ADyI/edit?usp=sharing"",""กระบี่!Q341"")+IMPORTRANGE(""https://docs.google.com/spreadsheets/d/1GwtLaSlNZkLk7iDqcyZz22giiy40b_usZZBXYciEN1U/edit?usp=sharing"",""ชุ"&amp;"มพร!Q341"")+IMPORTRANGE(""https://docs.google.com/spreadsheets/d/16pAz3pOhQEZBhvFNMa5KGgZS6iKWpsKX0pg6tQmwFpo/edit?usp=sharing"",""ตรัง!Q341"")+IMPORTRANGE(""https://docs.google.com/spreadsheets/d/1Dj4jcHCTV9JXKCaMoheSXS52JE63kDKyG7bPXnFogHk/edit?usp=shar"&amp;"ing"",""นครศรีธรรมราช!Q341"")+IMPORTRANGE(""https://docs.google.com/spreadsheets/d/1iodCdmuK2GR3jzUwk8tpccY2JHQQA-87DLOtJP-ooyU/edit?usp=sharing"",""นราธิวาส!Q341"")+IMPORTRANGE(""https://docs.google.com/spreadsheets/d/1SDNX3JhDdYRuIOsj0Wh2M-Qa_eaXl0NbWmh"&amp;"AOTbfQAs/edit?usp=sharing"",""ปัตตานี!Q341"")+IMPORTRANGE(""https://docs.google.com/spreadsheets/d/16JDLGguT8s5DsGCND1KcwHP_AWR_zDMTqLHPLJUKhaU/edit?usp=sharing"",""พังงา!Q341"")+IMPORTRANGE(""https://docs.google.com/spreadsheets/d/17ht0gPKzzT3PObBL1XJkeR"&amp;"mntBXI7wGjpLV7QorqlTk/edit?usp=sharing"",""พัทลุง!Q341"")+IMPORTRANGE(""https://docs.google.com/spreadsheets/d/1rd4qoM1q_hsgaolqNGfrim9gbsoLxQsda4-vOz5x_BM/edit?usp=sharing"",""ภูเก็ต!Q341"")+IMPORTRANGE(""https://docs.google.com/spreadsheets/d/1woKwKjgoL"&amp;"ssDvPcPeVyezB5izizAn4X1JDrys69n6xI/edit?usp=sharing"",""ยะลา!Q341"")+IMPORTRANGE(""https://docs.google.com/spreadsheets/d/1qfrKjzMhm2HJfxQ-qVlJlJQ25Hne1d0khsySbZyGtPA/edit?usp=sharing"",""ระนอง!Q341"")+IMPORTRANGE(""https://docs.google.com/spreadsheets/d/"&amp;"1IbSCnFOKpZsnFogBHJnL_isstZVaOMnFiIN0fGTPZZw/edit?usp=sharing"",""สงขลา!Q341"")+IMPORTRANGE(""https://docs.google.com/spreadsheets/d/1q9nWasZJ-K8bFGvbE9n0qSRuKGA4Toe3Y89cKCiVtCU/edit?usp=sharing"",""สตูล!Q341"")+IMPORTRANGE(""https://docs.google.com/sprea"&amp;"dsheets/d/18T20gbkS_WBjdscyTOV05cvq_JqvqQ17C81mpxf7Ncs/edit?usp=sharing"",""สุราษฎร์ธานี!Q341"")"),0)</f>
        <v>0</v>
      </c>
      <c r="R341" s="47">
        <f ca="1">IFERROR(__xludf.DUMMYFUNCTION("IMPORTRANGE(""https://docs.google.com/spreadsheets/d/1kKUcYdkIfrgTSj8iHHHB2MD2FAtwyyocFgqGQn6ADyI/edit?usp=sharing"",""กระบี่!R341"")+IMPORTRANGE(""https://docs.google.com/spreadsheets/d/1GwtLaSlNZkLk7iDqcyZz22giiy40b_usZZBXYciEN1U/edit?usp=sharing"",""ชุ"&amp;"มพร!R341"")+IMPORTRANGE(""https://docs.google.com/spreadsheets/d/16pAz3pOhQEZBhvFNMa5KGgZS6iKWpsKX0pg6tQmwFpo/edit?usp=sharing"",""ตรัง!R341"")+IMPORTRANGE(""https://docs.google.com/spreadsheets/d/1Dj4jcHCTV9JXKCaMoheSXS52JE63kDKyG7bPXnFogHk/edit?usp=shar"&amp;"ing"",""นครศรีธรรมราช!R341"")+IMPORTRANGE(""https://docs.google.com/spreadsheets/d/1iodCdmuK2GR3jzUwk8tpccY2JHQQA-87DLOtJP-ooyU/edit?usp=sharing"",""นราธิวาส!R341"")+IMPORTRANGE(""https://docs.google.com/spreadsheets/d/1SDNX3JhDdYRuIOsj0Wh2M-Qa_eaXl0NbWmh"&amp;"AOTbfQAs/edit?usp=sharing"",""ปัตตานี!R341"")+IMPORTRANGE(""https://docs.google.com/spreadsheets/d/16JDLGguT8s5DsGCND1KcwHP_AWR_zDMTqLHPLJUKhaU/edit?usp=sharing"",""พังงา!R341"")+IMPORTRANGE(""https://docs.google.com/spreadsheets/d/17ht0gPKzzT3PObBL1XJkeR"&amp;"mntBXI7wGjpLV7QorqlTk/edit?usp=sharing"",""พัทลุง!R341"")+IMPORTRANGE(""https://docs.google.com/spreadsheets/d/1rd4qoM1q_hsgaolqNGfrim9gbsoLxQsda4-vOz5x_BM/edit?usp=sharing"",""ภูเก็ต!R341"")+IMPORTRANGE(""https://docs.google.com/spreadsheets/d/1woKwKjgoL"&amp;"ssDvPcPeVyezB5izizAn4X1JDrys69n6xI/edit?usp=sharing"",""ยะลา!R341"")+IMPORTRANGE(""https://docs.google.com/spreadsheets/d/1qfrKjzMhm2HJfxQ-qVlJlJQ25Hne1d0khsySbZyGtPA/edit?usp=sharing"",""ระนอง!R341"")+IMPORTRANGE(""https://docs.google.com/spreadsheets/d/"&amp;"1IbSCnFOKpZsnFogBHJnL_isstZVaOMnFiIN0fGTPZZw/edit?usp=sharing"",""สงขลา!R341"")+IMPORTRANGE(""https://docs.google.com/spreadsheets/d/1q9nWasZJ-K8bFGvbE9n0qSRuKGA4Toe3Y89cKCiVtCU/edit?usp=sharing"",""สตูล!R341"")+IMPORTRANGE(""https://docs.google.com/sprea"&amp;"dsheets/d/18T20gbkS_WBjdscyTOV05cvq_JqvqQ17C81mpxf7Ncs/edit?usp=sharing"",""สุราษฎร์ธานี!R341"")"),0)</f>
        <v>0</v>
      </c>
      <c r="S341" s="47">
        <f ca="1">IFERROR(__xludf.DUMMYFUNCTION("IMPORTRANGE(""https://docs.google.com/spreadsheets/d/1kKUcYdkIfrgTSj8iHHHB2MD2FAtwyyocFgqGQn6ADyI/edit?usp=sharing"",""กระบี่!S341"")+IMPORTRANGE(""https://docs.google.com/spreadsheets/d/1GwtLaSlNZkLk7iDqcyZz22giiy40b_usZZBXYciEN1U/edit?usp=sharing"",""ชุ"&amp;"มพร!S341"")+IMPORTRANGE(""https://docs.google.com/spreadsheets/d/16pAz3pOhQEZBhvFNMa5KGgZS6iKWpsKX0pg6tQmwFpo/edit?usp=sharing"",""ตรัง!S341"")+IMPORTRANGE(""https://docs.google.com/spreadsheets/d/1Dj4jcHCTV9JXKCaMoheSXS52JE63kDKyG7bPXnFogHk/edit?usp=shar"&amp;"ing"",""นครศรีธรรมราช!S341"")+IMPORTRANGE(""https://docs.google.com/spreadsheets/d/1iodCdmuK2GR3jzUwk8tpccY2JHQQA-87DLOtJP-ooyU/edit?usp=sharing"",""นราธิวาส!S341"")+IMPORTRANGE(""https://docs.google.com/spreadsheets/d/1SDNX3JhDdYRuIOsj0Wh2M-Qa_eaXl0NbWmh"&amp;"AOTbfQAs/edit?usp=sharing"",""ปัตตานี!S341"")+IMPORTRANGE(""https://docs.google.com/spreadsheets/d/16JDLGguT8s5DsGCND1KcwHP_AWR_zDMTqLHPLJUKhaU/edit?usp=sharing"",""พังงา!S341"")+IMPORTRANGE(""https://docs.google.com/spreadsheets/d/17ht0gPKzzT3PObBL1XJkeR"&amp;"mntBXI7wGjpLV7QorqlTk/edit?usp=sharing"",""พัทลุง!S341"")+IMPORTRANGE(""https://docs.google.com/spreadsheets/d/1rd4qoM1q_hsgaolqNGfrim9gbsoLxQsda4-vOz5x_BM/edit?usp=sharing"",""ภูเก็ต!S341"")+IMPORTRANGE(""https://docs.google.com/spreadsheets/d/1woKwKjgoL"&amp;"ssDvPcPeVyezB5izizAn4X1JDrys69n6xI/edit?usp=sharing"",""ยะลา!S341"")+IMPORTRANGE(""https://docs.google.com/spreadsheets/d/1qfrKjzMhm2HJfxQ-qVlJlJQ25Hne1d0khsySbZyGtPA/edit?usp=sharing"",""ระนอง!S341"")+IMPORTRANGE(""https://docs.google.com/spreadsheets/d/"&amp;"1IbSCnFOKpZsnFogBHJnL_isstZVaOMnFiIN0fGTPZZw/edit?usp=sharing"",""สงขลา!S341"")+IMPORTRANGE(""https://docs.google.com/spreadsheets/d/1q9nWasZJ-K8bFGvbE9n0qSRuKGA4Toe3Y89cKCiVtCU/edit?usp=sharing"",""สตูล!S341"")+IMPORTRANGE(""https://docs.google.com/sprea"&amp;"dsheets/d/18T20gbkS_WBjdscyTOV05cvq_JqvqQ17C81mpxf7Ncs/edit?usp=sharing"",""สุราษฎร์ธานี!S341"")"),0)</f>
        <v>0</v>
      </c>
      <c r="T341" s="47">
        <f t="shared" ca="1" si="256"/>
        <v>0</v>
      </c>
      <c r="U341" s="47">
        <f t="shared" ca="1" si="257"/>
        <v>0</v>
      </c>
    </row>
    <row r="342" spans="1:21" ht="19.5" x14ac:dyDescent="0.3">
      <c r="A342" s="138"/>
      <c r="B342" s="139"/>
      <c r="C342" s="129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222"/>
      <c r="B343" s="225"/>
      <c r="C343" s="223"/>
      <c r="D343" s="225"/>
      <c r="E343" s="316" t="s">
        <v>137</v>
      </c>
      <c r="F343" s="225"/>
      <c r="G343" s="226"/>
      <c r="H343" s="227" t="s">
        <v>35</v>
      </c>
      <c r="I343" s="228">
        <v>0</v>
      </c>
      <c r="J343" s="228">
        <f ca="1">J344+J347+J348+J349</f>
        <v>24596</v>
      </c>
      <c r="K343" s="229">
        <v>0</v>
      </c>
      <c r="L343" s="230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kKUcYdkIfrgTSj8iHHHB2MD2FAtwyyocFgqGQn6ADyI/edit?usp=sharing"",""กระบี่!I344"")+IMPORTRANGE(""https://docs.google.com/spreadsheets/d/1GwtLaSlNZkLk7iDqcyZz22giiy40b_usZZBXYciEN1U/edit?usp=sharing"",""ชุ"&amp;"มพร!I344"")+IMPORTRANGE(""https://docs.google.com/spreadsheets/d/16pAz3pOhQEZBhvFNMa5KGgZS6iKWpsKX0pg6tQmwFpo/edit?usp=sharing"",""ตรัง!I344"")+IMPORTRANGE(""https://docs.google.com/spreadsheets/d/1Dj4jcHCTV9JXKCaMoheSXS52JE63kDKyG7bPXnFogHk/edit?usp=shar"&amp;"ing"",""นครศรีธรรมราช!I344"")+IMPORTRANGE(""https://docs.google.com/spreadsheets/d/1iodCdmuK2GR3jzUwk8tpccY2JHQQA-87DLOtJP-ooyU/edit?usp=sharing"",""นราธิวาส!I344"")+IMPORTRANGE(""https://docs.google.com/spreadsheets/d/1SDNX3JhDdYRuIOsj0Wh2M-Qa_eaXl0NbWmh"&amp;"AOTbfQAs/edit?usp=sharing"",""ปัตตานี!I344"")+IMPORTRANGE(""https://docs.google.com/spreadsheets/d/16JDLGguT8s5DsGCND1KcwHP_AWR_zDMTqLHPLJUKhaU/edit?usp=sharing"",""พังงา!I344"")+IMPORTRANGE(""https://docs.google.com/spreadsheets/d/17ht0gPKzzT3PObBL1XJkeR"&amp;"mntBXI7wGjpLV7QorqlTk/edit?usp=sharing"",""พัทลุง!I344"")+IMPORTRANGE(""https://docs.google.com/spreadsheets/d/1rd4qoM1q_hsgaolqNGfrim9gbsoLxQsda4-vOz5x_BM/edit?usp=sharing"",""ภูเก็ต!I344"")+IMPORTRANGE(""https://docs.google.com/spreadsheets/d/1woKwKjgoL"&amp;"ssDvPcPeVyezB5izizAn4X1JDrys69n6xI/edit?usp=sharing"",""ยะลา!I344"")+IMPORTRANGE(""https://docs.google.com/spreadsheets/d/1qfrKjzMhm2HJfxQ-qVlJlJQ25Hne1d0khsySbZyGtPA/edit?usp=sharing"",""ระนอง!I344"")+IMPORTRANGE(""https://docs.google.com/spreadsheets/d/"&amp;"1IbSCnFOKpZsnFogBHJnL_isstZVaOMnFiIN0fGTPZZw/edit?usp=sharing"",""สงขลา!I344"")+IMPORTRANGE(""https://docs.google.com/spreadsheets/d/1q9nWasZJ-K8bFGvbE9n0qSRuKGA4Toe3Y89cKCiVtCU/edit?usp=sharing"",""สตูล!I344"")+IMPORTRANGE(""https://docs.google.com/sprea"&amp;"dsheets/d/18T20gbkS_WBjdscyTOV05cvq_JqvqQ17C81mpxf7Ncs/edit?usp=sharing"",""สุราษฎร์ธานี!I344"")"),12140)</f>
        <v>12140</v>
      </c>
      <c r="J344" s="152">
        <f ca="1">IFERROR(__xludf.DUMMYFUNCTION("IMPORTRANGE(""https://docs.google.com/spreadsheets/d/1kKUcYdkIfrgTSj8iHHHB2MD2FAtwyyocFgqGQn6ADyI/edit?usp=sharing"",""กระบี่!J344"")+IMPORTRANGE(""https://docs.google.com/spreadsheets/d/1GwtLaSlNZkLk7iDqcyZz22giiy40b_usZZBXYciEN1U/edit?usp=sharing"",""ชุ"&amp;"มพร!J344"")+IMPORTRANGE(""https://docs.google.com/spreadsheets/d/16pAz3pOhQEZBhvFNMa5KGgZS6iKWpsKX0pg6tQmwFpo/edit?usp=sharing"",""ตรัง!J344"")+IMPORTRANGE(""https://docs.google.com/spreadsheets/d/1Dj4jcHCTV9JXKCaMoheSXS52JE63kDKyG7bPXnFogHk/edit?usp=shar"&amp;"ing"",""นครศรีธรรมราช!J344"")+IMPORTRANGE(""https://docs.google.com/spreadsheets/d/1iodCdmuK2GR3jzUwk8tpccY2JHQQA-87DLOtJP-ooyU/edit?usp=sharing"",""นราธิวาส!J344"")+IMPORTRANGE(""https://docs.google.com/spreadsheets/d/1SDNX3JhDdYRuIOsj0Wh2M-Qa_eaXl0NbWmh"&amp;"AOTbfQAs/edit?usp=sharing"",""ปัตตานี!J344"")+IMPORTRANGE(""https://docs.google.com/spreadsheets/d/16JDLGguT8s5DsGCND1KcwHP_AWR_zDMTqLHPLJUKhaU/edit?usp=sharing"",""พังงา!J344"")+IMPORTRANGE(""https://docs.google.com/spreadsheets/d/17ht0gPKzzT3PObBL1XJkeR"&amp;"mntBXI7wGjpLV7QorqlTk/edit?usp=sharing"",""พัทลุง!J344"")+IMPORTRANGE(""https://docs.google.com/spreadsheets/d/1rd4qoM1q_hsgaolqNGfrim9gbsoLxQsda4-vOz5x_BM/edit?usp=sharing"",""ภูเก็ต!J344"")+IMPORTRANGE(""https://docs.google.com/spreadsheets/d/1woKwKjgoL"&amp;"ssDvPcPeVyezB5izizAn4X1JDrys69n6xI/edit?usp=sharing"",""ยะลา!J344"")+IMPORTRANGE(""https://docs.google.com/spreadsheets/d/1qfrKjzMhm2HJfxQ-qVlJlJQ25Hne1d0khsySbZyGtPA/edit?usp=sharing"",""ระนอง!J344"")+IMPORTRANGE(""https://docs.google.com/spreadsheets/d/"&amp;"1IbSCnFOKpZsnFogBHJnL_isstZVaOMnFiIN0fGTPZZw/edit?usp=sharing"",""สงขลา!J344"")+IMPORTRANGE(""https://docs.google.com/spreadsheets/d/1q9nWasZJ-K8bFGvbE9n0qSRuKGA4Toe3Y89cKCiVtCU/edit?usp=sharing"",""สตูล!J344"")+IMPORTRANGE(""https://docs.google.com/sprea"&amp;"dsheets/d/18T20gbkS_WBjdscyTOV05cvq_JqvqQ17C81mpxf7Ncs/edit?usp=sharing"",""สุราษฎร์ธานี!J344"")"),24019)</f>
        <v>24019</v>
      </c>
      <c r="K344" s="47">
        <f ca="1">IF(I344&gt;0,J344*100/I344,0)</f>
        <v>197.8500823723229</v>
      </c>
      <c r="L344" s="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kKUcYdkIfrgTSj8iHHHB2MD2FAtwyyocFgqGQn6ADyI/edit?usp=sharing"",""กระบี่!I346"")+IMPORTRANGE(""https://docs.google.com/spreadsheets/d/1GwtLaSlNZkLk7iDqcyZz22giiy40b_usZZBXYciEN1U/edit?usp=sharing"",""ชุ"&amp;"มพร!I346"")+IMPORTRANGE(""https://docs.google.com/spreadsheets/d/16pAz3pOhQEZBhvFNMa5KGgZS6iKWpsKX0pg6tQmwFpo/edit?usp=sharing"",""ตรัง!I346"")+IMPORTRANGE(""https://docs.google.com/spreadsheets/d/1Dj4jcHCTV9JXKCaMoheSXS52JE63kDKyG7bPXnFogHk/edit?usp=shar"&amp;"ing"",""นครศรีธรรมราช!I346"")+IMPORTRANGE(""https://docs.google.com/spreadsheets/d/1iodCdmuK2GR3jzUwk8tpccY2JHQQA-87DLOtJP-ooyU/edit?usp=sharing"",""นราธิวาส!I346"")+IMPORTRANGE(""https://docs.google.com/spreadsheets/d/1SDNX3JhDdYRuIOsj0Wh2M-Qa_eaXl0NbWmh"&amp;"AOTbfQAs/edit?usp=sharing"",""ปัตตานี!I346"")+IMPORTRANGE(""https://docs.google.com/spreadsheets/d/16JDLGguT8s5DsGCND1KcwHP_AWR_zDMTqLHPLJUKhaU/edit?usp=sharing"",""พังงา!I346"")+IMPORTRANGE(""https://docs.google.com/spreadsheets/d/17ht0gPKzzT3PObBL1XJkeR"&amp;"mntBXI7wGjpLV7QorqlTk/edit?usp=sharing"",""พัทลุง!I346"")+IMPORTRANGE(""https://docs.google.com/spreadsheets/d/1rd4qoM1q_hsgaolqNGfrim9gbsoLxQsda4-vOz5x_BM/edit?usp=sharing"",""ภูเก็ต!I346"")+IMPORTRANGE(""https://docs.google.com/spreadsheets/d/1woKwKjgoL"&amp;"ssDvPcPeVyezB5izizAn4X1JDrys69n6xI/edit?usp=sharing"",""ยะลา!I346"")+IMPORTRANGE(""https://docs.google.com/spreadsheets/d/1qfrKjzMhm2HJfxQ-qVlJlJQ25Hne1d0khsySbZyGtPA/edit?usp=sharing"",""ระนอง!I346"")+IMPORTRANGE(""https://docs.google.com/spreadsheets/d/"&amp;"1IbSCnFOKpZsnFogBHJnL_isstZVaOMnFiIN0fGTPZZw/edit?usp=sharing"",""สงขลา!I346"")+IMPORTRANGE(""https://docs.google.com/spreadsheets/d/1q9nWasZJ-K8bFGvbE9n0qSRuKGA4Toe3Y89cKCiVtCU/edit?usp=sharing"",""สตูล!I346"")+IMPORTRANGE(""https://docs.google.com/sprea"&amp;"dsheets/d/18T20gbkS_WBjdscyTOV05cvq_JqvqQ17C81mpxf7Ncs/edit?usp=sharing"",""สุราษฎร์ธานี!I346"")"),33)</f>
        <v>33</v>
      </c>
      <c r="J346" s="152">
        <f ca="1">IFERROR(__xludf.DUMMYFUNCTION("IMPORTRANGE(""https://docs.google.com/spreadsheets/d/1kKUcYdkIfrgTSj8iHHHB2MD2FAtwyyocFgqGQn6ADyI/edit?usp=sharing"",""กระบี่!J346"")+IMPORTRANGE(""https://docs.google.com/spreadsheets/d/1GwtLaSlNZkLk7iDqcyZz22giiy40b_usZZBXYciEN1U/edit?usp=sharing"",""ชุ"&amp;"มพร!J346"")+IMPORTRANGE(""https://docs.google.com/spreadsheets/d/16pAz3pOhQEZBhvFNMa5KGgZS6iKWpsKX0pg6tQmwFpo/edit?usp=sharing"",""ตรัง!J346"")+IMPORTRANGE(""https://docs.google.com/spreadsheets/d/1Dj4jcHCTV9JXKCaMoheSXS52JE63kDKyG7bPXnFogHk/edit?usp=shar"&amp;"ing"",""นครศรีธรรมราช!J346"")+IMPORTRANGE(""https://docs.google.com/spreadsheets/d/1iodCdmuK2GR3jzUwk8tpccY2JHQQA-87DLOtJP-ooyU/edit?usp=sharing"",""นราธิวาส!J346"")+IMPORTRANGE(""https://docs.google.com/spreadsheets/d/1SDNX3JhDdYRuIOsj0Wh2M-Qa_eaXl0NbWmh"&amp;"AOTbfQAs/edit?usp=sharing"",""ปัตตานี!J346"")+IMPORTRANGE(""https://docs.google.com/spreadsheets/d/16JDLGguT8s5DsGCND1KcwHP_AWR_zDMTqLHPLJUKhaU/edit?usp=sharing"",""พังงา!J346"")+IMPORTRANGE(""https://docs.google.com/spreadsheets/d/17ht0gPKzzT3PObBL1XJkeR"&amp;"mntBXI7wGjpLV7QorqlTk/edit?usp=sharing"",""พัทลุง!J346"")+IMPORTRANGE(""https://docs.google.com/spreadsheets/d/1rd4qoM1q_hsgaolqNGfrim9gbsoLxQsda4-vOz5x_BM/edit?usp=sharing"",""ภูเก็ต!J346"")+IMPORTRANGE(""https://docs.google.com/spreadsheets/d/1woKwKjgoL"&amp;"ssDvPcPeVyezB5izizAn4X1JDrys69n6xI/edit?usp=sharing"",""ยะลา!J346"")+IMPORTRANGE(""https://docs.google.com/spreadsheets/d/1qfrKjzMhm2HJfxQ-qVlJlJQ25Hne1d0khsySbZyGtPA/edit?usp=sharing"",""ระนอง!J346"")+IMPORTRANGE(""https://docs.google.com/spreadsheets/d/"&amp;"1IbSCnFOKpZsnFogBHJnL_isstZVaOMnFiIN0fGTPZZw/edit?usp=sharing"",""สงขลา!J346"")+IMPORTRANGE(""https://docs.google.com/spreadsheets/d/1q9nWasZJ-K8bFGvbE9n0qSRuKGA4Toe3Y89cKCiVtCU/edit?usp=sharing"",""สตูล!J346"")+IMPORTRANGE(""https://docs.google.com/sprea"&amp;"dsheets/d/18T20gbkS_WBjdscyTOV05cvq_JqvqQ17C81mpxf7Ncs/edit?usp=sharing"",""สุราษฎร์ธานี!J346"")"),46)</f>
        <v>46</v>
      </c>
      <c r="K346" s="47">
        <f ca="1">IF(I346&gt;0,J346*100/I346,0)</f>
        <v>139.39393939393941</v>
      </c>
      <c r="L346" s="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kKUcYdkIfrgTSj8iHHHB2MD2FAtwyyocFgqGQn6ADyI/edit?usp=sharing"",""กระบี่!J347"")+IMPORTRANGE(""https://docs.google.com/spreadsheets/d/1GwtLaSlNZkLk7iDqcyZz22giiy40b_usZZBXYciEN1U/edit?usp=sharing"",""ชุ"&amp;"มพร!J347"")+IMPORTRANGE(""https://docs.google.com/spreadsheets/d/16pAz3pOhQEZBhvFNMa5KGgZS6iKWpsKX0pg6tQmwFpo/edit?usp=sharing"",""ตรัง!J347"")+IMPORTRANGE(""https://docs.google.com/spreadsheets/d/1Dj4jcHCTV9JXKCaMoheSXS52JE63kDKyG7bPXnFogHk/edit?usp=shar"&amp;"ing"",""นครศรีธรรมราช!J347"")+IMPORTRANGE(""https://docs.google.com/spreadsheets/d/1iodCdmuK2GR3jzUwk8tpccY2JHQQA-87DLOtJP-ooyU/edit?usp=sharing"",""นราธิวาส!J347"")+IMPORTRANGE(""https://docs.google.com/spreadsheets/d/1SDNX3JhDdYRuIOsj0Wh2M-Qa_eaXl0NbWmh"&amp;"AOTbfQAs/edit?usp=sharing"",""ปัตตานี!J347"")+IMPORTRANGE(""https://docs.google.com/spreadsheets/d/16JDLGguT8s5DsGCND1KcwHP_AWR_zDMTqLHPLJUKhaU/edit?usp=sharing"",""พังงา!J347"")+IMPORTRANGE(""https://docs.google.com/spreadsheets/d/17ht0gPKzzT3PObBL1XJkeR"&amp;"mntBXI7wGjpLV7QorqlTk/edit?usp=sharing"",""พัทลุง!J347"")+IMPORTRANGE(""https://docs.google.com/spreadsheets/d/1rd4qoM1q_hsgaolqNGfrim9gbsoLxQsda4-vOz5x_BM/edit?usp=sharing"",""ภูเก็ต!J347"")+IMPORTRANGE(""https://docs.google.com/spreadsheets/d/1woKwKjgoL"&amp;"ssDvPcPeVyezB5izizAn4X1JDrys69n6xI/edit?usp=sharing"",""ยะลา!J347"")+IMPORTRANGE(""https://docs.google.com/spreadsheets/d/1qfrKjzMhm2HJfxQ-qVlJlJQ25Hne1d0khsySbZyGtPA/edit?usp=sharing"",""ระนอง!J347"")+IMPORTRANGE(""https://docs.google.com/spreadsheets/d/"&amp;"1IbSCnFOKpZsnFogBHJnL_isstZVaOMnFiIN0fGTPZZw/edit?usp=sharing"",""สงขลา!J347"")+IMPORTRANGE(""https://docs.google.com/spreadsheets/d/1q9nWasZJ-K8bFGvbE9n0qSRuKGA4Toe3Y89cKCiVtCU/edit?usp=sharing"",""สตูล!J347"")+IMPORTRANGE(""https://docs.google.com/sprea"&amp;"dsheets/d/18T20gbkS_WBjdscyTOV05cvq_JqvqQ17C81mpxf7Ncs/edit?usp=sharing"",""สุราษฎร์ธานี!J347"")"),379)</f>
        <v>379</v>
      </c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kKUcYdkIfrgTSj8iHHHB2MD2FAtwyyocFgqGQn6ADyI/edit?usp=sharing"",""กระบี่!J348"")+IMPORTRANGE(""https://docs.google.com/spreadsheets/d/1GwtLaSlNZkLk7iDqcyZz22giiy40b_usZZBXYciEN1U/edit?usp=sharing"",""ชุ"&amp;"มพร!J348"")+IMPORTRANGE(""https://docs.google.com/spreadsheets/d/16pAz3pOhQEZBhvFNMa5KGgZS6iKWpsKX0pg6tQmwFpo/edit?usp=sharing"",""ตรัง!J348"")+IMPORTRANGE(""https://docs.google.com/spreadsheets/d/1Dj4jcHCTV9JXKCaMoheSXS52JE63kDKyG7bPXnFogHk/edit?usp=shar"&amp;"ing"",""นครศรีธรรมราช!J348"")+IMPORTRANGE(""https://docs.google.com/spreadsheets/d/1iodCdmuK2GR3jzUwk8tpccY2JHQQA-87DLOtJP-ooyU/edit?usp=sharing"",""นราธิวาส!J348"")+IMPORTRANGE(""https://docs.google.com/spreadsheets/d/1SDNX3JhDdYRuIOsj0Wh2M-Qa_eaXl0NbWmh"&amp;"AOTbfQAs/edit?usp=sharing"",""ปัตตานี!J348"")+IMPORTRANGE(""https://docs.google.com/spreadsheets/d/16JDLGguT8s5DsGCND1KcwHP_AWR_zDMTqLHPLJUKhaU/edit?usp=sharing"",""พังงา!J348"")+IMPORTRANGE(""https://docs.google.com/spreadsheets/d/17ht0gPKzzT3PObBL1XJkeR"&amp;"mntBXI7wGjpLV7QorqlTk/edit?usp=sharing"",""พัทลุง!J348"")+IMPORTRANGE(""https://docs.google.com/spreadsheets/d/1rd4qoM1q_hsgaolqNGfrim9gbsoLxQsda4-vOz5x_BM/edit?usp=sharing"",""ภูเก็ต!J348"")+IMPORTRANGE(""https://docs.google.com/spreadsheets/d/1woKwKjgoL"&amp;"ssDvPcPeVyezB5izizAn4X1JDrys69n6xI/edit?usp=sharing"",""ยะลา!J348"")+IMPORTRANGE(""https://docs.google.com/spreadsheets/d/1qfrKjzMhm2HJfxQ-qVlJlJQ25Hne1d0khsySbZyGtPA/edit?usp=sharing"",""ระนอง!J348"")+IMPORTRANGE(""https://docs.google.com/spreadsheets/d/"&amp;"1IbSCnFOKpZsnFogBHJnL_isstZVaOMnFiIN0fGTPZZw/edit?usp=sharing"",""สงขลา!J348"")+IMPORTRANGE(""https://docs.google.com/spreadsheets/d/1q9nWasZJ-K8bFGvbE9n0qSRuKGA4Toe3Y89cKCiVtCU/edit?usp=sharing"",""สตูล!J348"")+IMPORTRANGE(""https://docs.google.com/sprea"&amp;"dsheets/d/18T20gbkS_WBjdscyTOV05cvq_JqvqQ17C81mpxf7Ncs/edit?usp=sharing"",""สุราษฎร์ธานี!J348"")"),66)</f>
        <v>66</v>
      </c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kKUcYdkIfrgTSj8iHHHB2MD2FAtwyyocFgqGQn6ADyI/edit?usp=sharing"",""กระบี่!J349"")+IMPORTRANGE(""https://docs.google.com/spreadsheets/d/1GwtLaSlNZkLk7iDqcyZz22giiy40b_usZZBXYciEN1U/edit?usp=sharing"",""ชุ"&amp;"มพร!J349"")+IMPORTRANGE(""https://docs.google.com/spreadsheets/d/16pAz3pOhQEZBhvFNMa5KGgZS6iKWpsKX0pg6tQmwFpo/edit?usp=sharing"",""ตรัง!J349"")+IMPORTRANGE(""https://docs.google.com/spreadsheets/d/1Dj4jcHCTV9JXKCaMoheSXS52JE63kDKyG7bPXnFogHk/edit?usp=shar"&amp;"ing"",""นครศรีธรรมราช!J349"")+IMPORTRANGE(""https://docs.google.com/spreadsheets/d/1iodCdmuK2GR3jzUwk8tpccY2JHQQA-87DLOtJP-ooyU/edit?usp=sharing"",""นราธิวาส!J349"")+IMPORTRANGE(""https://docs.google.com/spreadsheets/d/1SDNX3JhDdYRuIOsj0Wh2M-Qa_eaXl0NbWmh"&amp;"AOTbfQAs/edit?usp=sharing"",""ปัตตานี!J349"")+IMPORTRANGE(""https://docs.google.com/spreadsheets/d/16JDLGguT8s5DsGCND1KcwHP_AWR_zDMTqLHPLJUKhaU/edit?usp=sharing"",""พังงา!J349"")+IMPORTRANGE(""https://docs.google.com/spreadsheets/d/17ht0gPKzzT3PObBL1XJkeR"&amp;"mntBXI7wGjpLV7QorqlTk/edit?usp=sharing"",""พัทลุง!J349"")+IMPORTRANGE(""https://docs.google.com/spreadsheets/d/1rd4qoM1q_hsgaolqNGfrim9gbsoLxQsda4-vOz5x_BM/edit?usp=sharing"",""ภูเก็ต!J349"")+IMPORTRANGE(""https://docs.google.com/spreadsheets/d/1woKwKjgoL"&amp;"ssDvPcPeVyezB5izizAn4X1JDrys69n6xI/edit?usp=sharing"",""ยะลา!J349"")+IMPORTRANGE(""https://docs.google.com/spreadsheets/d/1qfrKjzMhm2HJfxQ-qVlJlJQ25Hne1d0khsySbZyGtPA/edit?usp=sharing"",""ระนอง!J349"")+IMPORTRANGE(""https://docs.google.com/spreadsheets/d/"&amp;"1IbSCnFOKpZsnFogBHJnL_isstZVaOMnFiIN0fGTPZZw/edit?usp=sharing"",""สงขลา!J349"")+IMPORTRANGE(""https://docs.google.com/spreadsheets/d/1q9nWasZJ-K8bFGvbE9n0qSRuKGA4Toe3Y89cKCiVtCU/edit?usp=sharing"",""สตูล!J349"")+IMPORTRANGE(""https://docs.google.com/sprea"&amp;"dsheets/d/18T20gbkS_WBjdscyTOV05cvq_JqvqQ17C81mpxf7Ncs/edit?usp=sharing"",""สุราษฎร์ธานี!J349"")"),132)</f>
        <v>132</v>
      </c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159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318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44520</v>
      </c>
      <c r="K351" s="229">
        <v>0</v>
      </c>
      <c r="L351" s="230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159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kKUcYdkIfrgTSj8iHHHB2MD2FAtwyyocFgqGQn6ADyI/edit?usp=sharing"",""กระบี่!J352"")+IMPORTRANGE(""https://docs.google.com/spreadsheets/d/1GwtLaSlNZkLk7iDqcyZz22giiy40b_usZZBXYciEN1U/edit?usp=sharing"",""ชุ"&amp;"มพร!J352"")+IMPORTRANGE(""https://docs.google.com/spreadsheets/d/16pAz3pOhQEZBhvFNMa5KGgZS6iKWpsKX0pg6tQmwFpo/edit?usp=sharing"",""ตรัง!J352"")+IMPORTRANGE(""https://docs.google.com/spreadsheets/d/1Dj4jcHCTV9JXKCaMoheSXS52JE63kDKyG7bPXnFogHk/edit?usp=shar"&amp;"ing"",""นครศรีธรรมราช!J352"")+IMPORTRANGE(""https://docs.google.com/spreadsheets/d/1iodCdmuK2GR3jzUwk8tpccY2JHQQA-87DLOtJP-ooyU/edit?usp=sharing"",""นราธิวาส!J352"")+IMPORTRANGE(""https://docs.google.com/spreadsheets/d/1SDNX3JhDdYRuIOsj0Wh2M-Qa_eaXl0NbWmh"&amp;"AOTbfQAs/edit?usp=sharing"",""ปัตตานี!J352"")+IMPORTRANGE(""https://docs.google.com/spreadsheets/d/16JDLGguT8s5DsGCND1KcwHP_AWR_zDMTqLHPLJUKhaU/edit?usp=sharing"",""พังงา!J352"")+IMPORTRANGE(""https://docs.google.com/spreadsheets/d/17ht0gPKzzT3PObBL1XJkeR"&amp;"mntBXI7wGjpLV7QorqlTk/edit?usp=sharing"",""พัทลุง!J352"")+IMPORTRANGE(""https://docs.google.com/spreadsheets/d/1rd4qoM1q_hsgaolqNGfrim9gbsoLxQsda4-vOz5x_BM/edit?usp=sharing"",""ภูเก็ต!J352"")+IMPORTRANGE(""https://docs.google.com/spreadsheets/d/1woKwKjgoL"&amp;"ssDvPcPeVyezB5izizAn4X1JDrys69n6xI/edit?usp=sharing"",""ยะลา!J352"")+IMPORTRANGE(""https://docs.google.com/spreadsheets/d/1qfrKjzMhm2HJfxQ-qVlJlJQ25Hne1d0khsySbZyGtPA/edit?usp=sharing"",""ระนอง!J352"")+IMPORTRANGE(""https://docs.google.com/spreadsheets/d/"&amp;"1IbSCnFOKpZsnFogBHJnL_isstZVaOMnFiIN0fGTPZZw/edit?usp=sharing"",""สงขลา!J352"")+IMPORTRANGE(""https://docs.google.com/spreadsheets/d/1q9nWasZJ-K8bFGvbE9n0qSRuKGA4Toe3Y89cKCiVtCU/edit?usp=sharing"",""สตูล!J352"")+IMPORTRANGE(""https://docs.google.com/sprea"&amp;"dsheets/d/18T20gbkS_WBjdscyTOV05cvq_JqvqQ17C81mpxf7Ncs/edit?usp=sharing"",""สุราษฎร์ธานี!J352"")"),11563)</f>
        <v>11563</v>
      </c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159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kKUcYdkIfrgTSj8iHHHB2MD2FAtwyyocFgqGQn6ADyI/edit?usp=sharing"",""กระบี่!J353"")+IMPORTRANGE(""https://docs.google.com/spreadsheets/d/1GwtLaSlNZkLk7iDqcyZz22giiy40b_usZZBXYciEN1U/edit?usp=sharing"",""ชุ"&amp;"มพร!J353"")+IMPORTRANGE(""https://docs.google.com/spreadsheets/d/16pAz3pOhQEZBhvFNMa5KGgZS6iKWpsKX0pg6tQmwFpo/edit?usp=sharing"",""ตรัง!J353"")+IMPORTRANGE(""https://docs.google.com/spreadsheets/d/1Dj4jcHCTV9JXKCaMoheSXS52JE63kDKyG7bPXnFogHk/edit?usp=shar"&amp;"ing"",""นครศรีธรรมราช!J353"")+IMPORTRANGE(""https://docs.google.com/spreadsheets/d/1iodCdmuK2GR3jzUwk8tpccY2JHQQA-87DLOtJP-ooyU/edit?usp=sharing"",""นราธิวาส!J353"")+IMPORTRANGE(""https://docs.google.com/spreadsheets/d/1SDNX3JhDdYRuIOsj0Wh2M-Qa_eaXl0NbWmh"&amp;"AOTbfQAs/edit?usp=sharing"",""ปัตตานี!J353"")+IMPORTRANGE(""https://docs.google.com/spreadsheets/d/16JDLGguT8s5DsGCND1KcwHP_AWR_zDMTqLHPLJUKhaU/edit?usp=sharing"",""พังงา!J353"")+IMPORTRANGE(""https://docs.google.com/spreadsheets/d/17ht0gPKzzT3PObBL1XJkeR"&amp;"mntBXI7wGjpLV7QorqlTk/edit?usp=sharing"",""พัทลุง!J353"")+IMPORTRANGE(""https://docs.google.com/spreadsheets/d/1rd4qoM1q_hsgaolqNGfrim9gbsoLxQsda4-vOz5x_BM/edit?usp=sharing"",""ภูเก็ต!J353"")+IMPORTRANGE(""https://docs.google.com/spreadsheets/d/1woKwKjgoL"&amp;"ssDvPcPeVyezB5izizAn4X1JDrys69n6xI/edit?usp=sharing"",""ยะลา!J353"")+IMPORTRANGE(""https://docs.google.com/spreadsheets/d/1qfrKjzMhm2HJfxQ-qVlJlJQ25Hne1d0khsySbZyGtPA/edit?usp=sharing"",""ระนอง!J353"")+IMPORTRANGE(""https://docs.google.com/spreadsheets/d/"&amp;"1IbSCnFOKpZsnFogBHJnL_isstZVaOMnFiIN0fGTPZZw/edit?usp=sharing"",""สงขลา!J353"")+IMPORTRANGE(""https://docs.google.com/spreadsheets/d/1q9nWasZJ-K8bFGvbE9n0qSRuKGA4Toe3Y89cKCiVtCU/edit?usp=sharing"",""สตูล!J353"")+IMPORTRANGE(""https://docs.google.com/sprea"&amp;"dsheets/d/18T20gbkS_WBjdscyTOV05cvq_JqvqQ17C81mpxf7Ncs/edit?usp=sharing"",""สุราษฎร์ธานี!J353"")"),32957)</f>
        <v>32957</v>
      </c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159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312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129" t="s">
        <v>18</v>
      </c>
      <c r="D356" s="130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132">
        <f t="shared" ref="L356:N356" ca="1" si="266">L357+L358</f>
        <v>9088150</v>
      </c>
      <c r="M356" s="132">
        <f t="shared" ca="1" si="266"/>
        <v>9179830</v>
      </c>
      <c r="N356" s="132">
        <f t="shared" ca="1" si="266"/>
        <v>5960027.0800000001</v>
      </c>
      <c r="O356" s="132">
        <f t="shared" ref="O356:O364" ca="1" si="267">IF(L356&gt;0,N356*100/L356,0)</f>
        <v>65.580201471146495</v>
      </c>
      <c r="P356" s="132">
        <f t="shared" ref="P356:P364" ca="1" si="268">IF(M356&gt;0,N356*100/M356,0)</f>
        <v>64.925244585139382</v>
      </c>
      <c r="Q356" s="132">
        <f t="shared" ref="Q356:S356" ca="1" si="269">Q357+Q358</f>
        <v>0</v>
      </c>
      <c r="R356" s="132">
        <f t="shared" ca="1" si="269"/>
        <v>0</v>
      </c>
      <c r="S356" s="132">
        <f t="shared" ca="1" si="269"/>
        <v>0</v>
      </c>
      <c r="T356" s="132">
        <f t="shared" ref="T356:T364" ca="1" si="270">IF(Q356&gt;0,S356*100/Q356,0)</f>
        <v>0</v>
      </c>
      <c r="U356" s="132">
        <f t="shared" ref="U356:U364" ca="1" si="271"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48" t="s">
        <v>20</v>
      </c>
      <c r="F357" s="41"/>
      <c r="G357" s="43"/>
      <c r="H357" s="133" t="s">
        <v>14</v>
      </c>
      <c r="I357" s="45"/>
      <c r="J357" s="45"/>
      <c r="K357" s="46"/>
      <c r="L357" s="47">
        <f t="shared" ref="L357:N357" ca="1" si="272">L360+L363</f>
        <v>0</v>
      </c>
      <c r="M357" s="47">
        <f t="shared" ca="1" si="272"/>
        <v>0</v>
      </c>
      <c r="N357" s="47">
        <f t="shared" ca="1" si="272"/>
        <v>0</v>
      </c>
      <c r="O357" s="47">
        <f t="shared" ca="1" si="267"/>
        <v>0</v>
      </c>
      <c r="P357" s="47">
        <f t="shared" ca="1" si="268"/>
        <v>0</v>
      </c>
      <c r="Q357" s="47">
        <f t="shared" ref="Q357:S357" ca="1" si="273">Q360+Q363</f>
        <v>0</v>
      </c>
      <c r="R357" s="47">
        <f t="shared" ca="1" si="273"/>
        <v>0</v>
      </c>
      <c r="S357" s="47">
        <f t="shared" ca="1" si="273"/>
        <v>0</v>
      </c>
      <c r="T357" s="49">
        <f t="shared" ca="1" si="270"/>
        <v>0</v>
      </c>
      <c r="U357" s="49">
        <f t="shared" ca="1" si="271"/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47">
        <f t="shared" ref="L358:N358" ca="1" si="274">L361+L364</f>
        <v>9088150</v>
      </c>
      <c r="M358" s="47">
        <f t="shared" ca="1" si="274"/>
        <v>9179830</v>
      </c>
      <c r="N358" s="47">
        <f t="shared" ca="1" si="274"/>
        <v>5960027.0800000001</v>
      </c>
      <c r="O358" s="47">
        <f t="shared" ca="1" si="267"/>
        <v>65.580201471146495</v>
      </c>
      <c r="P358" s="47">
        <f t="shared" ca="1" si="268"/>
        <v>64.925244585139382</v>
      </c>
      <c r="Q358" s="47">
        <f t="shared" ref="Q358:S358" ca="1" si="275">Q361+Q364</f>
        <v>0</v>
      </c>
      <c r="R358" s="47">
        <f t="shared" ca="1" si="275"/>
        <v>0</v>
      </c>
      <c r="S358" s="47">
        <f t="shared" ca="1" si="275"/>
        <v>0</v>
      </c>
      <c r="T358" s="47">
        <f t="shared" ca="1" si="270"/>
        <v>0</v>
      </c>
      <c r="U358" s="47">
        <f t="shared" ca="1" si="271"/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47">
        <f t="shared" ref="L359:N359" ca="1" si="276">L360+L361</f>
        <v>9088150</v>
      </c>
      <c r="M359" s="47">
        <f t="shared" ca="1" si="276"/>
        <v>9179830</v>
      </c>
      <c r="N359" s="47">
        <f t="shared" ca="1" si="276"/>
        <v>5960027.0800000001</v>
      </c>
      <c r="O359" s="47">
        <f t="shared" ca="1" si="267"/>
        <v>65.580201471146495</v>
      </c>
      <c r="P359" s="47">
        <f t="shared" ca="1" si="268"/>
        <v>64.925244585139382</v>
      </c>
      <c r="Q359" s="47">
        <f t="shared" ref="Q359:S359" ca="1" si="277">Q360+Q361</f>
        <v>0</v>
      </c>
      <c r="R359" s="47">
        <f t="shared" ca="1" si="277"/>
        <v>0</v>
      </c>
      <c r="S359" s="47">
        <f t="shared" ca="1" si="277"/>
        <v>0</v>
      </c>
      <c r="T359" s="47">
        <f t="shared" ca="1" si="270"/>
        <v>0</v>
      </c>
      <c r="U359" s="47">
        <f t="shared" ca="1" si="271"/>
        <v>0</v>
      </c>
    </row>
    <row r="360" spans="1:21" ht="18.75" hidden="1" x14ac:dyDescent="0.25">
      <c r="A360" s="128"/>
      <c r="B360" s="41"/>
      <c r="C360" s="41"/>
      <c r="D360" s="41"/>
      <c r="E360" s="48" t="s">
        <v>36</v>
      </c>
      <c r="F360" s="41"/>
      <c r="G360" s="43"/>
      <c r="H360" s="134" t="s">
        <v>14</v>
      </c>
      <c r="I360" s="135"/>
      <c r="J360" s="135"/>
      <c r="K360" s="136"/>
      <c r="L360" s="47">
        <f ca="1">IFERROR(__xludf.DUMMYFUNCTION("IMPORTRANGE(""https://docs.google.com/spreadsheets/d/1kKUcYdkIfrgTSj8iHHHB2MD2FAtwyyocFgqGQn6ADyI/edit?usp=sharing"",""กระบี่!L360"")+IMPORTRANGE(""https://docs.google.com/spreadsheets/d/1GwtLaSlNZkLk7iDqcyZz22giiy40b_usZZBXYciEN1U/edit?usp=sharing"",""ชุ"&amp;"มพร!L360"")+IMPORTRANGE(""https://docs.google.com/spreadsheets/d/16pAz3pOhQEZBhvFNMa5KGgZS6iKWpsKX0pg6tQmwFpo/edit?usp=sharing"",""ตรัง!L360"")+IMPORTRANGE(""https://docs.google.com/spreadsheets/d/1Dj4jcHCTV9JXKCaMoheSXS52JE63kDKyG7bPXnFogHk/edit?usp=shar"&amp;"ing"",""นครศรีธรรมราช!L360"")+IMPORTRANGE(""https://docs.google.com/spreadsheets/d/1iodCdmuK2GR3jzUwk8tpccY2JHQQA-87DLOtJP-ooyU/edit?usp=sharing"",""นราธิวาส!L360"")+IMPORTRANGE(""https://docs.google.com/spreadsheets/d/1SDNX3JhDdYRuIOsj0Wh2M-Qa_eaXl0NbWmh"&amp;"AOTbfQAs/edit?usp=sharing"",""ปัตตานี!L360"")+IMPORTRANGE(""https://docs.google.com/spreadsheets/d/16JDLGguT8s5DsGCND1KcwHP_AWR_zDMTqLHPLJUKhaU/edit?usp=sharing"",""พังงา!L360"")+IMPORTRANGE(""https://docs.google.com/spreadsheets/d/17ht0gPKzzT3PObBL1XJkeR"&amp;"mntBXI7wGjpLV7QorqlTk/edit?usp=sharing"",""พัทลุง!L360"")+IMPORTRANGE(""https://docs.google.com/spreadsheets/d/1rd4qoM1q_hsgaolqNGfrim9gbsoLxQsda4-vOz5x_BM/edit?usp=sharing"",""ภูเก็ต!L360"")+IMPORTRANGE(""https://docs.google.com/spreadsheets/d/1woKwKjgoL"&amp;"ssDvPcPeVyezB5izizAn4X1JDrys69n6xI/edit?usp=sharing"",""ยะลา!L360"")+IMPORTRANGE(""https://docs.google.com/spreadsheets/d/1qfrKjzMhm2HJfxQ-qVlJlJQ25Hne1d0khsySbZyGtPA/edit?usp=sharing"",""ระนอง!L360"")+IMPORTRANGE(""https://docs.google.com/spreadsheets/d/"&amp;"1IbSCnFOKpZsnFogBHJnL_isstZVaOMnFiIN0fGTPZZw/edit?usp=sharing"",""สงขลา!L360"")+IMPORTRANGE(""https://docs.google.com/spreadsheets/d/1q9nWasZJ-K8bFGvbE9n0qSRuKGA4Toe3Y89cKCiVtCU/edit?usp=sharing"",""สตูล!L360"")+IMPORTRANGE(""https://docs.google.com/sprea"&amp;"dsheets/d/18T20gbkS_WBjdscyTOV05cvq_JqvqQ17C81mpxf7Ncs/edit?usp=sharing"",""สุราษฎร์ธานี!L360"")"),0)</f>
        <v>0</v>
      </c>
      <c r="M360" s="47">
        <f ca="1">IFERROR(__xludf.DUMMYFUNCTION("IMPORTRANGE(""https://docs.google.com/spreadsheets/d/1kKUcYdkIfrgTSj8iHHHB2MD2FAtwyyocFgqGQn6ADyI/edit?usp=sharing"",""กระบี่!M360"")+IMPORTRANGE(""https://docs.google.com/spreadsheets/d/1GwtLaSlNZkLk7iDqcyZz22giiy40b_usZZBXYciEN1U/edit?usp=sharing"",""ชุ"&amp;"มพร!M360"")+IMPORTRANGE(""https://docs.google.com/spreadsheets/d/16pAz3pOhQEZBhvFNMa5KGgZS6iKWpsKX0pg6tQmwFpo/edit?usp=sharing"",""ตรัง!M360"")+IMPORTRANGE(""https://docs.google.com/spreadsheets/d/1Dj4jcHCTV9JXKCaMoheSXS52JE63kDKyG7bPXnFogHk/edit?usp=shar"&amp;"ing"",""นครศรีธรรมราช!M360"")+IMPORTRANGE(""https://docs.google.com/spreadsheets/d/1iodCdmuK2GR3jzUwk8tpccY2JHQQA-87DLOtJP-ooyU/edit?usp=sharing"",""นราธิวาส!M360"")+IMPORTRANGE(""https://docs.google.com/spreadsheets/d/1SDNX3JhDdYRuIOsj0Wh2M-Qa_eaXl0NbWmh"&amp;"AOTbfQAs/edit?usp=sharing"",""ปัตตานี!M360"")+IMPORTRANGE(""https://docs.google.com/spreadsheets/d/16JDLGguT8s5DsGCND1KcwHP_AWR_zDMTqLHPLJUKhaU/edit?usp=sharing"",""พังงา!M360"")+IMPORTRANGE(""https://docs.google.com/spreadsheets/d/17ht0gPKzzT3PObBL1XJkeR"&amp;"mntBXI7wGjpLV7QorqlTk/edit?usp=sharing"",""พัทลุง!M360"")+IMPORTRANGE(""https://docs.google.com/spreadsheets/d/1rd4qoM1q_hsgaolqNGfrim9gbsoLxQsda4-vOz5x_BM/edit?usp=sharing"",""ภูเก็ต!M360"")+IMPORTRANGE(""https://docs.google.com/spreadsheets/d/1woKwKjgoL"&amp;"ssDvPcPeVyezB5izizAn4X1JDrys69n6xI/edit?usp=sharing"",""ยะลา!M360"")+IMPORTRANGE(""https://docs.google.com/spreadsheets/d/1qfrKjzMhm2HJfxQ-qVlJlJQ25Hne1d0khsySbZyGtPA/edit?usp=sharing"",""ระนอง!M360"")+IMPORTRANGE(""https://docs.google.com/spreadsheets/d/"&amp;"1IbSCnFOKpZsnFogBHJnL_isstZVaOMnFiIN0fGTPZZw/edit?usp=sharing"",""สงขลา!M360"")+IMPORTRANGE(""https://docs.google.com/spreadsheets/d/1q9nWasZJ-K8bFGvbE9n0qSRuKGA4Toe3Y89cKCiVtCU/edit?usp=sharing"",""สตูล!M360"")+IMPORTRANGE(""https://docs.google.com/sprea"&amp;"dsheets/d/18T20gbkS_WBjdscyTOV05cvq_JqvqQ17C81mpxf7Ncs/edit?usp=sharing"",""สุราษฎร์ธานี!M360"")"),0)</f>
        <v>0</v>
      </c>
      <c r="N360" s="47">
        <f ca="1">IFERROR(__xludf.DUMMYFUNCTION("IMPORTRANGE(""https://docs.google.com/spreadsheets/d/1kKUcYdkIfrgTSj8iHHHB2MD2FAtwyyocFgqGQn6ADyI/edit?usp=sharing"",""กระบี่!N360"")+IMPORTRANGE(""https://docs.google.com/spreadsheets/d/1GwtLaSlNZkLk7iDqcyZz22giiy40b_usZZBXYciEN1U/edit?usp=sharing"",""ชุ"&amp;"มพร!N360"")+IMPORTRANGE(""https://docs.google.com/spreadsheets/d/16pAz3pOhQEZBhvFNMa5KGgZS6iKWpsKX0pg6tQmwFpo/edit?usp=sharing"",""ตรัง!N360"")+IMPORTRANGE(""https://docs.google.com/spreadsheets/d/1Dj4jcHCTV9JXKCaMoheSXS52JE63kDKyG7bPXnFogHk/edit?usp=shar"&amp;"ing"",""นครศรีธรรมราช!N360"")+IMPORTRANGE(""https://docs.google.com/spreadsheets/d/1iodCdmuK2GR3jzUwk8tpccY2JHQQA-87DLOtJP-ooyU/edit?usp=sharing"",""นราธิวาส!N360"")+IMPORTRANGE(""https://docs.google.com/spreadsheets/d/1SDNX3JhDdYRuIOsj0Wh2M-Qa_eaXl0NbWmh"&amp;"AOTbfQAs/edit?usp=sharing"",""ปัตตานี!N360"")+IMPORTRANGE(""https://docs.google.com/spreadsheets/d/16JDLGguT8s5DsGCND1KcwHP_AWR_zDMTqLHPLJUKhaU/edit?usp=sharing"",""พังงา!N360"")+IMPORTRANGE(""https://docs.google.com/spreadsheets/d/17ht0gPKzzT3PObBL1XJkeR"&amp;"mntBXI7wGjpLV7QorqlTk/edit?usp=sharing"",""พัทลุง!N360"")+IMPORTRANGE(""https://docs.google.com/spreadsheets/d/1rd4qoM1q_hsgaolqNGfrim9gbsoLxQsda4-vOz5x_BM/edit?usp=sharing"",""ภูเก็ต!N360"")+IMPORTRANGE(""https://docs.google.com/spreadsheets/d/1woKwKjgoL"&amp;"ssDvPcPeVyezB5izizAn4X1JDrys69n6xI/edit?usp=sharing"",""ยะลา!N360"")+IMPORTRANGE(""https://docs.google.com/spreadsheets/d/1qfrKjzMhm2HJfxQ-qVlJlJQ25Hne1d0khsySbZyGtPA/edit?usp=sharing"",""ระนอง!N360"")+IMPORTRANGE(""https://docs.google.com/spreadsheets/d/"&amp;"1IbSCnFOKpZsnFogBHJnL_isstZVaOMnFiIN0fGTPZZw/edit?usp=sharing"",""สงขลา!N360"")+IMPORTRANGE(""https://docs.google.com/spreadsheets/d/1q9nWasZJ-K8bFGvbE9n0qSRuKGA4Toe3Y89cKCiVtCU/edit?usp=sharing"",""สตูล!N360"")+IMPORTRANGE(""https://docs.google.com/sprea"&amp;"dsheets/d/18T20gbkS_WBjdscyTOV05cvq_JqvqQ17C81mpxf7Ncs/edit?usp=sharing"",""สุราษฎร์ธานี!N360"")"),0)</f>
        <v>0</v>
      </c>
      <c r="O360" s="47">
        <f t="shared" ca="1" si="267"/>
        <v>0</v>
      </c>
      <c r="P360" s="47">
        <f t="shared" ca="1" si="268"/>
        <v>0</v>
      </c>
      <c r="Q360" s="47">
        <f ca="1">IFERROR(__xludf.DUMMYFUNCTION("IMPORTRANGE(""https://docs.google.com/spreadsheets/d/1kKUcYdkIfrgTSj8iHHHB2MD2FAtwyyocFgqGQn6ADyI/edit?usp=sharing"",""กระบี่!Q360"")+IMPORTRANGE(""https://docs.google.com/spreadsheets/d/1GwtLaSlNZkLk7iDqcyZz22giiy40b_usZZBXYciEN1U/edit?usp=sharing"",""ชุ"&amp;"มพร!Q360"")+IMPORTRANGE(""https://docs.google.com/spreadsheets/d/16pAz3pOhQEZBhvFNMa5KGgZS6iKWpsKX0pg6tQmwFpo/edit?usp=sharing"",""ตรัง!Q360"")+IMPORTRANGE(""https://docs.google.com/spreadsheets/d/1Dj4jcHCTV9JXKCaMoheSXS52JE63kDKyG7bPXnFogHk/edit?usp=shar"&amp;"ing"",""นครศรีธรรมราช!Q360"")+IMPORTRANGE(""https://docs.google.com/spreadsheets/d/1iodCdmuK2GR3jzUwk8tpccY2JHQQA-87DLOtJP-ooyU/edit?usp=sharing"",""นราธิวาส!Q360"")+IMPORTRANGE(""https://docs.google.com/spreadsheets/d/1SDNX3JhDdYRuIOsj0Wh2M-Qa_eaXl0NbWmh"&amp;"AOTbfQAs/edit?usp=sharing"",""ปัตตานี!Q360"")+IMPORTRANGE(""https://docs.google.com/spreadsheets/d/16JDLGguT8s5DsGCND1KcwHP_AWR_zDMTqLHPLJUKhaU/edit?usp=sharing"",""พังงา!Q360"")+IMPORTRANGE(""https://docs.google.com/spreadsheets/d/17ht0gPKzzT3PObBL1XJkeR"&amp;"mntBXI7wGjpLV7QorqlTk/edit?usp=sharing"",""พัทลุง!Q360"")+IMPORTRANGE(""https://docs.google.com/spreadsheets/d/1rd4qoM1q_hsgaolqNGfrim9gbsoLxQsda4-vOz5x_BM/edit?usp=sharing"",""ภูเก็ต!Q360"")+IMPORTRANGE(""https://docs.google.com/spreadsheets/d/1woKwKjgoL"&amp;"ssDvPcPeVyezB5izizAn4X1JDrys69n6xI/edit?usp=sharing"",""ยะลา!Q360"")+IMPORTRANGE(""https://docs.google.com/spreadsheets/d/1qfrKjzMhm2HJfxQ-qVlJlJQ25Hne1d0khsySbZyGtPA/edit?usp=sharing"",""ระนอง!Q360"")+IMPORTRANGE(""https://docs.google.com/spreadsheets/d/"&amp;"1IbSCnFOKpZsnFogBHJnL_isstZVaOMnFiIN0fGTPZZw/edit?usp=sharing"",""สงขลา!Q360"")+IMPORTRANGE(""https://docs.google.com/spreadsheets/d/1q9nWasZJ-K8bFGvbE9n0qSRuKGA4Toe3Y89cKCiVtCU/edit?usp=sharing"",""สตูล!Q360"")+IMPORTRANGE(""https://docs.google.com/sprea"&amp;"dsheets/d/18T20gbkS_WBjdscyTOV05cvq_JqvqQ17C81mpxf7Ncs/edit?usp=sharing"",""สุราษฎร์ธานี!Q360"")"),0)</f>
        <v>0</v>
      </c>
      <c r="R360" s="47">
        <f ca="1">IFERROR(__xludf.DUMMYFUNCTION("IMPORTRANGE(""https://docs.google.com/spreadsheets/d/1kKUcYdkIfrgTSj8iHHHB2MD2FAtwyyocFgqGQn6ADyI/edit?usp=sharing"",""กระบี่!R360"")+IMPORTRANGE(""https://docs.google.com/spreadsheets/d/1GwtLaSlNZkLk7iDqcyZz22giiy40b_usZZBXYciEN1U/edit?usp=sharing"",""ชุ"&amp;"มพร!R360"")+IMPORTRANGE(""https://docs.google.com/spreadsheets/d/16pAz3pOhQEZBhvFNMa5KGgZS6iKWpsKX0pg6tQmwFpo/edit?usp=sharing"",""ตรัง!R360"")+IMPORTRANGE(""https://docs.google.com/spreadsheets/d/1Dj4jcHCTV9JXKCaMoheSXS52JE63kDKyG7bPXnFogHk/edit?usp=shar"&amp;"ing"",""นครศรีธรรมราช!R360"")+IMPORTRANGE(""https://docs.google.com/spreadsheets/d/1iodCdmuK2GR3jzUwk8tpccY2JHQQA-87DLOtJP-ooyU/edit?usp=sharing"",""นราธิวาส!R360"")+IMPORTRANGE(""https://docs.google.com/spreadsheets/d/1SDNX3JhDdYRuIOsj0Wh2M-Qa_eaXl0NbWmh"&amp;"AOTbfQAs/edit?usp=sharing"",""ปัตตานี!R360"")+IMPORTRANGE(""https://docs.google.com/spreadsheets/d/16JDLGguT8s5DsGCND1KcwHP_AWR_zDMTqLHPLJUKhaU/edit?usp=sharing"",""พังงา!R360"")+IMPORTRANGE(""https://docs.google.com/spreadsheets/d/17ht0gPKzzT3PObBL1XJkeR"&amp;"mntBXI7wGjpLV7QorqlTk/edit?usp=sharing"",""พัทลุง!R360"")+IMPORTRANGE(""https://docs.google.com/spreadsheets/d/1rd4qoM1q_hsgaolqNGfrim9gbsoLxQsda4-vOz5x_BM/edit?usp=sharing"",""ภูเก็ต!R360"")+IMPORTRANGE(""https://docs.google.com/spreadsheets/d/1woKwKjgoL"&amp;"ssDvPcPeVyezB5izizAn4X1JDrys69n6xI/edit?usp=sharing"",""ยะลา!R360"")+IMPORTRANGE(""https://docs.google.com/spreadsheets/d/1qfrKjzMhm2HJfxQ-qVlJlJQ25Hne1d0khsySbZyGtPA/edit?usp=sharing"",""ระนอง!R360"")+IMPORTRANGE(""https://docs.google.com/spreadsheets/d/"&amp;"1IbSCnFOKpZsnFogBHJnL_isstZVaOMnFiIN0fGTPZZw/edit?usp=sharing"",""สงขลา!R360"")+IMPORTRANGE(""https://docs.google.com/spreadsheets/d/1q9nWasZJ-K8bFGvbE9n0qSRuKGA4Toe3Y89cKCiVtCU/edit?usp=sharing"",""สตูล!R360"")+IMPORTRANGE(""https://docs.google.com/sprea"&amp;"dsheets/d/18T20gbkS_WBjdscyTOV05cvq_JqvqQ17C81mpxf7Ncs/edit?usp=sharing"",""สุราษฎร์ธานี!R360"")"),0)</f>
        <v>0</v>
      </c>
      <c r="S360" s="47">
        <f ca="1">IFERROR(__xludf.DUMMYFUNCTION("IMPORTRANGE(""https://docs.google.com/spreadsheets/d/1kKUcYdkIfrgTSj8iHHHB2MD2FAtwyyocFgqGQn6ADyI/edit?usp=sharing"",""กระบี่!S360"")+IMPORTRANGE(""https://docs.google.com/spreadsheets/d/1GwtLaSlNZkLk7iDqcyZz22giiy40b_usZZBXYciEN1U/edit?usp=sharing"",""ชุ"&amp;"มพร!S360"")+IMPORTRANGE(""https://docs.google.com/spreadsheets/d/16pAz3pOhQEZBhvFNMa5KGgZS6iKWpsKX0pg6tQmwFpo/edit?usp=sharing"",""ตรัง!S360"")+IMPORTRANGE(""https://docs.google.com/spreadsheets/d/1Dj4jcHCTV9JXKCaMoheSXS52JE63kDKyG7bPXnFogHk/edit?usp=shar"&amp;"ing"",""นครศรีธรรมราช!S360"")+IMPORTRANGE(""https://docs.google.com/spreadsheets/d/1iodCdmuK2GR3jzUwk8tpccY2JHQQA-87DLOtJP-ooyU/edit?usp=sharing"",""นราธิวาส!S360"")+IMPORTRANGE(""https://docs.google.com/spreadsheets/d/1SDNX3JhDdYRuIOsj0Wh2M-Qa_eaXl0NbWmh"&amp;"AOTbfQAs/edit?usp=sharing"",""ปัตตานี!S360"")+IMPORTRANGE(""https://docs.google.com/spreadsheets/d/16JDLGguT8s5DsGCND1KcwHP_AWR_zDMTqLHPLJUKhaU/edit?usp=sharing"",""พังงา!S360"")+IMPORTRANGE(""https://docs.google.com/spreadsheets/d/17ht0gPKzzT3PObBL1XJkeR"&amp;"mntBXI7wGjpLV7QorqlTk/edit?usp=sharing"",""พัทลุง!S360"")+IMPORTRANGE(""https://docs.google.com/spreadsheets/d/1rd4qoM1q_hsgaolqNGfrim9gbsoLxQsda4-vOz5x_BM/edit?usp=sharing"",""ภูเก็ต!S360"")+IMPORTRANGE(""https://docs.google.com/spreadsheets/d/1woKwKjgoL"&amp;"ssDvPcPeVyezB5izizAn4X1JDrys69n6xI/edit?usp=sharing"",""ยะลา!S360"")+IMPORTRANGE(""https://docs.google.com/spreadsheets/d/1qfrKjzMhm2HJfxQ-qVlJlJQ25Hne1d0khsySbZyGtPA/edit?usp=sharing"",""ระนอง!S360"")+IMPORTRANGE(""https://docs.google.com/spreadsheets/d/"&amp;"1IbSCnFOKpZsnFogBHJnL_isstZVaOMnFiIN0fGTPZZw/edit?usp=sharing"",""สงขลา!S360"")+IMPORTRANGE(""https://docs.google.com/spreadsheets/d/1q9nWasZJ-K8bFGvbE9n0qSRuKGA4Toe3Y89cKCiVtCU/edit?usp=sharing"",""สตูล!S360"")+IMPORTRANGE(""https://docs.google.com/sprea"&amp;"dsheets/d/18T20gbkS_WBjdscyTOV05cvq_JqvqQ17C81mpxf7Ncs/edit?usp=sharing"",""สุราษฎร์ธานี!S360"")"),0)</f>
        <v>0</v>
      </c>
      <c r="T360" s="49">
        <f t="shared" ca="1" si="270"/>
        <v>0</v>
      </c>
      <c r="U360" s="49">
        <f t="shared" ca="1" si="271"/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47">
        <f ca="1">IFERROR(__xludf.DUMMYFUNCTION("IMPORTRANGE(""https://docs.google.com/spreadsheets/d/1kKUcYdkIfrgTSj8iHHHB2MD2FAtwyyocFgqGQn6ADyI/edit?usp=sharing"",""กระบี่!L361"")+IMPORTRANGE(""https://docs.google.com/spreadsheets/d/1GwtLaSlNZkLk7iDqcyZz22giiy40b_usZZBXYciEN1U/edit?usp=sharing"",""ชุ"&amp;"มพร!L361"")+IMPORTRANGE(""https://docs.google.com/spreadsheets/d/16pAz3pOhQEZBhvFNMa5KGgZS6iKWpsKX0pg6tQmwFpo/edit?usp=sharing"",""ตรัง!L361"")+IMPORTRANGE(""https://docs.google.com/spreadsheets/d/1Dj4jcHCTV9JXKCaMoheSXS52JE63kDKyG7bPXnFogHk/edit?usp=shar"&amp;"ing"",""นครศรีธรรมราช!L361"")+IMPORTRANGE(""https://docs.google.com/spreadsheets/d/1iodCdmuK2GR3jzUwk8tpccY2JHQQA-87DLOtJP-ooyU/edit?usp=sharing"",""นราธิวาส!L361"")+IMPORTRANGE(""https://docs.google.com/spreadsheets/d/1SDNX3JhDdYRuIOsj0Wh2M-Qa_eaXl0NbWmh"&amp;"AOTbfQAs/edit?usp=sharing"",""ปัตตานี!L361"")+IMPORTRANGE(""https://docs.google.com/spreadsheets/d/16JDLGguT8s5DsGCND1KcwHP_AWR_zDMTqLHPLJUKhaU/edit?usp=sharing"",""พังงา!L361"")+IMPORTRANGE(""https://docs.google.com/spreadsheets/d/17ht0gPKzzT3PObBL1XJkeR"&amp;"mntBXI7wGjpLV7QorqlTk/edit?usp=sharing"",""พัทลุง!L361"")+IMPORTRANGE(""https://docs.google.com/spreadsheets/d/1rd4qoM1q_hsgaolqNGfrim9gbsoLxQsda4-vOz5x_BM/edit?usp=sharing"",""ภูเก็ต!L361"")+IMPORTRANGE(""https://docs.google.com/spreadsheets/d/1woKwKjgoL"&amp;"ssDvPcPeVyezB5izizAn4X1JDrys69n6xI/edit?usp=sharing"",""ยะลา!L361"")+IMPORTRANGE(""https://docs.google.com/spreadsheets/d/1qfrKjzMhm2HJfxQ-qVlJlJQ25Hne1d0khsySbZyGtPA/edit?usp=sharing"",""ระนอง!L361"")+IMPORTRANGE(""https://docs.google.com/spreadsheets/d/"&amp;"1IbSCnFOKpZsnFogBHJnL_isstZVaOMnFiIN0fGTPZZw/edit?usp=sharing"",""สงขลา!L361"")+IMPORTRANGE(""https://docs.google.com/spreadsheets/d/1q9nWasZJ-K8bFGvbE9n0qSRuKGA4Toe3Y89cKCiVtCU/edit?usp=sharing"",""สตูล!L361"")+IMPORTRANGE(""https://docs.google.com/sprea"&amp;"dsheets/d/18T20gbkS_WBjdscyTOV05cvq_JqvqQ17C81mpxf7Ncs/edit?usp=sharing"",""สุราษฎร์ธานี!L361"")"),9088150)</f>
        <v>9088150</v>
      </c>
      <c r="M361" s="47">
        <f ca="1">IFERROR(__xludf.DUMMYFUNCTION("IMPORTRANGE(""https://docs.google.com/spreadsheets/d/1kKUcYdkIfrgTSj8iHHHB2MD2FAtwyyocFgqGQn6ADyI/edit?usp=sharing"",""กระบี่!M361"")+IMPORTRANGE(""https://docs.google.com/spreadsheets/d/1GwtLaSlNZkLk7iDqcyZz22giiy40b_usZZBXYciEN1U/edit?usp=sharing"",""ชุ"&amp;"มพร!M361"")+IMPORTRANGE(""https://docs.google.com/spreadsheets/d/16pAz3pOhQEZBhvFNMa5KGgZS6iKWpsKX0pg6tQmwFpo/edit?usp=sharing"",""ตรัง!M361"")+IMPORTRANGE(""https://docs.google.com/spreadsheets/d/1Dj4jcHCTV9JXKCaMoheSXS52JE63kDKyG7bPXnFogHk/edit?usp=shar"&amp;"ing"",""นครศรีธรรมราช!M361"")+IMPORTRANGE(""https://docs.google.com/spreadsheets/d/1iodCdmuK2GR3jzUwk8tpccY2JHQQA-87DLOtJP-ooyU/edit?usp=sharing"",""นราธิวาส!M361"")+IMPORTRANGE(""https://docs.google.com/spreadsheets/d/1SDNX3JhDdYRuIOsj0Wh2M-Qa_eaXl0NbWmh"&amp;"AOTbfQAs/edit?usp=sharing"",""ปัตตานี!M361"")+IMPORTRANGE(""https://docs.google.com/spreadsheets/d/16JDLGguT8s5DsGCND1KcwHP_AWR_zDMTqLHPLJUKhaU/edit?usp=sharing"",""พังงา!M361"")+IMPORTRANGE(""https://docs.google.com/spreadsheets/d/17ht0gPKzzT3PObBL1XJkeR"&amp;"mntBXI7wGjpLV7QorqlTk/edit?usp=sharing"",""พัทลุง!M361"")+IMPORTRANGE(""https://docs.google.com/spreadsheets/d/1rd4qoM1q_hsgaolqNGfrim9gbsoLxQsda4-vOz5x_BM/edit?usp=sharing"",""ภูเก็ต!M361"")+IMPORTRANGE(""https://docs.google.com/spreadsheets/d/1woKwKjgoL"&amp;"ssDvPcPeVyezB5izizAn4X1JDrys69n6xI/edit?usp=sharing"",""ยะลา!M361"")+IMPORTRANGE(""https://docs.google.com/spreadsheets/d/1qfrKjzMhm2HJfxQ-qVlJlJQ25Hne1d0khsySbZyGtPA/edit?usp=sharing"",""ระนอง!M361"")+IMPORTRANGE(""https://docs.google.com/spreadsheets/d/"&amp;"1IbSCnFOKpZsnFogBHJnL_isstZVaOMnFiIN0fGTPZZw/edit?usp=sharing"",""สงขลา!M361"")+IMPORTRANGE(""https://docs.google.com/spreadsheets/d/1q9nWasZJ-K8bFGvbE9n0qSRuKGA4Toe3Y89cKCiVtCU/edit?usp=sharing"",""สตูล!M361"")+IMPORTRANGE(""https://docs.google.com/sprea"&amp;"dsheets/d/18T20gbkS_WBjdscyTOV05cvq_JqvqQ17C81mpxf7Ncs/edit?usp=sharing"",""สุราษฎร์ธานี!M361"")"),9179830)</f>
        <v>9179830</v>
      </c>
      <c r="N361" s="47">
        <f ca="1">IFERROR(__xludf.DUMMYFUNCTION("IMPORTRANGE(""https://docs.google.com/spreadsheets/d/1kKUcYdkIfrgTSj8iHHHB2MD2FAtwyyocFgqGQn6ADyI/edit?usp=sharing"",""กระบี่!N361"")+IMPORTRANGE(""https://docs.google.com/spreadsheets/d/1GwtLaSlNZkLk7iDqcyZz22giiy40b_usZZBXYciEN1U/edit?usp=sharing"",""ชุ"&amp;"มพร!N361"")+IMPORTRANGE(""https://docs.google.com/spreadsheets/d/16pAz3pOhQEZBhvFNMa5KGgZS6iKWpsKX0pg6tQmwFpo/edit?usp=sharing"",""ตรัง!N361"")+IMPORTRANGE(""https://docs.google.com/spreadsheets/d/1Dj4jcHCTV9JXKCaMoheSXS52JE63kDKyG7bPXnFogHk/edit?usp=shar"&amp;"ing"",""นครศรีธรรมราช!N361"")+IMPORTRANGE(""https://docs.google.com/spreadsheets/d/1iodCdmuK2GR3jzUwk8tpccY2JHQQA-87DLOtJP-ooyU/edit?usp=sharing"",""นราธิวาส!N361"")+IMPORTRANGE(""https://docs.google.com/spreadsheets/d/1SDNX3JhDdYRuIOsj0Wh2M-Qa_eaXl0NbWmh"&amp;"AOTbfQAs/edit?usp=sharing"",""ปัตตานี!N361"")+IMPORTRANGE(""https://docs.google.com/spreadsheets/d/16JDLGguT8s5DsGCND1KcwHP_AWR_zDMTqLHPLJUKhaU/edit?usp=sharing"",""พังงา!N361"")+IMPORTRANGE(""https://docs.google.com/spreadsheets/d/17ht0gPKzzT3PObBL1XJkeR"&amp;"mntBXI7wGjpLV7QorqlTk/edit?usp=sharing"",""พัทลุง!N361"")+IMPORTRANGE(""https://docs.google.com/spreadsheets/d/1rd4qoM1q_hsgaolqNGfrim9gbsoLxQsda4-vOz5x_BM/edit?usp=sharing"",""ภูเก็ต!N361"")+IMPORTRANGE(""https://docs.google.com/spreadsheets/d/1woKwKjgoL"&amp;"ssDvPcPeVyezB5izizAn4X1JDrys69n6xI/edit?usp=sharing"",""ยะลา!N361"")+IMPORTRANGE(""https://docs.google.com/spreadsheets/d/1qfrKjzMhm2HJfxQ-qVlJlJQ25Hne1d0khsySbZyGtPA/edit?usp=sharing"",""ระนอง!N361"")+IMPORTRANGE(""https://docs.google.com/spreadsheets/d/"&amp;"1IbSCnFOKpZsnFogBHJnL_isstZVaOMnFiIN0fGTPZZw/edit?usp=sharing"",""สงขลา!N361"")+IMPORTRANGE(""https://docs.google.com/spreadsheets/d/1q9nWasZJ-K8bFGvbE9n0qSRuKGA4Toe3Y89cKCiVtCU/edit?usp=sharing"",""สตูล!N361"")+IMPORTRANGE(""https://docs.google.com/sprea"&amp;"dsheets/d/18T20gbkS_WBjdscyTOV05cvq_JqvqQ17C81mpxf7Ncs/edit?usp=sharing"",""สุราษฎร์ธานี!N361"")"),5960027.08)</f>
        <v>5960027.0800000001</v>
      </c>
      <c r="O361" s="47">
        <f t="shared" ca="1" si="267"/>
        <v>65.580201471146495</v>
      </c>
      <c r="P361" s="47">
        <f t="shared" ca="1" si="268"/>
        <v>64.925244585139382</v>
      </c>
      <c r="Q361" s="47">
        <f ca="1">IFERROR(__xludf.DUMMYFUNCTION("IMPORTRANGE(""https://docs.google.com/spreadsheets/d/1kKUcYdkIfrgTSj8iHHHB2MD2FAtwyyocFgqGQn6ADyI/edit?usp=sharing"",""กระบี่!Q361"")+IMPORTRANGE(""https://docs.google.com/spreadsheets/d/1GwtLaSlNZkLk7iDqcyZz22giiy40b_usZZBXYciEN1U/edit?usp=sharing"",""ชุ"&amp;"มพร!Q361"")+IMPORTRANGE(""https://docs.google.com/spreadsheets/d/16pAz3pOhQEZBhvFNMa5KGgZS6iKWpsKX0pg6tQmwFpo/edit?usp=sharing"",""ตรัง!Q361"")+IMPORTRANGE(""https://docs.google.com/spreadsheets/d/1Dj4jcHCTV9JXKCaMoheSXS52JE63kDKyG7bPXnFogHk/edit?usp=shar"&amp;"ing"",""นครศรีธรรมราช!Q361"")+IMPORTRANGE(""https://docs.google.com/spreadsheets/d/1iodCdmuK2GR3jzUwk8tpccY2JHQQA-87DLOtJP-ooyU/edit?usp=sharing"",""นราธิวาส!Q361"")+IMPORTRANGE(""https://docs.google.com/spreadsheets/d/1SDNX3JhDdYRuIOsj0Wh2M-Qa_eaXl0NbWmh"&amp;"AOTbfQAs/edit?usp=sharing"",""ปัตตานี!Q361"")+IMPORTRANGE(""https://docs.google.com/spreadsheets/d/16JDLGguT8s5DsGCND1KcwHP_AWR_zDMTqLHPLJUKhaU/edit?usp=sharing"",""พังงา!Q361"")+IMPORTRANGE(""https://docs.google.com/spreadsheets/d/17ht0gPKzzT3PObBL1XJkeR"&amp;"mntBXI7wGjpLV7QorqlTk/edit?usp=sharing"",""พัทลุง!Q361"")+IMPORTRANGE(""https://docs.google.com/spreadsheets/d/1rd4qoM1q_hsgaolqNGfrim9gbsoLxQsda4-vOz5x_BM/edit?usp=sharing"",""ภูเก็ต!Q361"")+IMPORTRANGE(""https://docs.google.com/spreadsheets/d/1woKwKjgoL"&amp;"ssDvPcPeVyezB5izizAn4X1JDrys69n6xI/edit?usp=sharing"",""ยะลา!Q361"")+IMPORTRANGE(""https://docs.google.com/spreadsheets/d/1qfrKjzMhm2HJfxQ-qVlJlJQ25Hne1d0khsySbZyGtPA/edit?usp=sharing"",""ระนอง!Q361"")+IMPORTRANGE(""https://docs.google.com/spreadsheets/d/"&amp;"1IbSCnFOKpZsnFogBHJnL_isstZVaOMnFiIN0fGTPZZw/edit?usp=sharing"",""สงขลา!Q361"")+IMPORTRANGE(""https://docs.google.com/spreadsheets/d/1q9nWasZJ-K8bFGvbE9n0qSRuKGA4Toe3Y89cKCiVtCU/edit?usp=sharing"",""สตูล!Q361"")+IMPORTRANGE(""https://docs.google.com/sprea"&amp;"dsheets/d/18T20gbkS_WBjdscyTOV05cvq_JqvqQ17C81mpxf7Ncs/edit?usp=sharing"",""สุราษฎร์ธานี!Q361"")"),0)</f>
        <v>0</v>
      </c>
      <c r="R361" s="47">
        <f ca="1">IFERROR(__xludf.DUMMYFUNCTION("IMPORTRANGE(""https://docs.google.com/spreadsheets/d/1kKUcYdkIfrgTSj8iHHHB2MD2FAtwyyocFgqGQn6ADyI/edit?usp=sharing"",""กระบี่!R361"")+IMPORTRANGE(""https://docs.google.com/spreadsheets/d/1GwtLaSlNZkLk7iDqcyZz22giiy40b_usZZBXYciEN1U/edit?usp=sharing"",""ชุ"&amp;"มพร!R361"")+IMPORTRANGE(""https://docs.google.com/spreadsheets/d/16pAz3pOhQEZBhvFNMa5KGgZS6iKWpsKX0pg6tQmwFpo/edit?usp=sharing"",""ตรัง!R361"")+IMPORTRANGE(""https://docs.google.com/spreadsheets/d/1Dj4jcHCTV9JXKCaMoheSXS52JE63kDKyG7bPXnFogHk/edit?usp=shar"&amp;"ing"",""นครศรีธรรมราช!R361"")+IMPORTRANGE(""https://docs.google.com/spreadsheets/d/1iodCdmuK2GR3jzUwk8tpccY2JHQQA-87DLOtJP-ooyU/edit?usp=sharing"",""นราธิวาส!R361"")+IMPORTRANGE(""https://docs.google.com/spreadsheets/d/1SDNX3JhDdYRuIOsj0Wh2M-Qa_eaXl0NbWmh"&amp;"AOTbfQAs/edit?usp=sharing"",""ปัตตานี!R361"")+IMPORTRANGE(""https://docs.google.com/spreadsheets/d/16JDLGguT8s5DsGCND1KcwHP_AWR_zDMTqLHPLJUKhaU/edit?usp=sharing"",""พังงา!R361"")+IMPORTRANGE(""https://docs.google.com/spreadsheets/d/17ht0gPKzzT3PObBL1XJkeR"&amp;"mntBXI7wGjpLV7QorqlTk/edit?usp=sharing"",""พัทลุง!R361"")+IMPORTRANGE(""https://docs.google.com/spreadsheets/d/1rd4qoM1q_hsgaolqNGfrim9gbsoLxQsda4-vOz5x_BM/edit?usp=sharing"",""ภูเก็ต!R361"")+IMPORTRANGE(""https://docs.google.com/spreadsheets/d/1woKwKjgoL"&amp;"ssDvPcPeVyezB5izizAn4X1JDrys69n6xI/edit?usp=sharing"",""ยะลา!R361"")+IMPORTRANGE(""https://docs.google.com/spreadsheets/d/1qfrKjzMhm2HJfxQ-qVlJlJQ25Hne1d0khsySbZyGtPA/edit?usp=sharing"",""ระนอง!R361"")+IMPORTRANGE(""https://docs.google.com/spreadsheets/d/"&amp;"1IbSCnFOKpZsnFogBHJnL_isstZVaOMnFiIN0fGTPZZw/edit?usp=sharing"",""สงขลา!R361"")+IMPORTRANGE(""https://docs.google.com/spreadsheets/d/1q9nWasZJ-K8bFGvbE9n0qSRuKGA4Toe3Y89cKCiVtCU/edit?usp=sharing"",""สตูล!R361"")+IMPORTRANGE(""https://docs.google.com/sprea"&amp;"dsheets/d/18T20gbkS_WBjdscyTOV05cvq_JqvqQ17C81mpxf7Ncs/edit?usp=sharing"",""สุราษฎร์ธานี!R361"")"),0)</f>
        <v>0</v>
      </c>
      <c r="S361" s="47">
        <f ca="1">IFERROR(__xludf.DUMMYFUNCTION("IMPORTRANGE(""https://docs.google.com/spreadsheets/d/1kKUcYdkIfrgTSj8iHHHB2MD2FAtwyyocFgqGQn6ADyI/edit?usp=sharing"",""กระบี่!S361"")+IMPORTRANGE(""https://docs.google.com/spreadsheets/d/1GwtLaSlNZkLk7iDqcyZz22giiy40b_usZZBXYciEN1U/edit?usp=sharing"",""ชุ"&amp;"มพร!S361"")+IMPORTRANGE(""https://docs.google.com/spreadsheets/d/16pAz3pOhQEZBhvFNMa5KGgZS6iKWpsKX0pg6tQmwFpo/edit?usp=sharing"",""ตรัง!S361"")+IMPORTRANGE(""https://docs.google.com/spreadsheets/d/1Dj4jcHCTV9JXKCaMoheSXS52JE63kDKyG7bPXnFogHk/edit?usp=shar"&amp;"ing"",""นครศรีธรรมราช!S361"")+IMPORTRANGE(""https://docs.google.com/spreadsheets/d/1iodCdmuK2GR3jzUwk8tpccY2JHQQA-87DLOtJP-ooyU/edit?usp=sharing"",""นราธิวาส!S361"")+IMPORTRANGE(""https://docs.google.com/spreadsheets/d/1SDNX3JhDdYRuIOsj0Wh2M-Qa_eaXl0NbWmh"&amp;"AOTbfQAs/edit?usp=sharing"",""ปัตตานี!S361"")+IMPORTRANGE(""https://docs.google.com/spreadsheets/d/16JDLGguT8s5DsGCND1KcwHP_AWR_zDMTqLHPLJUKhaU/edit?usp=sharing"",""พังงา!S361"")+IMPORTRANGE(""https://docs.google.com/spreadsheets/d/17ht0gPKzzT3PObBL1XJkeR"&amp;"mntBXI7wGjpLV7QorqlTk/edit?usp=sharing"",""พัทลุง!S361"")+IMPORTRANGE(""https://docs.google.com/spreadsheets/d/1rd4qoM1q_hsgaolqNGfrim9gbsoLxQsda4-vOz5x_BM/edit?usp=sharing"",""ภูเก็ต!S361"")+IMPORTRANGE(""https://docs.google.com/spreadsheets/d/1woKwKjgoL"&amp;"ssDvPcPeVyezB5izizAn4X1JDrys69n6xI/edit?usp=sharing"",""ยะลา!S361"")+IMPORTRANGE(""https://docs.google.com/spreadsheets/d/1qfrKjzMhm2HJfxQ-qVlJlJQ25Hne1d0khsySbZyGtPA/edit?usp=sharing"",""ระนอง!S361"")+IMPORTRANGE(""https://docs.google.com/spreadsheets/d/"&amp;"1IbSCnFOKpZsnFogBHJnL_isstZVaOMnFiIN0fGTPZZw/edit?usp=sharing"",""สงขลา!S361"")+IMPORTRANGE(""https://docs.google.com/spreadsheets/d/1q9nWasZJ-K8bFGvbE9n0qSRuKGA4Toe3Y89cKCiVtCU/edit?usp=sharing"",""สตูล!S361"")+IMPORTRANGE(""https://docs.google.com/sprea"&amp;"dsheets/d/18T20gbkS_WBjdscyTOV05cvq_JqvqQ17C81mpxf7Ncs/edit?usp=sharing"",""สุราษฎร์ธานี!S361"")"),0)</f>
        <v>0</v>
      </c>
      <c r="T361" s="47">
        <f t="shared" ca="1" si="270"/>
        <v>0</v>
      </c>
      <c r="U361" s="47">
        <f t="shared" ca="1" si="271"/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47">
        <f t="shared" ref="L362:N362" ca="1" si="278">L363+L364</f>
        <v>0</v>
      </c>
      <c r="M362" s="47">
        <f t="shared" ca="1" si="278"/>
        <v>0</v>
      </c>
      <c r="N362" s="47">
        <f t="shared" ca="1" si="278"/>
        <v>0</v>
      </c>
      <c r="O362" s="47">
        <f t="shared" ca="1" si="267"/>
        <v>0</v>
      </c>
      <c r="P362" s="47">
        <f t="shared" ca="1" si="268"/>
        <v>0</v>
      </c>
      <c r="Q362" s="47">
        <f t="shared" ref="Q362:S362" ca="1" si="279">Q363+Q364</f>
        <v>0</v>
      </c>
      <c r="R362" s="47">
        <f t="shared" ca="1" si="279"/>
        <v>0</v>
      </c>
      <c r="S362" s="47">
        <f t="shared" ca="1" si="279"/>
        <v>0</v>
      </c>
      <c r="T362" s="47">
        <f t="shared" ca="1" si="270"/>
        <v>0</v>
      </c>
      <c r="U362" s="47">
        <f t="shared" ca="1" si="271"/>
        <v>0</v>
      </c>
    </row>
    <row r="363" spans="1:21" ht="18.75" hidden="1" x14ac:dyDescent="0.25">
      <c r="A363" s="128"/>
      <c r="B363" s="41"/>
      <c r="C363" s="41"/>
      <c r="D363" s="41"/>
      <c r="E363" s="48" t="s">
        <v>20</v>
      </c>
      <c r="F363" s="41"/>
      <c r="G363" s="43"/>
      <c r="H363" s="134" t="s">
        <v>14</v>
      </c>
      <c r="I363" s="135"/>
      <c r="J363" s="135"/>
      <c r="K363" s="136"/>
      <c r="L363" s="47">
        <f ca="1">IFERROR(__xludf.DUMMYFUNCTION("IMPORTRANGE(""https://docs.google.com/spreadsheets/d/1kKUcYdkIfrgTSj8iHHHB2MD2FAtwyyocFgqGQn6ADyI/edit?usp=sharing"",""กระบี่!L363"")+IMPORTRANGE(""https://docs.google.com/spreadsheets/d/1GwtLaSlNZkLk7iDqcyZz22giiy40b_usZZBXYciEN1U/edit?usp=sharing"",""ชุ"&amp;"มพร!L363"")+IMPORTRANGE(""https://docs.google.com/spreadsheets/d/16pAz3pOhQEZBhvFNMa5KGgZS6iKWpsKX0pg6tQmwFpo/edit?usp=sharing"",""ตรัง!L363"")+IMPORTRANGE(""https://docs.google.com/spreadsheets/d/1Dj4jcHCTV9JXKCaMoheSXS52JE63kDKyG7bPXnFogHk/edit?usp=shar"&amp;"ing"",""นครศรีธรรมราช!L363"")+IMPORTRANGE(""https://docs.google.com/spreadsheets/d/1iodCdmuK2GR3jzUwk8tpccY2JHQQA-87DLOtJP-ooyU/edit?usp=sharing"",""นราธิวาส!L363"")+IMPORTRANGE(""https://docs.google.com/spreadsheets/d/1SDNX3JhDdYRuIOsj0Wh2M-Qa_eaXl0NbWmh"&amp;"AOTbfQAs/edit?usp=sharing"",""ปัตตานี!L363"")+IMPORTRANGE(""https://docs.google.com/spreadsheets/d/16JDLGguT8s5DsGCND1KcwHP_AWR_zDMTqLHPLJUKhaU/edit?usp=sharing"",""พังงา!L363"")+IMPORTRANGE(""https://docs.google.com/spreadsheets/d/17ht0gPKzzT3PObBL1XJkeR"&amp;"mntBXI7wGjpLV7QorqlTk/edit?usp=sharing"",""พัทลุง!L363"")+IMPORTRANGE(""https://docs.google.com/spreadsheets/d/1rd4qoM1q_hsgaolqNGfrim9gbsoLxQsda4-vOz5x_BM/edit?usp=sharing"",""ภูเก็ต!L363"")+IMPORTRANGE(""https://docs.google.com/spreadsheets/d/1woKwKjgoL"&amp;"ssDvPcPeVyezB5izizAn4X1JDrys69n6xI/edit?usp=sharing"",""ยะลา!L363"")+IMPORTRANGE(""https://docs.google.com/spreadsheets/d/1qfrKjzMhm2HJfxQ-qVlJlJQ25Hne1d0khsySbZyGtPA/edit?usp=sharing"",""ระนอง!L363"")+IMPORTRANGE(""https://docs.google.com/spreadsheets/d/"&amp;"1IbSCnFOKpZsnFogBHJnL_isstZVaOMnFiIN0fGTPZZw/edit?usp=sharing"",""สงขลา!L363"")+IMPORTRANGE(""https://docs.google.com/spreadsheets/d/1q9nWasZJ-K8bFGvbE9n0qSRuKGA4Toe3Y89cKCiVtCU/edit?usp=sharing"",""สตูล!L363"")+IMPORTRANGE(""https://docs.google.com/sprea"&amp;"dsheets/d/18T20gbkS_WBjdscyTOV05cvq_JqvqQ17C81mpxf7Ncs/edit?usp=sharing"",""สุราษฎร์ธานี!L363"")"),0)</f>
        <v>0</v>
      </c>
      <c r="M363" s="47">
        <f ca="1">IFERROR(__xludf.DUMMYFUNCTION("IMPORTRANGE(""https://docs.google.com/spreadsheets/d/1kKUcYdkIfrgTSj8iHHHB2MD2FAtwyyocFgqGQn6ADyI/edit?usp=sharing"",""กระบี่!M363"")+IMPORTRANGE(""https://docs.google.com/spreadsheets/d/1GwtLaSlNZkLk7iDqcyZz22giiy40b_usZZBXYciEN1U/edit?usp=sharing"",""ชุ"&amp;"มพร!M363"")+IMPORTRANGE(""https://docs.google.com/spreadsheets/d/16pAz3pOhQEZBhvFNMa5KGgZS6iKWpsKX0pg6tQmwFpo/edit?usp=sharing"",""ตรัง!M363"")+IMPORTRANGE(""https://docs.google.com/spreadsheets/d/1Dj4jcHCTV9JXKCaMoheSXS52JE63kDKyG7bPXnFogHk/edit?usp=shar"&amp;"ing"",""นครศรีธรรมราช!M363"")+IMPORTRANGE(""https://docs.google.com/spreadsheets/d/1iodCdmuK2GR3jzUwk8tpccY2JHQQA-87DLOtJP-ooyU/edit?usp=sharing"",""นราธิวาส!M363"")+IMPORTRANGE(""https://docs.google.com/spreadsheets/d/1SDNX3JhDdYRuIOsj0Wh2M-Qa_eaXl0NbWmh"&amp;"AOTbfQAs/edit?usp=sharing"",""ปัตตานี!M363"")+IMPORTRANGE(""https://docs.google.com/spreadsheets/d/16JDLGguT8s5DsGCND1KcwHP_AWR_zDMTqLHPLJUKhaU/edit?usp=sharing"",""พังงา!M363"")+IMPORTRANGE(""https://docs.google.com/spreadsheets/d/17ht0gPKzzT3PObBL1XJkeR"&amp;"mntBXI7wGjpLV7QorqlTk/edit?usp=sharing"",""พัทลุง!M363"")+IMPORTRANGE(""https://docs.google.com/spreadsheets/d/1rd4qoM1q_hsgaolqNGfrim9gbsoLxQsda4-vOz5x_BM/edit?usp=sharing"",""ภูเก็ต!M363"")+IMPORTRANGE(""https://docs.google.com/spreadsheets/d/1woKwKjgoL"&amp;"ssDvPcPeVyezB5izizAn4X1JDrys69n6xI/edit?usp=sharing"",""ยะลา!M363"")+IMPORTRANGE(""https://docs.google.com/spreadsheets/d/1qfrKjzMhm2HJfxQ-qVlJlJQ25Hne1d0khsySbZyGtPA/edit?usp=sharing"",""ระนอง!M363"")+IMPORTRANGE(""https://docs.google.com/spreadsheets/d/"&amp;"1IbSCnFOKpZsnFogBHJnL_isstZVaOMnFiIN0fGTPZZw/edit?usp=sharing"",""สงขลา!M363"")+IMPORTRANGE(""https://docs.google.com/spreadsheets/d/1q9nWasZJ-K8bFGvbE9n0qSRuKGA4Toe3Y89cKCiVtCU/edit?usp=sharing"",""สตูล!M363"")+IMPORTRANGE(""https://docs.google.com/sprea"&amp;"dsheets/d/18T20gbkS_WBjdscyTOV05cvq_JqvqQ17C81mpxf7Ncs/edit?usp=sharing"",""สุราษฎร์ธานี!M363"")"),0)</f>
        <v>0</v>
      </c>
      <c r="N363" s="47">
        <f ca="1">IFERROR(__xludf.DUMMYFUNCTION("IMPORTRANGE(""https://docs.google.com/spreadsheets/d/1kKUcYdkIfrgTSj8iHHHB2MD2FAtwyyocFgqGQn6ADyI/edit?usp=sharing"",""กระบี่!N363"")+IMPORTRANGE(""https://docs.google.com/spreadsheets/d/1GwtLaSlNZkLk7iDqcyZz22giiy40b_usZZBXYciEN1U/edit?usp=sharing"",""ชุ"&amp;"มพร!N363"")+IMPORTRANGE(""https://docs.google.com/spreadsheets/d/16pAz3pOhQEZBhvFNMa5KGgZS6iKWpsKX0pg6tQmwFpo/edit?usp=sharing"",""ตรัง!N363"")+IMPORTRANGE(""https://docs.google.com/spreadsheets/d/1Dj4jcHCTV9JXKCaMoheSXS52JE63kDKyG7bPXnFogHk/edit?usp=shar"&amp;"ing"",""นครศรีธรรมราช!N363"")+IMPORTRANGE(""https://docs.google.com/spreadsheets/d/1iodCdmuK2GR3jzUwk8tpccY2JHQQA-87DLOtJP-ooyU/edit?usp=sharing"",""นราธิวาส!N363"")+IMPORTRANGE(""https://docs.google.com/spreadsheets/d/1SDNX3JhDdYRuIOsj0Wh2M-Qa_eaXl0NbWmh"&amp;"AOTbfQAs/edit?usp=sharing"",""ปัตตานี!N363"")+IMPORTRANGE(""https://docs.google.com/spreadsheets/d/16JDLGguT8s5DsGCND1KcwHP_AWR_zDMTqLHPLJUKhaU/edit?usp=sharing"",""พังงา!N363"")+IMPORTRANGE(""https://docs.google.com/spreadsheets/d/17ht0gPKzzT3PObBL1XJkeR"&amp;"mntBXI7wGjpLV7QorqlTk/edit?usp=sharing"",""พัทลุง!N363"")+IMPORTRANGE(""https://docs.google.com/spreadsheets/d/1rd4qoM1q_hsgaolqNGfrim9gbsoLxQsda4-vOz5x_BM/edit?usp=sharing"",""ภูเก็ต!N363"")+IMPORTRANGE(""https://docs.google.com/spreadsheets/d/1woKwKjgoL"&amp;"ssDvPcPeVyezB5izizAn4X1JDrys69n6xI/edit?usp=sharing"",""ยะลา!N363"")+IMPORTRANGE(""https://docs.google.com/spreadsheets/d/1qfrKjzMhm2HJfxQ-qVlJlJQ25Hne1d0khsySbZyGtPA/edit?usp=sharing"",""ระนอง!N363"")+IMPORTRANGE(""https://docs.google.com/spreadsheets/d/"&amp;"1IbSCnFOKpZsnFogBHJnL_isstZVaOMnFiIN0fGTPZZw/edit?usp=sharing"",""สงขลา!N363"")+IMPORTRANGE(""https://docs.google.com/spreadsheets/d/1q9nWasZJ-K8bFGvbE9n0qSRuKGA4Toe3Y89cKCiVtCU/edit?usp=sharing"",""สตูล!N363"")+IMPORTRANGE(""https://docs.google.com/sprea"&amp;"dsheets/d/18T20gbkS_WBjdscyTOV05cvq_JqvqQ17C81mpxf7Ncs/edit?usp=sharing"",""สุราษฎร์ธานี!N363"")"),0)</f>
        <v>0</v>
      </c>
      <c r="O363" s="47">
        <f t="shared" ca="1" si="267"/>
        <v>0</v>
      </c>
      <c r="P363" s="47">
        <f t="shared" ca="1" si="268"/>
        <v>0</v>
      </c>
      <c r="Q363" s="47">
        <f ca="1">IFERROR(__xludf.DUMMYFUNCTION("IMPORTRANGE(""https://docs.google.com/spreadsheets/d/1kKUcYdkIfrgTSj8iHHHB2MD2FAtwyyocFgqGQn6ADyI/edit?usp=sharing"",""กระบี่!Q363"")+IMPORTRANGE(""https://docs.google.com/spreadsheets/d/1GwtLaSlNZkLk7iDqcyZz22giiy40b_usZZBXYciEN1U/edit?usp=sharing"",""ชุ"&amp;"มพร!Q363"")+IMPORTRANGE(""https://docs.google.com/spreadsheets/d/16pAz3pOhQEZBhvFNMa5KGgZS6iKWpsKX0pg6tQmwFpo/edit?usp=sharing"",""ตรัง!Q363"")+IMPORTRANGE(""https://docs.google.com/spreadsheets/d/1Dj4jcHCTV9JXKCaMoheSXS52JE63kDKyG7bPXnFogHk/edit?usp=shar"&amp;"ing"",""นครศรีธรรมราช!Q363"")+IMPORTRANGE(""https://docs.google.com/spreadsheets/d/1iodCdmuK2GR3jzUwk8tpccY2JHQQA-87DLOtJP-ooyU/edit?usp=sharing"",""นราธิวาส!Q363"")+IMPORTRANGE(""https://docs.google.com/spreadsheets/d/1SDNX3JhDdYRuIOsj0Wh2M-Qa_eaXl0NbWmh"&amp;"AOTbfQAs/edit?usp=sharing"",""ปัตตานี!Q363"")+IMPORTRANGE(""https://docs.google.com/spreadsheets/d/16JDLGguT8s5DsGCND1KcwHP_AWR_zDMTqLHPLJUKhaU/edit?usp=sharing"",""พังงา!Q363"")+IMPORTRANGE(""https://docs.google.com/spreadsheets/d/17ht0gPKzzT3PObBL1XJkeR"&amp;"mntBXI7wGjpLV7QorqlTk/edit?usp=sharing"",""พัทลุง!Q363"")+IMPORTRANGE(""https://docs.google.com/spreadsheets/d/1rd4qoM1q_hsgaolqNGfrim9gbsoLxQsda4-vOz5x_BM/edit?usp=sharing"",""ภูเก็ต!Q363"")+IMPORTRANGE(""https://docs.google.com/spreadsheets/d/1woKwKjgoL"&amp;"ssDvPcPeVyezB5izizAn4X1JDrys69n6xI/edit?usp=sharing"",""ยะลา!Q363"")+IMPORTRANGE(""https://docs.google.com/spreadsheets/d/1qfrKjzMhm2HJfxQ-qVlJlJQ25Hne1d0khsySbZyGtPA/edit?usp=sharing"",""ระนอง!Q363"")+IMPORTRANGE(""https://docs.google.com/spreadsheets/d/"&amp;"1IbSCnFOKpZsnFogBHJnL_isstZVaOMnFiIN0fGTPZZw/edit?usp=sharing"",""สงขลา!Q363"")+IMPORTRANGE(""https://docs.google.com/spreadsheets/d/1q9nWasZJ-K8bFGvbE9n0qSRuKGA4Toe3Y89cKCiVtCU/edit?usp=sharing"",""สตูล!Q363"")+IMPORTRANGE(""https://docs.google.com/sprea"&amp;"dsheets/d/18T20gbkS_WBjdscyTOV05cvq_JqvqQ17C81mpxf7Ncs/edit?usp=sharing"",""สุราษฎร์ธานี!Q363"")"),0)</f>
        <v>0</v>
      </c>
      <c r="R363" s="47">
        <f ca="1">IFERROR(__xludf.DUMMYFUNCTION("IMPORTRANGE(""https://docs.google.com/spreadsheets/d/1kKUcYdkIfrgTSj8iHHHB2MD2FAtwyyocFgqGQn6ADyI/edit?usp=sharing"",""กระบี่!R363"")+IMPORTRANGE(""https://docs.google.com/spreadsheets/d/1GwtLaSlNZkLk7iDqcyZz22giiy40b_usZZBXYciEN1U/edit?usp=sharing"",""ชุ"&amp;"มพร!R363"")+IMPORTRANGE(""https://docs.google.com/spreadsheets/d/16pAz3pOhQEZBhvFNMa5KGgZS6iKWpsKX0pg6tQmwFpo/edit?usp=sharing"",""ตรัง!R363"")+IMPORTRANGE(""https://docs.google.com/spreadsheets/d/1Dj4jcHCTV9JXKCaMoheSXS52JE63kDKyG7bPXnFogHk/edit?usp=shar"&amp;"ing"",""นครศรีธรรมราช!R363"")+IMPORTRANGE(""https://docs.google.com/spreadsheets/d/1iodCdmuK2GR3jzUwk8tpccY2JHQQA-87DLOtJP-ooyU/edit?usp=sharing"",""นราธิวาส!R363"")+IMPORTRANGE(""https://docs.google.com/spreadsheets/d/1SDNX3JhDdYRuIOsj0Wh2M-Qa_eaXl0NbWmh"&amp;"AOTbfQAs/edit?usp=sharing"",""ปัตตานี!R363"")+IMPORTRANGE(""https://docs.google.com/spreadsheets/d/16JDLGguT8s5DsGCND1KcwHP_AWR_zDMTqLHPLJUKhaU/edit?usp=sharing"",""พังงา!R363"")+IMPORTRANGE(""https://docs.google.com/spreadsheets/d/17ht0gPKzzT3PObBL1XJkeR"&amp;"mntBXI7wGjpLV7QorqlTk/edit?usp=sharing"",""พัทลุง!R363"")+IMPORTRANGE(""https://docs.google.com/spreadsheets/d/1rd4qoM1q_hsgaolqNGfrim9gbsoLxQsda4-vOz5x_BM/edit?usp=sharing"",""ภูเก็ต!R363"")+IMPORTRANGE(""https://docs.google.com/spreadsheets/d/1woKwKjgoL"&amp;"ssDvPcPeVyezB5izizAn4X1JDrys69n6xI/edit?usp=sharing"",""ยะลา!R363"")+IMPORTRANGE(""https://docs.google.com/spreadsheets/d/1qfrKjzMhm2HJfxQ-qVlJlJQ25Hne1d0khsySbZyGtPA/edit?usp=sharing"",""ระนอง!R363"")+IMPORTRANGE(""https://docs.google.com/spreadsheets/d/"&amp;"1IbSCnFOKpZsnFogBHJnL_isstZVaOMnFiIN0fGTPZZw/edit?usp=sharing"",""สงขลา!R363"")+IMPORTRANGE(""https://docs.google.com/spreadsheets/d/1q9nWasZJ-K8bFGvbE9n0qSRuKGA4Toe3Y89cKCiVtCU/edit?usp=sharing"",""สตูล!R363"")+IMPORTRANGE(""https://docs.google.com/sprea"&amp;"dsheets/d/18T20gbkS_WBjdscyTOV05cvq_JqvqQ17C81mpxf7Ncs/edit?usp=sharing"",""สุราษฎร์ธานี!R363"")"),0)</f>
        <v>0</v>
      </c>
      <c r="S363" s="47">
        <f ca="1">IFERROR(__xludf.DUMMYFUNCTION("IMPORTRANGE(""https://docs.google.com/spreadsheets/d/1kKUcYdkIfrgTSj8iHHHB2MD2FAtwyyocFgqGQn6ADyI/edit?usp=sharing"",""กระบี่!S363"")+IMPORTRANGE(""https://docs.google.com/spreadsheets/d/1GwtLaSlNZkLk7iDqcyZz22giiy40b_usZZBXYciEN1U/edit?usp=sharing"",""ชุ"&amp;"มพร!S363"")+IMPORTRANGE(""https://docs.google.com/spreadsheets/d/16pAz3pOhQEZBhvFNMa5KGgZS6iKWpsKX0pg6tQmwFpo/edit?usp=sharing"",""ตรัง!S363"")+IMPORTRANGE(""https://docs.google.com/spreadsheets/d/1Dj4jcHCTV9JXKCaMoheSXS52JE63kDKyG7bPXnFogHk/edit?usp=shar"&amp;"ing"",""นครศรีธรรมราช!S363"")+IMPORTRANGE(""https://docs.google.com/spreadsheets/d/1iodCdmuK2GR3jzUwk8tpccY2JHQQA-87DLOtJP-ooyU/edit?usp=sharing"",""นราธิวาส!S363"")+IMPORTRANGE(""https://docs.google.com/spreadsheets/d/1SDNX3JhDdYRuIOsj0Wh2M-Qa_eaXl0NbWmh"&amp;"AOTbfQAs/edit?usp=sharing"",""ปัตตานี!S363"")+IMPORTRANGE(""https://docs.google.com/spreadsheets/d/16JDLGguT8s5DsGCND1KcwHP_AWR_zDMTqLHPLJUKhaU/edit?usp=sharing"",""พังงา!S363"")+IMPORTRANGE(""https://docs.google.com/spreadsheets/d/17ht0gPKzzT3PObBL1XJkeR"&amp;"mntBXI7wGjpLV7QorqlTk/edit?usp=sharing"",""พัทลุง!S363"")+IMPORTRANGE(""https://docs.google.com/spreadsheets/d/1rd4qoM1q_hsgaolqNGfrim9gbsoLxQsda4-vOz5x_BM/edit?usp=sharing"",""ภูเก็ต!S363"")+IMPORTRANGE(""https://docs.google.com/spreadsheets/d/1woKwKjgoL"&amp;"ssDvPcPeVyezB5izizAn4X1JDrys69n6xI/edit?usp=sharing"",""ยะลา!S363"")+IMPORTRANGE(""https://docs.google.com/spreadsheets/d/1qfrKjzMhm2HJfxQ-qVlJlJQ25Hne1d0khsySbZyGtPA/edit?usp=sharing"",""ระนอง!S363"")+IMPORTRANGE(""https://docs.google.com/spreadsheets/d/"&amp;"1IbSCnFOKpZsnFogBHJnL_isstZVaOMnFiIN0fGTPZZw/edit?usp=sharing"",""สงขลา!S363"")+IMPORTRANGE(""https://docs.google.com/spreadsheets/d/1q9nWasZJ-K8bFGvbE9n0qSRuKGA4Toe3Y89cKCiVtCU/edit?usp=sharing"",""สตูล!S363"")+IMPORTRANGE(""https://docs.google.com/sprea"&amp;"dsheets/d/18T20gbkS_WBjdscyTOV05cvq_JqvqQ17C81mpxf7Ncs/edit?usp=sharing"",""สุราษฎร์ธานี!S363"")"),0)</f>
        <v>0</v>
      </c>
      <c r="T363" s="49">
        <f t="shared" ca="1" si="270"/>
        <v>0</v>
      </c>
      <c r="U363" s="49">
        <f t="shared" ca="1" si="271"/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47">
        <f ca="1">IFERROR(__xludf.DUMMYFUNCTION("IMPORTRANGE(""https://docs.google.com/spreadsheets/d/1kKUcYdkIfrgTSj8iHHHB2MD2FAtwyyocFgqGQn6ADyI/edit?usp=sharing"",""กระบี่!L364"")+IMPORTRANGE(""https://docs.google.com/spreadsheets/d/1GwtLaSlNZkLk7iDqcyZz22giiy40b_usZZBXYciEN1U/edit?usp=sharing"",""ชุ"&amp;"มพร!L364"")+IMPORTRANGE(""https://docs.google.com/spreadsheets/d/16pAz3pOhQEZBhvFNMa5KGgZS6iKWpsKX0pg6tQmwFpo/edit?usp=sharing"",""ตรัง!L364"")+IMPORTRANGE(""https://docs.google.com/spreadsheets/d/1Dj4jcHCTV9JXKCaMoheSXS52JE63kDKyG7bPXnFogHk/edit?usp=shar"&amp;"ing"",""นครศรีธรรมราช!L364"")+IMPORTRANGE(""https://docs.google.com/spreadsheets/d/1iodCdmuK2GR3jzUwk8tpccY2JHQQA-87DLOtJP-ooyU/edit?usp=sharing"",""นราธิวาส!L364"")+IMPORTRANGE(""https://docs.google.com/spreadsheets/d/1SDNX3JhDdYRuIOsj0Wh2M-Qa_eaXl0NbWmh"&amp;"AOTbfQAs/edit?usp=sharing"",""ปัตตานี!L364"")+IMPORTRANGE(""https://docs.google.com/spreadsheets/d/16JDLGguT8s5DsGCND1KcwHP_AWR_zDMTqLHPLJUKhaU/edit?usp=sharing"",""พังงา!L364"")+IMPORTRANGE(""https://docs.google.com/spreadsheets/d/17ht0gPKzzT3PObBL1XJkeR"&amp;"mntBXI7wGjpLV7QorqlTk/edit?usp=sharing"",""พัทลุง!L364"")+IMPORTRANGE(""https://docs.google.com/spreadsheets/d/1rd4qoM1q_hsgaolqNGfrim9gbsoLxQsda4-vOz5x_BM/edit?usp=sharing"",""ภูเก็ต!L364"")+IMPORTRANGE(""https://docs.google.com/spreadsheets/d/1woKwKjgoL"&amp;"ssDvPcPeVyezB5izizAn4X1JDrys69n6xI/edit?usp=sharing"",""ยะลา!L364"")+IMPORTRANGE(""https://docs.google.com/spreadsheets/d/1qfrKjzMhm2HJfxQ-qVlJlJQ25Hne1d0khsySbZyGtPA/edit?usp=sharing"",""ระนอง!L364"")+IMPORTRANGE(""https://docs.google.com/spreadsheets/d/"&amp;"1IbSCnFOKpZsnFogBHJnL_isstZVaOMnFiIN0fGTPZZw/edit?usp=sharing"",""สงขลา!L364"")+IMPORTRANGE(""https://docs.google.com/spreadsheets/d/1q9nWasZJ-K8bFGvbE9n0qSRuKGA4Toe3Y89cKCiVtCU/edit?usp=sharing"",""สตูล!L364"")+IMPORTRANGE(""https://docs.google.com/sprea"&amp;"dsheets/d/18T20gbkS_WBjdscyTOV05cvq_JqvqQ17C81mpxf7Ncs/edit?usp=sharing"",""สุราษฎร์ธานี!L364"")"),0)</f>
        <v>0</v>
      </c>
      <c r="M364" s="47">
        <f ca="1">IFERROR(__xludf.DUMMYFUNCTION("IMPORTRANGE(""https://docs.google.com/spreadsheets/d/1kKUcYdkIfrgTSj8iHHHB2MD2FAtwyyocFgqGQn6ADyI/edit?usp=sharing"",""กระบี่!M364"")+IMPORTRANGE(""https://docs.google.com/spreadsheets/d/1GwtLaSlNZkLk7iDqcyZz22giiy40b_usZZBXYciEN1U/edit?usp=sharing"",""ชุ"&amp;"มพร!M364"")+IMPORTRANGE(""https://docs.google.com/spreadsheets/d/16pAz3pOhQEZBhvFNMa5KGgZS6iKWpsKX0pg6tQmwFpo/edit?usp=sharing"",""ตรัง!M364"")+IMPORTRANGE(""https://docs.google.com/spreadsheets/d/1Dj4jcHCTV9JXKCaMoheSXS52JE63kDKyG7bPXnFogHk/edit?usp=shar"&amp;"ing"",""นครศรีธรรมราช!M364"")+IMPORTRANGE(""https://docs.google.com/spreadsheets/d/1iodCdmuK2GR3jzUwk8tpccY2JHQQA-87DLOtJP-ooyU/edit?usp=sharing"",""นราธิวาส!M364"")+IMPORTRANGE(""https://docs.google.com/spreadsheets/d/1SDNX3JhDdYRuIOsj0Wh2M-Qa_eaXl0NbWmh"&amp;"AOTbfQAs/edit?usp=sharing"",""ปัตตานี!M364"")+IMPORTRANGE(""https://docs.google.com/spreadsheets/d/16JDLGguT8s5DsGCND1KcwHP_AWR_zDMTqLHPLJUKhaU/edit?usp=sharing"",""พังงา!M364"")+IMPORTRANGE(""https://docs.google.com/spreadsheets/d/17ht0gPKzzT3PObBL1XJkeR"&amp;"mntBXI7wGjpLV7QorqlTk/edit?usp=sharing"",""พัทลุง!M364"")+IMPORTRANGE(""https://docs.google.com/spreadsheets/d/1rd4qoM1q_hsgaolqNGfrim9gbsoLxQsda4-vOz5x_BM/edit?usp=sharing"",""ภูเก็ต!M364"")+IMPORTRANGE(""https://docs.google.com/spreadsheets/d/1woKwKjgoL"&amp;"ssDvPcPeVyezB5izizAn4X1JDrys69n6xI/edit?usp=sharing"",""ยะลา!M364"")+IMPORTRANGE(""https://docs.google.com/spreadsheets/d/1qfrKjzMhm2HJfxQ-qVlJlJQ25Hne1d0khsySbZyGtPA/edit?usp=sharing"",""ระนอง!M364"")+IMPORTRANGE(""https://docs.google.com/spreadsheets/d/"&amp;"1IbSCnFOKpZsnFogBHJnL_isstZVaOMnFiIN0fGTPZZw/edit?usp=sharing"",""สงขลา!M364"")+IMPORTRANGE(""https://docs.google.com/spreadsheets/d/1q9nWasZJ-K8bFGvbE9n0qSRuKGA4Toe3Y89cKCiVtCU/edit?usp=sharing"",""สตูล!M364"")+IMPORTRANGE(""https://docs.google.com/sprea"&amp;"dsheets/d/18T20gbkS_WBjdscyTOV05cvq_JqvqQ17C81mpxf7Ncs/edit?usp=sharing"",""สุราษฎร์ธานี!M364"")"),0)</f>
        <v>0</v>
      </c>
      <c r="N364" s="47">
        <f ca="1">IFERROR(__xludf.DUMMYFUNCTION("IMPORTRANGE(""https://docs.google.com/spreadsheets/d/1kKUcYdkIfrgTSj8iHHHB2MD2FAtwyyocFgqGQn6ADyI/edit?usp=sharing"",""กระบี่!N364"")+IMPORTRANGE(""https://docs.google.com/spreadsheets/d/1GwtLaSlNZkLk7iDqcyZz22giiy40b_usZZBXYciEN1U/edit?usp=sharing"",""ชุ"&amp;"มพร!N364"")+IMPORTRANGE(""https://docs.google.com/spreadsheets/d/16pAz3pOhQEZBhvFNMa5KGgZS6iKWpsKX0pg6tQmwFpo/edit?usp=sharing"",""ตรัง!N364"")+IMPORTRANGE(""https://docs.google.com/spreadsheets/d/1Dj4jcHCTV9JXKCaMoheSXS52JE63kDKyG7bPXnFogHk/edit?usp=shar"&amp;"ing"",""นครศรีธรรมราช!N364"")+IMPORTRANGE(""https://docs.google.com/spreadsheets/d/1iodCdmuK2GR3jzUwk8tpccY2JHQQA-87DLOtJP-ooyU/edit?usp=sharing"",""นราธิวาส!N364"")+IMPORTRANGE(""https://docs.google.com/spreadsheets/d/1SDNX3JhDdYRuIOsj0Wh2M-Qa_eaXl0NbWmh"&amp;"AOTbfQAs/edit?usp=sharing"",""ปัตตานี!N364"")+IMPORTRANGE(""https://docs.google.com/spreadsheets/d/16JDLGguT8s5DsGCND1KcwHP_AWR_zDMTqLHPLJUKhaU/edit?usp=sharing"",""พังงา!N364"")+IMPORTRANGE(""https://docs.google.com/spreadsheets/d/17ht0gPKzzT3PObBL1XJkeR"&amp;"mntBXI7wGjpLV7QorqlTk/edit?usp=sharing"",""พัทลุง!N364"")+IMPORTRANGE(""https://docs.google.com/spreadsheets/d/1rd4qoM1q_hsgaolqNGfrim9gbsoLxQsda4-vOz5x_BM/edit?usp=sharing"",""ภูเก็ต!N364"")+IMPORTRANGE(""https://docs.google.com/spreadsheets/d/1woKwKjgoL"&amp;"ssDvPcPeVyezB5izizAn4X1JDrys69n6xI/edit?usp=sharing"",""ยะลา!N364"")+IMPORTRANGE(""https://docs.google.com/spreadsheets/d/1qfrKjzMhm2HJfxQ-qVlJlJQ25Hne1d0khsySbZyGtPA/edit?usp=sharing"",""ระนอง!N364"")+IMPORTRANGE(""https://docs.google.com/spreadsheets/d/"&amp;"1IbSCnFOKpZsnFogBHJnL_isstZVaOMnFiIN0fGTPZZw/edit?usp=sharing"",""สงขลา!N364"")+IMPORTRANGE(""https://docs.google.com/spreadsheets/d/1q9nWasZJ-K8bFGvbE9n0qSRuKGA4Toe3Y89cKCiVtCU/edit?usp=sharing"",""สตูล!N364"")+IMPORTRANGE(""https://docs.google.com/sprea"&amp;"dsheets/d/18T20gbkS_WBjdscyTOV05cvq_JqvqQ17C81mpxf7Ncs/edit?usp=sharing"",""สุราษฎร์ธานี!N364"")"),0)</f>
        <v>0</v>
      </c>
      <c r="O364" s="47">
        <f t="shared" ca="1" si="267"/>
        <v>0</v>
      </c>
      <c r="P364" s="47">
        <f t="shared" ca="1" si="268"/>
        <v>0</v>
      </c>
      <c r="Q364" s="47">
        <f ca="1">IFERROR(__xludf.DUMMYFUNCTION("IMPORTRANGE(""https://docs.google.com/spreadsheets/d/1kKUcYdkIfrgTSj8iHHHB2MD2FAtwyyocFgqGQn6ADyI/edit?usp=sharing"",""กระบี่!Q364"")+IMPORTRANGE(""https://docs.google.com/spreadsheets/d/1GwtLaSlNZkLk7iDqcyZz22giiy40b_usZZBXYciEN1U/edit?usp=sharing"",""ชุ"&amp;"มพร!Q364"")+IMPORTRANGE(""https://docs.google.com/spreadsheets/d/16pAz3pOhQEZBhvFNMa5KGgZS6iKWpsKX0pg6tQmwFpo/edit?usp=sharing"",""ตรัง!Q364"")+IMPORTRANGE(""https://docs.google.com/spreadsheets/d/1Dj4jcHCTV9JXKCaMoheSXS52JE63kDKyG7bPXnFogHk/edit?usp=shar"&amp;"ing"",""นครศรีธรรมราช!Q364"")+IMPORTRANGE(""https://docs.google.com/spreadsheets/d/1iodCdmuK2GR3jzUwk8tpccY2JHQQA-87DLOtJP-ooyU/edit?usp=sharing"",""นราธิวาส!Q364"")+IMPORTRANGE(""https://docs.google.com/spreadsheets/d/1SDNX3JhDdYRuIOsj0Wh2M-Qa_eaXl0NbWmh"&amp;"AOTbfQAs/edit?usp=sharing"",""ปัตตานี!Q364"")+IMPORTRANGE(""https://docs.google.com/spreadsheets/d/16JDLGguT8s5DsGCND1KcwHP_AWR_zDMTqLHPLJUKhaU/edit?usp=sharing"",""พังงา!Q364"")+IMPORTRANGE(""https://docs.google.com/spreadsheets/d/17ht0gPKzzT3PObBL1XJkeR"&amp;"mntBXI7wGjpLV7QorqlTk/edit?usp=sharing"",""พัทลุง!Q364"")+IMPORTRANGE(""https://docs.google.com/spreadsheets/d/1rd4qoM1q_hsgaolqNGfrim9gbsoLxQsda4-vOz5x_BM/edit?usp=sharing"",""ภูเก็ต!Q364"")+IMPORTRANGE(""https://docs.google.com/spreadsheets/d/1woKwKjgoL"&amp;"ssDvPcPeVyezB5izizAn4X1JDrys69n6xI/edit?usp=sharing"",""ยะลา!Q364"")+IMPORTRANGE(""https://docs.google.com/spreadsheets/d/1qfrKjzMhm2HJfxQ-qVlJlJQ25Hne1d0khsySbZyGtPA/edit?usp=sharing"",""ระนอง!Q364"")+IMPORTRANGE(""https://docs.google.com/spreadsheets/d/"&amp;"1IbSCnFOKpZsnFogBHJnL_isstZVaOMnFiIN0fGTPZZw/edit?usp=sharing"",""สงขลา!Q364"")+IMPORTRANGE(""https://docs.google.com/spreadsheets/d/1q9nWasZJ-K8bFGvbE9n0qSRuKGA4Toe3Y89cKCiVtCU/edit?usp=sharing"",""สตูล!Q364"")+IMPORTRANGE(""https://docs.google.com/sprea"&amp;"dsheets/d/18T20gbkS_WBjdscyTOV05cvq_JqvqQ17C81mpxf7Ncs/edit?usp=sharing"",""สุราษฎร์ธานี!Q364"")"),0)</f>
        <v>0</v>
      </c>
      <c r="R364" s="47">
        <f ca="1">IFERROR(__xludf.DUMMYFUNCTION("IMPORTRANGE(""https://docs.google.com/spreadsheets/d/1kKUcYdkIfrgTSj8iHHHB2MD2FAtwyyocFgqGQn6ADyI/edit?usp=sharing"",""กระบี่!R364"")+IMPORTRANGE(""https://docs.google.com/spreadsheets/d/1GwtLaSlNZkLk7iDqcyZz22giiy40b_usZZBXYciEN1U/edit?usp=sharing"",""ชุ"&amp;"มพร!R364"")+IMPORTRANGE(""https://docs.google.com/spreadsheets/d/16pAz3pOhQEZBhvFNMa5KGgZS6iKWpsKX0pg6tQmwFpo/edit?usp=sharing"",""ตรัง!R364"")+IMPORTRANGE(""https://docs.google.com/spreadsheets/d/1Dj4jcHCTV9JXKCaMoheSXS52JE63kDKyG7bPXnFogHk/edit?usp=shar"&amp;"ing"",""นครศรีธรรมราช!R364"")+IMPORTRANGE(""https://docs.google.com/spreadsheets/d/1iodCdmuK2GR3jzUwk8tpccY2JHQQA-87DLOtJP-ooyU/edit?usp=sharing"",""นราธิวาส!R364"")+IMPORTRANGE(""https://docs.google.com/spreadsheets/d/1SDNX3JhDdYRuIOsj0Wh2M-Qa_eaXl0NbWmh"&amp;"AOTbfQAs/edit?usp=sharing"",""ปัตตานี!R364"")+IMPORTRANGE(""https://docs.google.com/spreadsheets/d/16JDLGguT8s5DsGCND1KcwHP_AWR_zDMTqLHPLJUKhaU/edit?usp=sharing"",""พังงา!R364"")+IMPORTRANGE(""https://docs.google.com/spreadsheets/d/17ht0gPKzzT3PObBL1XJkeR"&amp;"mntBXI7wGjpLV7QorqlTk/edit?usp=sharing"",""พัทลุง!R364"")+IMPORTRANGE(""https://docs.google.com/spreadsheets/d/1rd4qoM1q_hsgaolqNGfrim9gbsoLxQsda4-vOz5x_BM/edit?usp=sharing"",""ภูเก็ต!R364"")+IMPORTRANGE(""https://docs.google.com/spreadsheets/d/1woKwKjgoL"&amp;"ssDvPcPeVyezB5izizAn4X1JDrys69n6xI/edit?usp=sharing"",""ยะลา!R364"")+IMPORTRANGE(""https://docs.google.com/spreadsheets/d/1qfrKjzMhm2HJfxQ-qVlJlJQ25Hne1d0khsySbZyGtPA/edit?usp=sharing"",""ระนอง!R364"")+IMPORTRANGE(""https://docs.google.com/spreadsheets/d/"&amp;"1IbSCnFOKpZsnFogBHJnL_isstZVaOMnFiIN0fGTPZZw/edit?usp=sharing"",""สงขลา!R364"")+IMPORTRANGE(""https://docs.google.com/spreadsheets/d/1q9nWasZJ-K8bFGvbE9n0qSRuKGA4Toe3Y89cKCiVtCU/edit?usp=sharing"",""สตูล!R364"")+IMPORTRANGE(""https://docs.google.com/sprea"&amp;"dsheets/d/18T20gbkS_WBjdscyTOV05cvq_JqvqQ17C81mpxf7Ncs/edit?usp=sharing"",""สุราษฎร์ธานี!R364"")"),0)</f>
        <v>0</v>
      </c>
      <c r="S364" s="47">
        <f ca="1">IFERROR(__xludf.DUMMYFUNCTION("IMPORTRANGE(""https://docs.google.com/spreadsheets/d/1kKUcYdkIfrgTSj8iHHHB2MD2FAtwyyocFgqGQn6ADyI/edit?usp=sharing"",""กระบี่!S364"")+IMPORTRANGE(""https://docs.google.com/spreadsheets/d/1GwtLaSlNZkLk7iDqcyZz22giiy40b_usZZBXYciEN1U/edit?usp=sharing"",""ชุ"&amp;"มพร!S364"")+IMPORTRANGE(""https://docs.google.com/spreadsheets/d/16pAz3pOhQEZBhvFNMa5KGgZS6iKWpsKX0pg6tQmwFpo/edit?usp=sharing"",""ตรัง!S364"")+IMPORTRANGE(""https://docs.google.com/spreadsheets/d/1Dj4jcHCTV9JXKCaMoheSXS52JE63kDKyG7bPXnFogHk/edit?usp=shar"&amp;"ing"",""นครศรีธรรมราช!S364"")+IMPORTRANGE(""https://docs.google.com/spreadsheets/d/1iodCdmuK2GR3jzUwk8tpccY2JHQQA-87DLOtJP-ooyU/edit?usp=sharing"",""นราธิวาส!S364"")+IMPORTRANGE(""https://docs.google.com/spreadsheets/d/1SDNX3JhDdYRuIOsj0Wh2M-Qa_eaXl0NbWmh"&amp;"AOTbfQAs/edit?usp=sharing"",""ปัตตานี!S364"")+IMPORTRANGE(""https://docs.google.com/spreadsheets/d/16JDLGguT8s5DsGCND1KcwHP_AWR_zDMTqLHPLJUKhaU/edit?usp=sharing"",""พังงา!S364"")+IMPORTRANGE(""https://docs.google.com/spreadsheets/d/17ht0gPKzzT3PObBL1XJkeR"&amp;"mntBXI7wGjpLV7QorqlTk/edit?usp=sharing"",""พัทลุง!S364"")+IMPORTRANGE(""https://docs.google.com/spreadsheets/d/1rd4qoM1q_hsgaolqNGfrim9gbsoLxQsda4-vOz5x_BM/edit?usp=sharing"",""ภูเก็ต!S364"")+IMPORTRANGE(""https://docs.google.com/spreadsheets/d/1woKwKjgoL"&amp;"ssDvPcPeVyezB5izizAn4X1JDrys69n6xI/edit?usp=sharing"",""ยะลา!S364"")+IMPORTRANGE(""https://docs.google.com/spreadsheets/d/1qfrKjzMhm2HJfxQ-qVlJlJQ25Hne1d0khsySbZyGtPA/edit?usp=sharing"",""ระนอง!S364"")+IMPORTRANGE(""https://docs.google.com/spreadsheets/d/"&amp;"1IbSCnFOKpZsnFogBHJnL_isstZVaOMnFiIN0fGTPZZw/edit?usp=sharing"",""สงขลา!S364"")+IMPORTRANGE(""https://docs.google.com/spreadsheets/d/1q9nWasZJ-K8bFGvbE9n0qSRuKGA4Toe3Y89cKCiVtCU/edit?usp=sharing"",""สตูล!S364"")+IMPORTRANGE(""https://docs.google.com/sprea"&amp;"dsheets/d/18T20gbkS_WBjdscyTOV05cvq_JqvqQ17C81mpxf7Ncs/edit?usp=sharing"",""สุราษฎร์ธานี!S364"")"),0)</f>
        <v>0</v>
      </c>
      <c r="T364" s="47">
        <f t="shared" ca="1" si="270"/>
        <v>0</v>
      </c>
      <c r="U364" s="47">
        <f t="shared" ca="1" si="271"/>
        <v>0</v>
      </c>
    </row>
    <row r="365" spans="1:21" ht="19.5" x14ac:dyDescent="0.3">
      <c r="A365" s="222"/>
      <c r="B365" s="223"/>
      <c r="C365" s="225"/>
      <c r="D365" s="318" t="s">
        <v>149</v>
      </c>
      <c r="E365" s="225"/>
      <c r="F365" s="225"/>
      <c r="G365" s="226"/>
      <c r="H365" s="234" t="s">
        <v>35</v>
      </c>
      <c r="I365" s="228">
        <f t="shared" ref="I365:J365" ca="1" si="280">I371</f>
        <v>3951</v>
      </c>
      <c r="J365" s="228">
        <f t="shared" ca="1" si="280"/>
        <v>2727</v>
      </c>
      <c r="K365" s="229">
        <f ca="1">IF(I365&gt;0,J365*100/I365,0)</f>
        <v>69.02050113895217</v>
      </c>
      <c r="L365" s="230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129" t="s">
        <v>18</v>
      </c>
      <c r="D366" s="140" t="s">
        <v>38</v>
      </c>
      <c r="E366" s="141"/>
      <c r="F366" s="141"/>
      <c r="G366" s="142"/>
      <c r="H366" s="143"/>
      <c r="I366" s="45"/>
      <c r="J366" s="45"/>
      <c r="K366" s="46"/>
      <c r="L366" s="136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kKUcYdkIfrgTSj8iHHHB2MD2FAtwyyocFgqGQn6ADyI/edit?usp=sharing"",""กระบี่!J367"")+IMPORTRANGE(""https://docs.google.com/spreadsheets/d/1GwtLaSlNZkLk7iDqcyZz22giiy40b_usZZBXYciEN1U/edit?usp=sharing"",""ชุ"&amp;"มพร!J367"")+IMPORTRANGE(""https://docs.google.com/spreadsheets/d/16pAz3pOhQEZBhvFNMa5KGgZS6iKWpsKX0pg6tQmwFpo/edit?usp=sharing"",""ตรัง!J367"")+IMPORTRANGE(""https://docs.google.com/spreadsheets/d/1Dj4jcHCTV9JXKCaMoheSXS52JE63kDKyG7bPXnFogHk/edit?usp=shar"&amp;"ing"",""นครศรีธรรมราช!J367"")+IMPORTRANGE(""https://docs.google.com/spreadsheets/d/1iodCdmuK2GR3jzUwk8tpccY2JHQQA-87DLOtJP-ooyU/edit?usp=sharing"",""นราธิวาส!J367"")+IMPORTRANGE(""https://docs.google.com/spreadsheets/d/1SDNX3JhDdYRuIOsj0Wh2M-Qa_eaXl0NbWmh"&amp;"AOTbfQAs/edit?usp=sharing"",""ปัตตานี!J367"")+IMPORTRANGE(""https://docs.google.com/spreadsheets/d/16JDLGguT8s5DsGCND1KcwHP_AWR_zDMTqLHPLJUKhaU/edit?usp=sharing"",""พังงา!J367"")+IMPORTRANGE(""https://docs.google.com/spreadsheets/d/17ht0gPKzzT3PObBL1XJkeR"&amp;"mntBXI7wGjpLV7QorqlTk/edit?usp=sharing"",""พัทลุง!J367"")+IMPORTRANGE(""https://docs.google.com/spreadsheets/d/1rd4qoM1q_hsgaolqNGfrim9gbsoLxQsda4-vOz5x_BM/edit?usp=sharing"",""ภูเก็ต!J367"")+IMPORTRANGE(""https://docs.google.com/spreadsheets/d/1woKwKjgoL"&amp;"ssDvPcPeVyezB5izizAn4X1JDrys69n6xI/edit?usp=sharing"",""ยะลา!J367"")+IMPORTRANGE(""https://docs.google.com/spreadsheets/d/1qfrKjzMhm2HJfxQ-qVlJlJQ25Hne1d0khsySbZyGtPA/edit?usp=sharing"",""ระนอง!J367"")+IMPORTRANGE(""https://docs.google.com/spreadsheets/d/"&amp;"1IbSCnFOKpZsnFogBHJnL_isstZVaOMnFiIN0fGTPZZw/edit?usp=sharing"",""สงขลา!J367"")+IMPORTRANGE(""https://docs.google.com/spreadsheets/d/1q9nWasZJ-K8bFGvbE9n0qSRuKGA4Toe3Y89cKCiVtCU/edit?usp=sharing"",""สตูล!J367"")+IMPORTRANGE(""https://docs.google.com/sprea"&amp;"dsheets/d/18T20gbkS_WBjdscyTOV05cvq_JqvqQ17C81mpxf7Ncs/edit?usp=sharing"",""สุราษฎร์ธานี!J367"")"),1905)</f>
        <v>1905</v>
      </c>
      <c r="K367" s="47">
        <f t="shared" ref="K367:K372" si="281">IF(I367&gt;0,J367*100/I367,0)</f>
        <v>0</v>
      </c>
      <c r="L367" s="136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kKUcYdkIfrgTSj8iHHHB2MD2FAtwyyocFgqGQn6ADyI/edit?usp=sharing"",""กระบี่!I368"")+IMPORTRANGE(""https://docs.google.com/spreadsheets/d/1GwtLaSlNZkLk7iDqcyZz22giiy40b_usZZBXYciEN1U/edit?usp=sharing"",""ชุ"&amp;"มพร!I368"")+IMPORTRANGE(""https://docs.google.com/spreadsheets/d/16pAz3pOhQEZBhvFNMa5KGgZS6iKWpsKX0pg6tQmwFpo/edit?usp=sharing"",""ตรัง!I368"")+IMPORTRANGE(""https://docs.google.com/spreadsheets/d/1Dj4jcHCTV9JXKCaMoheSXS52JE63kDKyG7bPXnFogHk/edit?usp=shar"&amp;"ing"",""นครศรีธรรมราช!I368"")+IMPORTRANGE(""https://docs.google.com/spreadsheets/d/1iodCdmuK2GR3jzUwk8tpccY2JHQQA-87DLOtJP-ooyU/edit?usp=sharing"",""นราธิวาส!I368"")+IMPORTRANGE(""https://docs.google.com/spreadsheets/d/1SDNX3JhDdYRuIOsj0Wh2M-Qa_eaXl0NbWmh"&amp;"AOTbfQAs/edit?usp=sharing"",""ปัตตานี!I368"")+IMPORTRANGE(""https://docs.google.com/spreadsheets/d/16JDLGguT8s5DsGCND1KcwHP_AWR_zDMTqLHPLJUKhaU/edit?usp=sharing"",""พังงา!I368"")+IMPORTRANGE(""https://docs.google.com/spreadsheets/d/17ht0gPKzzT3PObBL1XJkeR"&amp;"mntBXI7wGjpLV7QorqlTk/edit?usp=sharing"",""พัทลุง!I368"")+IMPORTRANGE(""https://docs.google.com/spreadsheets/d/1rd4qoM1q_hsgaolqNGfrim9gbsoLxQsda4-vOz5x_BM/edit?usp=sharing"",""ภูเก็ต!I368"")+IMPORTRANGE(""https://docs.google.com/spreadsheets/d/1woKwKjgoL"&amp;"ssDvPcPeVyezB5izizAn4X1JDrys69n6xI/edit?usp=sharing"",""ยะลา!I368"")+IMPORTRANGE(""https://docs.google.com/spreadsheets/d/1qfrKjzMhm2HJfxQ-qVlJlJQ25Hne1d0khsySbZyGtPA/edit?usp=sharing"",""ระนอง!I368"")+IMPORTRANGE(""https://docs.google.com/spreadsheets/d/"&amp;"1IbSCnFOKpZsnFogBHJnL_isstZVaOMnFiIN0fGTPZZw/edit?usp=sharing"",""สงขลา!I368"")+IMPORTRANGE(""https://docs.google.com/spreadsheets/d/1q9nWasZJ-K8bFGvbE9n0qSRuKGA4Toe3Y89cKCiVtCU/edit?usp=sharing"",""สตูล!I368"")+IMPORTRANGE(""https://docs.google.com/sprea"&amp;"dsheets/d/18T20gbkS_WBjdscyTOV05cvq_JqvqQ17C81mpxf7Ncs/edit?usp=sharing"",""สุราษฎร์ธานี!I368"")"),13105)</f>
        <v>13105</v>
      </c>
      <c r="J368" s="152">
        <f ca="1">IFERROR(__xludf.DUMMYFUNCTION("IMPORTRANGE(""https://docs.google.com/spreadsheets/d/1kKUcYdkIfrgTSj8iHHHB2MD2FAtwyyocFgqGQn6ADyI/edit?usp=sharing"",""กระบี่!J368"")+IMPORTRANGE(""https://docs.google.com/spreadsheets/d/1GwtLaSlNZkLk7iDqcyZz22giiy40b_usZZBXYciEN1U/edit?usp=sharing"",""ชุ"&amp;"มพร!J368"")+IMPORTRANGE(""https://docs.google.com/spreadsheets/d/16pAz3pOhQEZBhvFNMa5KGgZS6iKWpsKX0pg6tQmwFpo/edit?usp=sharing"",""ตรัง!J368"")+IMPORTRANGE(""https://docs.google.com/spreadsheets/d/1Dj4jcHCTV9JXKCaMoheSXS52JE63kDKyG7bPXnFogHk/edit?usp=shar"&amp;"ing"",""นครศรีธรรมราช!J368"")+IMPORTRANGE(""https://docs.google.com/spreadsheets/d/1iodCdmuK2GR3jzUwk8tpccY2JHQQA-87DLOtJP-ooyU/edit?usp=sharing"",""นราธิวาส!J368"")+IMPORTRANGE(""https://docs.google.com/spreadsheets/d/1SDNX3JhDdYRuIOsj0Wh2M-Qa_eaXl0NbWmh"&amp;"AOTbfQAs/edit?usp=sharing"",""ปัตตานี!J368"")+IMPORTRANGE(""https://docs.google.com/spreadsheets/d/16JDLGguT8s5DsGCND1KcwHP_AWR_zDMTqLHPLJUKhaU/edit?usp=sharing"",""พังงา!J368"")+IMPORTRANGE(""https://docs.google.com/spreadsheets/d/17ht0gPKzzT3PObBL1XJkeR"&amp;"mntBXI7wGjpLV7QorqlTk/edit?usp=sharing"",""พัทลุง!J368"")+IMPORTRANGE(""https://docs.google.com/spreadsheets/d/1rd4qoM1q_hsgaolqNGfrim9gbsoLxQsda4-vOz5x_BM/edit?usp=sharing"",""ภูเก็ต!J368"")+IMPORTRANGE(""https://docs.google.com/spreadsheets/d/1woKwKjgoL"&amp;"ssDvPcPeVyezB5izizAn4X1JDrys69n6xI/edit?usp=sharing"",""ยะลา!J368"")+IMPORTRANGE(""https://docs.google.com/spreadsheets/d/1qfrKjzMhm2HJfxQ-qVlJlJQ25Hne1d0khsySbZyGtPA/edit?usp=sharing"",""ระนอง!J368"")+IMPORTRANGE(""https://docs.google.com/spreadsheets/d/"&amp;"1IbSCnFOKpZsnFogBHJnL_isstZVaOMnFiIN0fGTPZZw/edit?usp=sharing"",""สงขลา!J368"")+IMPORTRANGE(""https://docs.google.com/spreadsheets/d/1q9nWasZJ-K8bFGvbE9n0qSRuKGA4Toe3Y89cKCiVtCU/edit?usp=sharing"",""สตูล!J368"")+IMPORTRANGE(""https://docs.google.com/sprea"&amp;"dsheets/d/18T20gbkS_WBjdscyTOV05cvq_JqvqQ17C81mpxf7Ncs/edit?usp=sharing"",""สุราษฎร์ธานี!J368"")"),16616.3399999999)</f>
        <v>16616.339999999898</v>
      </c>
      <c r="K368" s="47">
        <f t="shared" ca="1" si="281"/>
        <v>126.7938954597474</v>
      </c>
      <c r="L368" s="136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kKUcYdkIfrgTSj8iHHHB2MD2FAtwyyocFgqGQn6ADyI/edit?usp=sharing"",""กระบี่!I369"")+IMPORTRANGE(""https://docs.google.com/spreadsheets/d/1GwtLaSlNZkLk7iDqcyZz22giiy40b_usZZBXYciEN1U/edit?usp=sharing"",""ชุ"&amp;"มพร!I369"")+IMPORTRANGE(""https://docs.google.com/spreadsheets/d/16pAz3pOhQEZBhvFNMa5KGgZS6iKWpsKX0pg6tQmwFpo/edit?usp=sharing"",""ตรัง!I369"")+IMPORTRANGE(""https://docs.google.com/spreadsheets/d/1Dj4jcHCTV9JXKCaMoheSXS52JE63kDKyG7bPXnFogHk/edit?usp=shar"&amp;"ing"",""นครศรีธรรมราช!I369"")+IMPORTRANGE(""https://docs.google.com/spreadsheets/d/1iodCdmuK2GR3jzUwk8tpccY2JHQQA-87DLOtJP-ooyU/edit?usp=sharing"",""นราธิวาส!I369"")+IMPORTRANGE(""https://docs.google.com/spreadsheets/d/1SDNX3JhDdYRuIOsj0Wh2M-Qa_eaXl0NbWmh"&amp;"AOTbfQAs/edit?usp=sharing"",""ปัตตานี!I369"")+IMPORTRANGE(""https://docs.google.com/spreadsheets/d/16JDLGguT8s5DsGCND1KcwHP_AWR_zDMTqLHPLJUKhaU/edit?usp=sharing"",""พังงา!I369"")+IMPORTRANGE(""https://docs.google.com/spreadsheets/d/17ht0gPKzzT3PObBL1XJkeR"&amp;"mntBXI7wGjpLV7QorqlTk/edit?usp=sharing"",""พัทลุง!I369"")+IMPORTRANGE(""https://docs.google.com/spreadsheets/d/1rd4qoM1q_hsgaolqNGfrim9gbsoLxQsda4-vOz5x_BM/edit?usp=sharing"",""ภูเก็ต!I369"")+IMPORTRANGE(""https://docs.google.com/spreadsheets/d/1woKwKjgoL"&amp;"ssDvPcPeVyezB5izizAn4X1JDrys69n6xI/edit?usp=sharing"",""ยะลา!I369"")+IMPORTRANGE(""https://docs.google.com/spreadsheets/d/1qfrKjzMhm2HJfxQ-qVlJlJQ25Hne1d0khsySbZyGtPA/edit?usp=sharing"",""ระนอง!I369"")+IMPORTRANGE(""https://docs.google.com/spreadsheets/d/"&amp;"1IbSCnFOKpZsnFogBHJnL_isstZVaOMnFiIN0fGTPZZw/edit?usp=sharing"",""สงขลา!I369"")+IMPORTRANGE(""https://docs.google.com/spreadsheets/d/1q9nWasZJ-K8bFGvbE9n0qSRuKGA4Toe3Y89cKCiVtCU/edit?usp=sharing"",""สตูล!I369"")+IMPORTRANGE(""https://docs.google.com/sprea"&amp;"dsheets/d/18T20gbkS_WBjdscyTOV05cvq_JqvqQ17C81mpxf7Ncs/edit?usp=sharing"",""สุราษฎร์ธานี!I369"")"),3951)</f>
        <v>3951</v>
      </c>
      <c r="J369" s="152">
        <f ca="1">IFERROR(__xludf.DUMMYFUNCTION("IMPORTRANGE(""https://docs.google.com/spreadsheets/d/1kKUcYdkIfrgTSj8iHHHB2MD2FAtwyyocFgqGQn6ADyI/edit?usp=sharing"",""กระบี่!J369"")+IMPORTRANGE(""https://docs.google.com/spreadsheets/d/1GwtLaSlNZkLk7iDqcyZz22giiy40b_usZZBXYciEN1U/edit?usp=sharing"",""ชุ"&amp;"มพร!J369"")+IMPORTRANGE(""https://docs.google.com/spreadsheets/d/16pAz3pOhQEZBhvFNMa5KGgZS6iKWpsKX0pg6tQmwFpo/edit?usp=sharing"",""ตรัง!J369"")+IMPORTRANGE(""https://docs.google.com/spreadsheets/d/1Dj4jcHCTV9JXKCaMoheSXS52JE63kDKyG7bPXnFogHk/edit?usp=shar"&amp;"ing"",""นครศรีธรรมราช!J369"")+IMPORTRANGE(""https://docs.google.com/spreadsheets/d/1iodCdmuK2GR3jzUwk8tpccY2JHQQA-87DLOtJP-ooyU/edit?usp=sharing"",""นราธิวาส!J369"")+IMPORTRANGE(""https://docs.google.com/spreadsheets/d/1SDNX3JhDdYRuIOsj0Wh2M-Qa_eaXl0NbWmh"&amp;"AOTbfQAs/edit?usp=sharing"",""ปัตตานี!J369"")+IMPORTRANGE(""https://docs.google.com/spreadsheets/d/16JDLGguT8s5DsGCND1KcwHP_AWR_zDMTqLHPLJUKhaU/edit?usp=sharing"",""พังงา!J369"")+IMPORTRANGE(""https://docs.google.com/spreadsheets/d/17ht0gPKzzT3PObBL1XJkeR"&amp;"mntBXI7wGjpLV7QorqlTk/edit?usp=sharing"",""พัทลุง!J369"")+IMPORTRANGE(""https://docs.google.com/spreadsheets/d/1rd4qoM1q_hsgaolqNGfrim9gbsoLxQsda4-vOz5x_BM/edit?usp=sharing"",""ภูเก็ต!J369"")+IMPORTRANGE(""https://docs.google.com/spreadsheets/d/1woKwKjgoL"&amp;"ssDvPcPeVyezB5izizAn4X1JDrys69n6xI/edit?usp=sharing"",""ยะลา!J369"")+IMPORTRANGE(""https://docs.google.com/spreadsheets/d/1qfrKjzMhm2HJfxQ-qVlJlJQ25Hne1d0khsySbZyGtPA/edit?usp=sharing"",""ระนอง!J369"")+IMPORTRANGE(""https://docs.google.com/spreadsheets/d/"&amp;"1IbSCnFOKpZsnFogBHJnL_isstZVaOMnFiIN0fGTPZZw/edit?usp=sharing"",""สงขลา!J369"")+IMPORTRANGE(""https://docs.google.com/spreadsheets/d/1q9nWasZJ-K8bFGvbE9n0qSRuKGA4Toe3Y89cKCiVtCU/edit?usp=sharing"",""สตูล!J369"")+IMPORTRANGE(""https://docs.google.com/sprea"&amp;"dsheets/d/18T20gbkS_WBjdscyTOV05cvq_JqvqQ17C81mpxf7Ncs/edit?usp=sharing"",""สุราษฎร์ธานี!J369"")"),3741)</f>
        <v>3741</v>
      </c>
      <c r="K369" s="47">
        <f t="shared" ca="1" si="281"/>
        <v>94.684889901290816</v>
      </c>
      <c r="L369" s="136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152">
        <f ca="1">IFERROR(__xludf.DUMMYFUNCTION("IMPORTRANGE(""https://docs.google.com/spreadsheets/d/1kKUcYdkIfrgTSj8iHHHB2MD2FAtwyyocFgqGQn6ADyI/edit?usp=sharing"",""กระบี่!J370"")+IMPORTRANGE(""https://docs.google.com/spreadsheets/d/1GwtLaSlNZkLk7iDqcyZz22giiy40b_usZZBXYciEN1U/edit?usp=sharing"",""ชุ"&amp;"มพร!J370"")+IMPORTRANGE(""https://docs.google.com/spreadsheets/d/16pAz3pOhQEZBhvFNMa5KGgZS6iKWpsKX0pg6tQmwFpo/edit?usp=sharing"",""ตรัง!J370"")+IMPORTRANGE(""https://docs.google.com/spreadsheets/d/1Dj4jcHCTV9JXKCaMoheSXS52JE63kDKyG7bPXnFogHk/edit?usp=shar"&amp;"ing"",""นครศรีธรรมราช!J370"")+IMPORTRANGE(""https://docs.google.com/spreadsheets/d/1iodCdmuK2GR3jzUwk8tpccY2JHQQA-87DLOtJP-ooyU/edit?usp=sharing"",""นราธิวาส!J370"")+IMPORTRANGE(""https://docs.google.com/spreadsheets/d/1SDNX3JhDdYRuIOsj0Wh2M-Qa_eaXl0NbWmh"&amp;"AOTbfQAs/edit?usp=sharing"",""ปัตตานี!J370"")+IMPORTRANGE(""https://docs.google.com/spreadsheets/d/16JDLGguT8s5DsGCND1KcwHP_AWR_zDMTqLHPLJUKhaU/edit?usp=sharing"",""พังงา!J370"")+IMPORTRANGE(""https://docs.google.com/spreadsheets/d/17ht0gPKzzT3PObBL1XJkeR"&amp;"mntBXI7wGjpLV7QorqlTk/edit?usp=sharing"",""พัทลุง!J370"")+IMPORTRANGE(""https://docs.google.com/spreadsheets/d/1rd4qoM1q_hsgaolqNGfrim9gbsoLxQsda4-vOz5x_BM/edit?usp=sharing"",""ภูเก็ต!J370"")+IMPORTRANGE(""https://docs.google.com/spreadsheets/d/1woKwKjgoL"&amp;"ssDvPcPeVyezB5izizAn4X1JDrys69n6xI/edit?usp=sharing"",""ยะลา!J370"")+IMPORTRANGE(""https://docs.google.com/spreadsheets/d/1qfrKjzMhm2HJfxQ-qVlJlJQ25Hne1d0khsySbZyGtPA/edit?usp=sharing"",""ระนอง!J370"")+IMPORTRANGE(""https://docs.google.com/spreadsheets/d/"&amp;"1IbSCnFOKpZsnFogBHJnL_isstZVaOMnFiIN0fGTPZZw/edit?usp=sharing"",""สงขลา!J370"")+IMPORTRANGE(""https://docs.google.com/spreadsheets/d/1q9nWasZJ-K8bFGvbE9n0qSRuKGA4Toe3Y89cKCiVtCU/edit?usp=sharing"",""สตูล!J370"")+IMPORTRANGE(""https://docs.google.com/sprea"&amp;"dsheets/d/18T20gbkS_WBjdscyTOV05cvq_JqvqQ17C81mpxf7Ncs/edit?usp=sharing"",""สุราษฎร์ธานี!J370"")"),43537.84)</f>
        <v>43537.84</v>
      </c>
      <c r="K370" s="47">
        <f t="shared" si="281"/>
        <v>0</v>
      </c>
      <c r="L370" s="136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kKUcYdkIfrgTSj8iHHHB2MD2FAtwyyocFgqGQn6ADyI/edit?usp=sharing"",""กระบี่!I371"")+IMPORTRANGE(""https://docs.google.com/spreadsheets/d/1GwtLaSlNZkLk7iDqcyZz22giiy40b_usZZBXYciEN1U/edit?usp=sharing"",""ชุ"&amp;"มพร!I371"")+IMPORTRANGE(""https://docs.google.com/spreadsheets/d/16pAz3pOhQEZBhvFNMa5KGgZS6iKWpsKX0pg6tQmwFpo/edit?usp=sharing"",""ตรัง!I371"")+IMPORTRANGE(""https://docs.google.com/spreadsheets/d/1Dj4jcHCTV9JXKCaMoheSXS52JE63kDKyG7bPXnFogHk/edit?usp=shar"&amp;"ing"",""นครศรีธรรมราช!I371"")+IMPORTRANGE(""https://docs.google.com/spreadsheets/d/1iodCdmuK2GR3jzUwk8tpccY2JHQQA-87DLOtJP-ooyU/edit?usp=sharing"",""นราธิวาส!I371"")+IMPORTRANGE(""https://docs.google.com/spreadsheets/d/1SDNX3JhDdYRuIOsj0Wh2M-Qa_eaXl0NbWmh"&amp;"AOTbfQAs/edit?usp=sharing"",""ปัตตานี!I371"")+IMPORTRANGE(""https://docs.google.com/spreadsheets/d/16JDLGguT8s5DsGCND1KcwHP_AWR_zDMTqLHPLJUKhaU/edit?usp=sharing"",""พังงา!I371"")+IMPORTRANGE(""https://docs.google.com/spreadsheets/d/17ht0gPKzzT3PObBL1XJkeR"&amp;"mntBXI7wGjpLV7QorqlTk/edit?usp=sharing"",""พัทลุง!I371"")+IMPORTRANGE(""https://docs.google.com/spreadsheets/d/1rd4qoM1q_hsgaolqNGfrim9gbsoLxQsda4-vOz5x_BM/edit?usp=sharing"",""ภูเก็ต!I371"")+IMPORTRANGE(""https://docs.google.com/spreadsheets/d/1woKwKjgoL"&amp;"ssDvPcPeVyezB5izizAn4X1JDrys69n6xI/edit?usp=sharing"",""ยะลา!I371"")+IMPORTRANGE(""https://docs.google.com/spreadsheets/d/1qfrKjzMhm2HJfxQ-qVlJlJQ25Hne1d0khsySbZyGtPA/edit?usp=sharing"",""ระนอง!I371"")+IMPORTRANGE(""https://docs.google.com/spreadsheets/d/"&amp;"1IbSCnFOKpZsnFogBHJnL_isstZVaOMnFiIN0fGTPZZw/edit?usp=sharing"",""สงขลา!I371"")+IMPORTRANGE(""https://docs.google.com/spreadsheets/d/1q9nWasZJ-K8bFGvbE9n0qSRuKGA4Toe3Y89cKCiVtCU/edit?usp=sharing"",""สตูล!I371"")+IMPORTRANGE(""https://docs.google.com/sprea"&amp;"dsheets/d/18T20gbkS_WBjdscyTOV05cvq_JqvqQ17C81mpxf7Ncs/edit?usp=sharing"",""สุราษฎร์ธานี!I371"")"),3951)</f>
        <v>3951</v>
      </c>
      <c r="J371" s="152">
        <f ca="1">IFERROR(__xludf.DUMMYFUNCTION("IMPORTRANGE(""https://docs.google.com/spreadsheets/d/1kKUcYdkIfrgTSj8iHHHB2MD2FAtwyyocFgqGQn6ADyI/edit?usp=sharing"",""กระบี่!J371"")+IMPORTRANGE(""https://docs.google.com/spreadsheets/d/1GwtLaSlNZkLk7iDqcyZz22giiy40b_usZZBXYciEN1U/edit?usp=sharing"",""ชุ"&amp;"มพร!J371"")+IMPORTRANGE(""https://docs.google.com/spreadsheets/d/16pAz3pOhQEZBhvFNMa5KGgZS6iKWpsKX0pg6tQmwFpo/edit?usp=sharing"",""ตรัง!J371"")+IMPORTRANGE(""https://docs.google.com/spreadsheets/d/1Dj4jcHCTV9JXKCaMoheSXS52JE63kDKyG7bPXnFogHk/edit?usp=shar"&amp;"ing"",""นครศรีธรรมราช!J371"")+IMPORTRANGE(""https://docs.google.com/spreadsheets/d/1iodCdmuK2GR3jzUwk8tpccY2JHQQA-87DLOtJP-ooyU/edit?usp=sharing"",""นราธิวาส!J371"")+IMPORTRANGE(""https://docs.google.com/spreadsheets/d/1SDNX3JhDdYRuIOsj0Wh2M-Qa_eaXl0NbWmh"&amp;"AOTbfQAs/edit?usp=sharing"",""ปัตตานี!J371"")+IMPORTRANGE(""https://docs.google.com/spreadsheets/d/16JDLGguT8s5DsGCND1KcwHP_AWR_zDMTqLHPLJUKhaU/edit?usp=sharing"",""พังงา!J371"")+IMPORTRANGE(""https://docs.google.com/spreadsheets/d/17ht0gPKzzT3PObBL1XJkeR"&amp;"mntBXI7wGjpLV7QorqlTk/edit?usp=sharing"",""พัทลุง!J371"")+IMPORTRANGE(""https://docs.google.com/spreadsheets/d/1rd4qoM1q_hsgaolqNGfrim9gbsoLxQsda4-vOz5x_BM/edit?usp=sharing"",""ภูเก็ต!J371"")+IMPORTRANGE(""https://docs.google.com/spreadsheets/d/1woKwKjgoL"&amp;"ssDvPcPeVyezB5izizAn4X1JDrys69n6xI/edit?usp=sharing"",""ยะลา!J371"")+IMPORTRANGE(""https://docs.google.com/spreadsheets/d/1qfrKjzMhm2HJfxQ-qVlJlJQ25Hne1d0khsySbZyGtPA/edit?usp=sharing"",""ระนอง!J371"")+IMPORTRANGE(""https://docs.google.com/spreadsheets/d/"&amp;"1IbSCnFOKpZsnFogBHJnL_isstZVaOMnFiIN0fGTPZZw/edit?usp=sharing"",""สงขลา!J371"")+IMPORTRANGE(""https://docs.google.com/spreadsheets/d/1q9nWasZJ-K8bFGvbE9n0qSRuKGA4Toe3Y89cKCiVtCU/edit?usp=sharing"",""สตูล!J371"")+IMPORTRANGE(""https://docs.google.com/sprea"&amp;"dsheets/d/18T20gbkS_WBjdscyTOV05cvq_JqvqQ17C81mpxf7Ncs/edit?usp=sharing"",""สุราษฎร์ธานี!J371"")"),2727)</f>
        <v>2727</v>
      </c>
      <c r="K371" s="47">
        <f t="shared" ca="1" si="281"/>
        <v>69.02050113895217</v>
      </c>
      <c r="L371" s="136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152">
        <f ca="1">IFERROR(__xludf.DUMMYFUNCTION("IMPORTRANGE(""https://docs.google.com/spreadsheets/d/1kKUcYdkIfrgTSj8iHHHB2MD2FAtwyyocFgqGQn6ADyI/edit?usp=sharing"",""กระบี่!J372"")+IMPORTRANGE(""https://docs.google.com/spreadsheets/d/1GwtLaSlNZkLk7iDqcyZz22giiy40b_usZZBXYciEN1U/edit?usp=sharing"",""ชุ"&amp;"มพร!J372"")+IMPORTRANGE(""https://docs.google.com/spreadsheets/d/16pAz3pOhQEZBhvFNMa5KGgZS6iKWpsKX0pg6tQmwFpo/edit?usp=sharing"",""ตรัง!J372"")+IMPORTRANGE(""https://docs.google.com/spreadsheets/d/1Dj4jcHCTV9JXKCaMoheSXS52JE63kDKyG7bPXnFogHk/edit?usp=shar"&amp;"ing"",""นครศรีธรรมราช!J372"")+IMPORTRANGE(""https://docs.google.com/spreadsheets/d/1iodCdmuK2GR3jzUwk8tpccY2JHQQA-87DLOtJP-ooyU/edit?usp=sharing"",""นราธิวาส!J372"")+IMPORTRANGE(""https://docs.google.com/spreadsheets/d/1SDNX3JhDdYRuIOsj0Wh2M-Qa_eaXl0NbWmh"&amp;"AOTbfQAs/edit?usp=sharing"",""ปัตตานี!J372"")+IMPORTRANGE(""https://docs.google.com/spreadsheets/d/16JDLGguT8s5DsGCND1KcwHP_AWR_zDMTqLHPLJUKhaU/edit?usp=sharing"",""พังงา!J372"")+IMPORTRANGE(""https://docs.google.com/spreadsheets/d/17ht0gPKzzT3PObBL1XJkeR"&amp;"mntBXI7wGjpLV7QorqlTk/edit?usp=sharing"",""พัทลุง!J372"")+IMPORTRANGE(""https://docs.google.com/spreadsheets/d/1rd4qoM1q_hsgaolqNGfrim9gbsoLxQsda4-vOz5x_BM/edit?usp=sharing"",""ภูเก็ต!J372"")+IMPORTRANGE(""https://docs.google.com/spreadsheets/d/1woKwKjgoL"&amp;"ssDvPcPeVyezB5izizAn4X1JDrys69n6xI/edit?usp=sharing"",""ยะลา!J372"")+IMPORTRANGE(""https://docs.google.com/spreadsheets/d/1qfrKjzMhm2HJfxQ-qVlJlJQ25Hne1d0khsySbZyGtPA/edit?usp=sharing"",""ระนอง!J372"")+IMPORTRANGE(""https://docs.google.com/spreadsheets/d/"&amp;"1IbSCnFOKpZsnFogBHJnL_isstZVaOMnFiIN0fGTPZZw/edit?usp=sharing"",""สงขลา!J372"")+IMPORTRANGE(""https://docs.google.com/spreadsheets/d/1q9nWasZJ-K8bFGvbE9n0qSRuKGA4Toe3Y89cKCiVtCU/edit?usp=sharing"",""สตูล!J372"")+IMPORTRANGE(""https://docs.google.com/sprea"&amp;"dsheets/d/18T20gbkS_WBjdscyTOV05cvq_JqvqQ17C81mpxf7Ncs/edit?usp=sharing"",""สุราษฎร์ธานี!J372"")"),33916.85)</f>
        <v>33916.85</v>
      </c>
      <c r="K372" s="47">
        <f t="shared" si="281"/>
        <v>0</v>
      </c>
      <c r="L372" s="136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313"/>
      <c r="B374" s="322" t="s">
        <v>153</v>
      </c>
      <c r="C374" s="314"/>
      <c r="D374" s="315"/>
      <c r="E374" s="307"/>
      <c r="F374" s="307"/>
      <c r="G374" s="308"/>
      <c r="H374" s="323" t="s">
        <v>46</v>
      </c>
      <c r="I374" s="310">
        <f ca="1">I385</f>
        <v>0</v>
      </c>
      <c r="J374" s="310">
        <f ca="1">J386+J388</f>
        <v>626</v>
      </c>
      <c r="K374" s="311">
        <f ca="1">IF(I374&gt;0,J374*100/I374,0)</f>
        <v>0</v>
      </c>
      <c r="L374" s="312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162" t="s">
        <v>18</v>
      </c>
      <c r="D375" s="324" t="s">
        <v>19</v>
      </c>
      <c r="E375" s="159"/>
      <c r="F375" s="159"/>
      <c r="G375" s="191"/>
      <c r="H375" s="131" t="s">
        <v>14</v>
      </c>
      <c r="I375" s="45"/>
      <c r="J375" s="45"/>
      <c r="K375" s="46"/>
      <c r="L375" s="132">
        <f t="shared" ref="L375:N375" ca="1" si="282">L376+L377</f>
        <v>220800</v>
      </c>
      <c r="M375" s="132">
        <f t="shared" ca="1" si="282"/>
        <v>220800</v>
      </c>
      <c r="N375" s="132">
        <f t="shared" ca="1" si="282"/>
        <v>255</v>
      </c>
      <c r="O375" s="132">
        <f t="shared" ref="O375:O383" ca="1" si="283">IF(L375&gt;0,N375*100/L375,0)</f>
        <v>0.11548913043478261</v>
      </c>
      <c r="P375" s="132">
        <f t="shared" ref="P375:P383" ca="1" si="284">IF(M375&gt;0,N375*100/M375,0)</f>
        <v>0.11548913043478261</v>
      </c>
      <c r="Q375" s="132">
        <f t="shared" ref="Q375:S375" ca="1" si="285">Q376+Q377</f>
        <v>618750</v>
      </c>
      <c r="R375" s="132">
        <f t="shared" ca="1" si="285"/>
        <v>533875</v>
      </c>
      <c r="S375" s="132">
        <f t="shared" ca="1" si="285"/>
        <v>74510</v>
      </c>
      <c r="T375" s="132">
        <f t="shared" ref="T375:T383" ca="1" si="286">IF(Q375&gt;0,S375*100/Q375,0)</f>
        <v>12.042020202020202</v>
      </c>
      <c r="U375" s="132">
        <f t="shared" ref="U375:U383" ca="1" si="287">IF(R375&gt;0,S375*100/R375,0)</f>
        <v>13.956450479981269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49">
        <f t="shared" ref="L376:N376" ca="1" si="288">L379+L382</f>
        <v>0</v>
      </c>
      <c r="M376" s="49">
        <f t="shared" ca="1" si="288"/>
        <v>0</v>
      </c>
      <c r="N376" s="49">
        <f t="shared" ca="1" si="288"/>
        <v>0</v>
      </c>
      <c r="O376" s="49">
        <f t="shared" ca="1" si="283"/>
        <v>0</v>
      </c>
      <c r="P376" s="49">
        <f t="shared" ca="1" si="284"/>
        <v>0</v>
      </c>
      <c r="Q376" s="49">
        <f t="shared" ref="Q376:S376" ca="1" si="289">Q379+Q382</f>
        <v>0</v>
      </c>
      <c r="R376" s="49">
        <f t="shared" ca="1" si="289"/>
        <v>0</v>
      </c>
      <c r="S376" s="49">
        <f t="shared" ca="1" si="289"/>
        <v>0</v>
      </c>
      <c r="T376" s="49">
        <f t="shared" ca="1" si="286"/>
        <v>0</v>
      </c>
      <c r="U376" s="49">
        <f t="shared" ca="1" si="287"/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47">
        <f t="shared" ref="L377:N377" ca="1" si="290">L380+L383</f>
        <v>220800</v>
      </c>
      <c r="M377" s="47">
        <f t="shared" ca="1" si="290"/>
        <v>220800</v>
      </c>
      <c r="N377" s="47">
        <f t="shared" ca="1" si="290"/>
        <v>255</v>
      </c>
      <c r="O377" s="47">
        <f t="shared" ca="1" si="283"/>
        <v>0.11548913043478261</v>
      </c>
      <c r="P377" s="47">
        <f t="shared" ca="1" si="284"/>
        <v>0.11548913043478261</v>
      </c>
      <c r="Q377" s="47">
        <f t="shared" ref="Q377:S377" ca="1" si="291">Q380+Q383</f>
        <v>618750</v>
      </c>
      <c r="R377" s="47">
        <f t="shared" ca="1" si="291"/>
        <v>533875</v>
      </c>
      <c r="S377" s="47">
        <f t="shared" ca="1" si="291"/>
        <v>74510</v>
      </c>
      <c r="T377" s="47">
        <f t="shared" ca="1" si="286"/>
        <v>12.042020202020202</v>
      </c>
      <c r="U377" s="47">
        <f t="shared" ca="1" si="287"/>
        <v>13.956450479981269</v>
      </c>
    </row>
    <row r="378" spans="1:21" ht="18.75" x14ac:dyDescent="0.25">
      <c r="A378" s="128"/>
      <c r="B378" s="159"/>
      <c r="C378" s="159"/>
      <c r="D378" s="161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47">
        <f t="shared" ref="L378:N378" ca="1" si="292">L379+L380</f>
        <v>220800</v>
      </c>
      <c r="M378" s="47">
        <f t="shared" ca="1" si="292"/>
        <v>220800</v>
      </c>
      <c r="N378" s="47">
        <f t="shared" ca="1" si="292"/>
        <v>255</v>
      </c>
      <c r="O378" s="47">
        <f t="shared" ca="1" si="283"/>
        <v>0.11548913043478261</v>
      </c>
      <c r="P378" s="47">
        <f t="shared" ca="1" si="284"/>
        <v>0.11548913043478261</v>
      </c>
      <c r="Q378" s="47">
        <f t="shared" ref="Q378:S378" ca="1" si="293">Q379+Q380</f>
        <v>618750</v>
      </c>
      <c r="R378" s="47">
        <f t="shared" ca="1" si="293"/>
        <v>533875</v>
      </c>
      <c r="S378" s="47">
        <f t="shared" ca="1" si="293"/>
        <v>74510</v>
      </c>
      <c r="T378" s="47">
        <f t="shared" ca="1" si="286"/>
        <v>12.042020202020202</v>
      </c>
      <c r="U378" s="47">
        <f t="shared" ca="1" si="287"/>
        <v>13.956450479981269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49">
        <f ca="1">IFERROR(__xludf.DUMMYFUNCTION("IMPORTRANGE(""https://docs.google.com/spreadsheets/d/1kKUcYdkIfrgTSj8iHHHB2MD2FAtwyyocFgqGQn6ADyI/edit?usp=sharing"",""กระบี่!L379"")+IMPORTRANGE(""https://docs.google.com/spreadsheets/d/1GwtLaSlNZkLk7iDqcyZz22giiy40b_usZZBXYciEN1U/edit?usp=sharing"",""ชุ"&amp;"มพร!L379"")+IMPORTRANGE(""https://docs.google.com/spreadsheets/d/16pAz3pOhQEZBhvFNMa5KGgZS6iKWpsKX0pg6tQmwFpo/edit?usp=sharing"",""ตรัง!L379"")+IMPORTRANGE(""https://docs.google.com/spreadsheets/d/1Dj4jcHCTV9JXKCaMoheSXS52JE63kDKyG7bPXnFogHk/edit?usp=shar"&amp;"ing"",""นครศรีธรรมราช!L379"")+IMPORTRANGE(""https://docs.google.com/spreadsheets/d/1iodCdmuK2GR3jzUwk8tpccY2JHQQA-87DLOtJP-ooyU/edit?usp=sharing"",""นราธิวาส!L379"")+IMPORTRANGE(""https://docs.google.com/spreadsheets/d/1SDNX3JhDdYRuIOsj0Wh2M-Qa_eaXl0NbWmh"&amp;"AOTbfQAs/edit?usp=sharing"",""ปัตตานี!L379"")+IMPORTRANGE(""https://docs.google.com/spreadsheets/d/16JDLGguT8s5DsGCND1KcwHP_AWR_zDMTqLHPLJUKhaU/edit?usp=sharing"",""พังงา!L379"")+IMPORTRANGE(""https://docs.google.com/spreadsheets/d/17ht0gPKzzT3PObBL1XJkeR"&amp;"mntBXI7wGjpLV7QorqlTk/edit?usp=sharing"",""พัทลุง!L379"")+IMPORTRANGE(""https://docs.google.com/spreadsheets/d/1rd4qoM1q_hsgaolqNGfrim9gbsoLxQsda4-vOz5x_BM/edit?usp=sharing"",""ภูเก็ต!L379"")+IMPORTRANGE(""https://docs.google.com/spreadsheets/d/1woKwKjgoL"&amp;"ssDvPcPeVyezB5izizAn4X1JDrys69n6xI/edit?usp=sharing"",""ยะลา!L379"")+IMPORTRANGE(""https://docs.google.com/spreadsheets/d/1qfrKjzMhm2HJfxQ-qVlJlJQ25Hne1d0khsySbZyGtPA/edit?usp=sharing"",""ระนอง!L379"")+IMPORTRANGE(""https://docs.google.com/spreadsheets/d/"&amp;"1IbSCnFOKpZsnFogBHJnL_isstZVaOMnFiIN0fGTPZZw/edit?usp=sharing"",""สงขลา!L379"")+IMPORTRANGE(""https://docs.google.com/spreadsheets/d/1q9nWasZJ-K8bFGvbE9n0qSRuKGA4Toe3Y89cKCiVtCU/edit?usp=sharing"",""สตูล!L379"")+IMPORTRANGE(""https://docs.google.com/sprea"&amp;"dsheets/d/18T20gbkS_WBjdscyTOV05cvq_JqvqQ17C81mpxf7Ncs/edit?usp=sharing"",""สุราษฎร์ธานี!L379"")"),0)</f>
        <v>0</v>
      </c>
      <c r="M379" s="49">
        <f ca="1">IFERROR(__xludf.DUMMYFUNCTION("IMPORTRANGE(""https://docs.google.com/spreadsheets/d/1kKUcYdkIfrgTSj8iHHHB2MD2FAtwyyocFgqGQn6ADyI/edit?usp=sharing"",""กระบี่!M379"")+IMPORTRANGE(""https://docs.google.com/spreadsheets/d/1GwtLaSlNZkLk7iDqcyZz22giiy40b_usZZBXYciEN1U/edit?usp=sharing"",""ชุ"&amp;"มพร!M379"")+IMPORTRANGE(""https://docs.google.com/spreadsheets/d/16pAz3pOhQEZBhvFNMa5KGgZS6iKWpsKX0pg6tQmwFpo/edit?usp=sharing"",""ตรัง!M379"")+IMPORTRANGE(""https://docs.google.com/spreadsheets/d/1Dj4jcHCTV9JXKCaMoheSXS52JE63kDKyG7bPXnFogHk/edit?usp=shar"&amp;"ing"",""นครศรีธรรมราช!M379"")+IMPORTRANGE(""https://docs.google.com/spreadsheets/d/1iodCdmuK2GR3jzUwk8tpccY2JHQQA-87DLOtJP-ooyU/edit?usp=sharing"",""นราธิวาส!M379"")+IMPORTRANGE(""https://docs.google.com/spreadsheets/d/1SDNX3JhDdYRuIOsj0Wh2M-Qa_eaXl0NbWmh"&amp;"AOTbfQAs/edit?usp=sharing"",""ปัตตานี!M379"")+IMPORTRANGE(""https://docs.google.com/spreadsheets/d/16JDLGguT8s5DsGCND1KcwHP_AWR_zDMTqLHPLJUKhaU/edit?usp=sharing"",""พังงา!M379"")+IMPORTRANGE(""https://docs.google.com/spreadsheets/d/17ht0gPKzzT3PObBL1XJkeR"&amp;"mntBXI7wGjpLV7QorqlTk/edit?usp=sharing"",""พัทลุง!M379"")+IMPORTRANGE(""https://docs.google.com/spreadsheets/d/1rd4qoM1q_hsgaolqNGfrim9gbsoLxQsda4-vOz5x_BM/edit?usp=sharing"",""ภูเก็ต!M379"")+IMPORTRANGE(""https://docs.google.com/spreadsheets/d/1woKwKjgoL"&amp;"ssDvPcPeVyezB5izizAn4X1JDrys69n6xI/edit?usp=sharing"",""ยะลา!M379"")+IMPORTRANGE(""https://docs.google.com/spreadsheets/d/1qfrKjzMhm2HJfxQ-qVlJlJQ25Hne1d0khsySbZyGtPA/edit?usp=sharing"",""ระนอง!M379"")+IMPORTRANGE(""https://docs.google.com/spreadsheets/d/"&amp;"1IbSCnFOKpZsnFogBHJnL_isstZVaOMnFiIN0fGTPZZw/edit?usp=sharing"",""สงขลา!M379"")+IMPORTRANGE(""https://docs.google.com/spreadsheets/d/1q9nWasZJ-K8bFGvbE9n0qSRuKGA4Toe3Y89cKCiVtCU/edit?usp=sharing"",""สตูล!M379"")+IMPORTRANGE(""https://docs.google.com/sprea"&amp;"dsheets/d/18T20gbkS_WBjdscyTOV05cvq_JqvqQ17C81mpxf7Ncs/edit?usp=sharing"",""สุราษฎร์ธานี!M379"")"),0)</f>
        <v>0</v>
      </c>
      <c r="N379" s="49">
        <f ca="1">IFERROR(__xludf.DUMMYFUNCTION("IMPORTRANGE(""https://docs.google.com/spreadsheets/d/1kKUcYdkIfrgTSj8iHHHB2MD2FAtwyyocFgqGQn6ADyI/edit?usp=sharing"",""กระบี่!N379"")+IMPORTRANGE(""https://docs.google.com/spreadsheets/d/1GwtLaSlNZkLk7iDqcyZz22giiy40b_usZZBXYciEN1U/edit?usp=sharing"",""ชุ"&amp;"มพร!N379"")+IMPORTRANGE(""https://docs.google.com/spreadsheets/d/16pAz3pOhQEZBhvFNMa5KGgZS6iKWpsKX0pg6tQmwFpo/edit?usp=sharing"",""ตรัง!N379"")+IMPORTRANGE(""https://docs.google.com/spreadsheets/d/1Dj4jcHCTV9JXKCaMoheSXS52JE63kDKyG7bPXnFogHk/edit?usp=shar"&amp;"ing"",""นครศรีธรรมราช!N379"")+IMPORTRANGE(""https://docs.google.com/spreadsheets/d/1iodCdmuK2GR3jzUwk8tpccY2JHQQA-87DLOtJP-ooyU/edit?usp=sharing"",""นราธิวาส!N379"")+IMPORTRANGE(""https://docs.google.com/spreadsheets/d/1SDNX3JhDdYRuIOsj0Wh2M-Qa_eaXl0NbWmh"&amp;"AOTbfQAs/edit?usp=sharing"",""ปัตตานี!N379"")+IMPORTRANGE(""https://docs.google.com/spreadsheets/d/16JDLGguT8s5DsGCND1KcwHP_AWR_zDMTqLHPLJUKhaU/edit?usp=sharing"",""พังงา!N379"")+IMPORTRANGE(""https://docs.google.com/spreadsheets/d/17ht0gPKzzT3PObBL1XJkeR"&amp;"mntBXI7wGjpLV7QorqlTk/edit?usp=sharing"",""พัทลุง!N379"")+IMPORTRANGE(""https://docs.google.com/spreadsheets/d/1rd4qoM1q_hsgaolqNGfrim9gbsoLxQsda4-vOz5x_BM/edit?usp=sharing"",""ภูเก็ต!N379"")+IMPORTRANGE(""https://docs.google.com/spreadsheets/d/1woKwKjgoL"&amp;"ssDvPcPeVyezB5izizAn4X1JDrys69n6xI/edit?usp=sharing"",""ยะลา!N379"")+IMPORTRANGE(""https://docs.google.com/spreadsheets/d/1qfrKjzMhm2HJfxQ-qVlJlJQ25Hne1d0khsySbZyGtPA/edit?usp=sharing"",""ระนอง!N379"")+IMPORTRANGE(""https://docs.google.com/spreadsheets/d/"&amp;"1IbSCnFOKpZsnFogBHJnL_isstZVaOMnFiIN0fGTPZZw/edit?usp=sharing"",""สงขลา!N379"")+IMPORTRANGE(""https://docs.google.com/spreadsheets/d/1q9nWasZJ-K8bFGvbE9n0qSRuKGA4Toe3Y89cKCiVtCU/edit?usp=sharing"",""สตูล!N379"")+IMPORTRANGE(""https://docs.google.com/sprea"&amp;"dsheets/d/18T20gbkS_WBjdscyTOV05cvq_JqvqQ17C81mpxf7Ncs/edit?usp=sharing"",""สุราษฎร์ธานี!N379"")"),0)</f>
        <v>0</v>
      </c>
      <c r="O379" s="49">
        <f t="shared" ca="1" si="283"/>
        <v>0</v>
      </c>
      <c r="P379" s="49">
        <f t="shared" ca="1" si="284"/>
        <v>0</v>
      </c>
      <c r="Q379" s="49">
        <f ca="1">IFERROR(__xludf.DUMMYFUNCTION("IMPORTRANGE(""https://docs.google.com/spreadsheets/d/1kKUcYdkIfrgTSj8iHHHB2MD2FAtwyyocFgqGQn6ADyI/edit?usp=sharing"",""กระบี่!Q379"")+IMPORTRANGE(""https://docs.google.com/spreadsheets/d/1GwtLaSlNZkLk7iDqcyZz22giiy40b_usZZBXYciEN1U/edit?usp=sharing"",""ชุ"&amp;"มพร!Q379"")+IMPORTRANGE(""https://docs.google.com/spreadsheets/d/16pAz3pOhQEZBhvFNMa5KGgZS6iKWpsKX0pg6tQmwFpo/edit?usp=sharing"",""ตรัง!Q379"")+IMPORTRANGE(""https://docs.google.com/spreadsheets/d/1Dj4jcHCTV9JXKCaMoheSXS52JE63kDKyG7bPXnFogHk/edit?usp=shar"&amp;"ing"",""นครศรีธรรมราช!Q379"")+IMPORTRANGE(""https://docs.google.com/spreadsheets/d/1iodCdmuK2GR3jzUwk8tpccY2JHQQA-87DLOtJP-ooyU/edit?usp=sharing"",""นราธิวาส!Q379"")+IMPORTRANGE(""https://docs.google.com/spreadsheets/d/1SDNX3JhDdYRuIOsj0Wh2M-Qa_eaXl0NbWmh"&amp;"AOTbfQAs/edit?usp=sharing"",""ปัตตานี!Q379"")+IMPORTRANGE(""https://docs.google.com/spreadsheets/d/16JDLGguT8s5DsGCND1KcwHP_AWR_zDMTqLHPLJUKhaU/edit?usp=sharing"",""พังงา!Q379"")+IMPORTRANGE(""https://docs.google.com/spreadsheets/d/17ht0gPKzzT3PObBL1XJkeR"&amp;"mntBXI7wGjpLV7QorqlTk/edit?usp=sharing"",""พัทลุง!Q379"")+IMPORTRANGE(""https://docs.google.com/spreadsheets/d/1rd4qoM1q_hsgaolqNGfrim9gbsoLxQsda4-vOz5x_BM/edit?usp=sharing"",""ภูเก็ต!Q379"")+IMPORTRANGE(""https://docs.google.com/spreadsheets/d/1woKwKjgoL"&amp;"ssDvPcPeVyezB5izizAn4X1JDrys69n6xI/edit?usp=sharing"",""ยะลา!Q379"")+IMPORTRANGE(""https://docs.google.com/spreadsheets/d/1qfrKjzMhm2HJfxQ-qVlJlJQ25Hne1d0khsySbZyGtPA/edit?usp=sharing"",""ระนอง!Q379"")+IMPORTRANGE(""https://docs.google.com/spreadsheets/d/"&amp;"1IbSCnFOKpZsnFogBHJnL_isstZVaOMnFiIN0fGTPZZw/edit?usp=sharing"",""สงขลา!Q379"")+IMPORTRANGE(""https://docs.google.com/spreadsheets/d/1q9nWasZJ-K8bFGvbE9n0qSRuKGA4Toe3Y89cKCiVtCU/edit?usp=sharing"",""สตูล!Q379"")+IMPORTRANGE(""https://docs.google.com/sprea"&amp;"dsheets/d/18T20gbkS_WBjdscyTOV05cvq_JqvqQ17C81mpxf7Ncs/edit?usp=sharing"",""สุราษฎร์ธานี!Q379"")"),0)</f>
        <v>0</v>
      </c>
      <c r="R379" s="49">
        <f ca="1">IFERROR(__xludf.DUMMYFUNCTION("IMPORTRANGE(""https://docs.google.com/spreadsheets/d/1kKUcYdkIfrgTSj8iHHHB2MD2FAtwyyocFgqGQn6ADyI/edit?usp=sharing"",""กระบี่!R379"")+IMPORTRANGE(""https://docs.google.com/spreadsheets/d/1GwtLaSlNZkLk7iDqcyZz22giiy40b_usZZBXYciEN1U/edit?usp=sharing"",""ชุ"&amp;"มพร!R379"")+IMPORTRANGE(""https://docs.google.com/spreadsheets/d/16pAz3pOhQEZBhvFNMa5KGgZS6iKWpsKX0pg6tQmwFpo/edit?usp=sharing"",""ตรัง!R379"")+IMPORTRANGE(""https://docs.google.com/spreadsheets/d/1Dj4jcHCTV9JXKCaMoheSXS52JE63kDKyG7bPXnFogHk/edit?usp=shar"&amp;"ing"",""นครศรีธรรมราช!R379"")+IMPORTRANGE(""https://docs.google.com/spreadsheets/d/1iodCdmuK2GR3jzUwk8tpccY2JHQQA-87DLOtJP-ooyU/edit?usp=sharing"",""นราธิวาส!R379"")+IMPORTRANGE(""https://docs.google.com/spreadsheets/d/1SDNX3JhDdYRuIOsj0Wh2M-Qa_eaXl0NbWmh"&amp;"AOTbfQAs/edit?usp=sharing"",""ปัตตานี!R379"")+IMPORTRANGE(""https://docs.google.com/spreadsheets/d/16JDLGguT8s5DsGCND1KcwHP_AWR_zDMTqLHPLJUKhaU/edit?usp=sharing"",""พังงา!R379"")+IMPORTRANGE(""https://docs.google.com/spreadsheets/d/17ht0gPKzzT3PObBL1XJkeR"&amp;"mntBXI7wGjpLV7QorqlTk/edit?usp=sharing"",""พัทลุง!R379"")+IMPORTRANGE(""https://docs.google.com/spreadsheets/d/1rd4qoM1q_hsgaolqNGfrim9gbsoLxQsda4-vOz5x_BM/edit?usp=sharing"",""ภูเก็ต!R379"")+IMPORTRANGE(""https://docs.google.com/spreadsheets/d/1woKwKjgoL"&amp;"ssDvPcPeVyezB5izizAn4X1JDrys69n6xI/edit?usp=sharing"",""ยะลา!R379"")+IMPORTRANGE(""https://docs.google.com/spreadsheets/d/1qfrKjzMhm2HJfxQ-qVlJlJQ25Hne1d0khsySbZyGtPA/edit?usp=sharing"",""ระนอง!R379"")+IMPORTRANGE(""https://docs.google.com/spreadsheets/d/"&amp;"1IbSCnFOKpZsnFogBHJnL_isstZVaOMnFiIN0fGTPZZw/edit?usp=sharing"",""สงขลา!R379"")+IMPORTRANGE(""https://docs.google.com/spreadsheets/d/1q9nWasZJ-K8bFGvbE9n0qSRuKGA4Toe3Y89cKCiVtCU/edit?usp=sharing"",""สตูล!R379"")+IMPORTRANGE(""https://docs.google.com/sprea"&amp;"dsheets/d/18T20gbkS_WBjdscyTOV05cvq_JqvqQ17C81mpxf7Ncs/edit?usp=sharing"",""สุราษฎร์ธานี!R379"")"),0)</f>
        <v>0</v>
      </c>
      <c r="S379" s="49">
        <f ca="1">IFERROR(__xludf.DUMMYFUNCTION("IMPORTRANGE(""https://docs.google.com/spreadsheets/d/1kKUcYdkIfrgTSj8iHHHB2MD2FAtwyyocFgqGQn6ADyI/edit?usp=sharing"",""กระบี่!S379"")+IMPORTRANGE(""https://docs.google.com/spreadsheets/d/1GwtLaSlNZkLk7iDqcyZz22giiy40b_usZZBXYciEN1U/edit?usp=sharing"",""ชุ"&amp;"มพร!S379"")+IMPORTRANGE(""https://docs.google.com/spreadsheets/d/16pAz3pOhQEZBhvFNMa5KGgZS6iKWpsKX0pg6tQmwFpo/edit?usp=sharing"",""ตรัง!S379"")+IMPORTRANGE(""https://docs.google.com/spreadsheets/d/1Dj4jcHCTV9JXKCaMoheSXS52JE63kDKyG7bPXnFogHk/edit?usp=shar"&amp;"ing"",""นครศรีธรรมราช!S379"")+IMPORTRANGE(""https://docs.google.com/spreadsheets/d/1iodCdmuK2GR3jzUwk8tpccY2JHQQA-87DLOtJP-ooyU/edit?usp=sharing"",""นราธิวาส!S379"")+IMPORTRANGE(""https://docs.google.com/spreadsheets/d/1SDNX3JhDdYRuIOsj0Wh2M-Qa_eaXl0NbWmh"&amp;"AOTbfQAs/edit?usp=sharing"",""ปัตตานี!S379"")+IMPORTRANGE(""https://docs.google.com/spreadsheets/d/16JDLGguT8s5DsGCND1KcwHP_AWR_zDMTqLHPLJUKhaU/edit?usp=sharing"",""พังงา!S379"")+IMPORTRANGE(""https://docs.google.com/spreadsheets/d/17ht0gPKzzT3PObBL1XJkeR"&amp;"mntBXI7wGjpLV7QorqlTk/edit?usp=sharing"",""พัทลุง!S379"")+IMPORTRANGE(""https://docs.google.com/spreadsheets/d/1rd4qoM1q_hsgaolqNGfrim9gbsoLxQsda4-vOz5x_BM/edit?usp=sharing"",""ภูเก็ต!S379"")+IMPORTRANGE(""https://docs.google.com/spreadsheets/d/1woKwKjgoL"&amp;"ssDvPcPeVyezB5izizAn4X1JDrys69n6xI/edit?usp=sharing"",""ยะลา!S379"")+IMPORTRANGE(""https://docs.google.com/spreadsheets/d/1qfrKjzMhm2HJfxQ-qVlJlJQ25Hne1d0khsySbZyGtPA/edit?usp=sharing"",""ระนอง!S379"")+IMPORTRANGE(""https://docs.google.com/spreadsheets/d/"&amp;"1IbSCnFOKpZsnFogBHJnL_isstZVaOMnFiIN0fGTPZZw/edit?usp=sharing"",""สงขลา!S379"")+IMPORTRANGE(""https://docs.google.com/spreadsheets/d/1q9nWasZJ-K8bFGvbE9n0qSRuKGA4Toe3Y89cKCiVtCU/edit?usp=sharing"",""สตูล!S379"")+IMPORTRANGE(""https://docs.google.com/sprea"&amp;"dsheets/d/18T20gbkS_WBjdscyTOV05cvq_JqvqQ17C81mpxf7Ncs/edit?usp=sharing"",""สุราษฎร์ธานี!S379"")"),0)</f>
        <v>0</v>
      </c>
      <c r="T379" s="49">
        <f t="shared" ca="1" si="286"/>
        <v>0</v>
      </c>
      <c r="U379" s="49">
        <f t="shared" ca="1" si="287"/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47">
        <f ca="1">IFERROR(__xludf.DUMMYFUNCTION("IMPORTRANGE(""https://docs.google.com/spreadsheets/d/1kKUcYdkIfrgTSj8iHHHB2MD2FAtwyyocFgqGQn6ADyI/edit?usp=sharing"",""กระบี่!L380"")+IMPORTRANGE(""https://docs.google.com/spreadsheets/d/1GwtLaSlNZkLk7iDqcyZz22giiy40b_usZZBXYciEN1U/edit?usp=sharing"",""ชุ"&amp;"มพร!L380"")+IMPORTRANGE(""https://docs.google.com/spreadsheets/d/16pAz3pOhQEZBhvFNMa5KGgZS6iKWpsKX0pg6tQmwFpo/edit?usp=sharing"",""ตรัง!L380"")+IMPORTRANGE(""https://docs.google.com/spreadsheets/d/1Dj4jcHCTV9JXKCaMoheSXS52JE63kDKyG7bPXnFogHk/edit?usp=shar"&amp;"ing"",""นครศรีธรรมราช!L380"")+IMPORTRANGE(""https://docs.google.com/spreadsheets/d/1iodCdmuK2GR3jzUwk8tpccY2JHQQA-87DLOtJP-ooyU/edit?usp=sharing"",""นราธิวาส!L380"")+IMPORTRANGE(""https://docs.google.com/spreadsheets/d/1SDNX3JhDdYRuIOsj0Wh2M-Qa_eaXl0NbWmh"&amp;"AOTbfQAs/edit?usp=sharing"",""ปัตตานี!L380"")+IMPORTRANGE(""https://docs.google.com/spreadsheets/d/16JDLGguT8s5DsGCND1KcwHP_AWR_zDMTqLHPLJUKhaU/edit?usp=sharing"",""พังงา!L380"")+IMPORTRANGE(""https://docs.google.com/spreadsheets/d/17ht0gPKzzT3PObBL1XJkeR"&amp;"mntBXI7wGjpLV7QorqlTk/edit?usp=sharing"",""พัทลุง!L380"")+IMPORTRANGE(""https://docs.google.com/spreadsheets/d/1rd4qoM1q_hsgaolqNGfrim9gbsoLxQsda4-vOz5x_BM/edit?usp=sharing"",""ภูเก็ต!L380"")+IMPORTRANGE(""https://docs.google.com/spreadsheets/d/1woKwKjgoL"&amp;"ssDvPcPeVyezB5izizAn4X1JDrys69n6xI/edit?usp=sharing"",""ยะลา!L380"")+IMPORTRANGE(""https://docs.google.com/spreadsheets/d/1qfrKjzMhm2HJfxQ-qVlJlJQ25Hne1d0khsySbZyGtPA/edit?usp=sharing"",""ระนอง!L380"")+IMPORTRANGE(""https://docs.google.com/spreadsheets/d/"&amp;"1IbSCnFOKpZsnFogBHJnL_isstZVaOMnFiIN0fGTPZZw/edit?usp=sharing"",""สงขลา!L380"")+IMPORTRANGE(""https://docs.google.com/spreadsheets/d/1q9nWasZJ-K8bFGvbE9n0qSRuKGA4Toe3Y89cKCiVtCU/edit?usp=sharing"",""สตูล!L380"")+IMPORTRANGE(""https://docs.google.com/sprea"&amp;"dsheets/d/18T20gbkS_WBjdscyTOV05cvq_JqvqQ17C81mpxf7Ncs/edit?usp=sharing"",""สุราษฎร์ธานี!L380"")"),220800)</f>
        <v>220800</v>
      </c>
      <c r="M380" s="47">
        <f ca="1">IFERROR(__xludf.DUMMYFUNCTION("IMPORTRANGE(""https://docs.google.com/spreadsheets/d/1kKUcYdkIfrgTSj8iHHHB2MD2FAtwyyocFgqGQn6ADyI/edit?usp=sharing"",""กระบี่!M380"")+IMPORTRANGE(""https://docs.google.com/spreadsheets/d/1GwtLaSlNZkLk7iDqcyZz22giiy40b_usZZBXYciEN1U/edit?usp=sharing"",""ชุ"&amp;"มพร!M380"")+IMPORTRANGE(""https://docs.google.com/spreadsheets/d/16pAz3pOhQEZBhvFNMa5KGgZS6iKWpsKX0pg6tQmwFpo/edit?usp=sharing"",""ตรัง!M380"")+IMPORTRANGE(""https://docs.google.com/spreadsheets/d/1Dj4jcHCTV9JXKCaMoheSXS52JE63kDKyG7bPXnFogHk/edit?usp=shar"&amp;"ing"",""นครศรีธรรมราช!M380"")+IMPORTRANGE(""https://docs.google.com/spreadsheets/d/1iodCdmuK2GR3jzUwk8tpccY2JHQQA-87DLOtJP-ooyU/edit?usp=sharing"",""นราธิวาส!M380"")+IMPORTRANGE(""https://docs.google.com/spreadsheets/d/1SDNX3JhDdYRuIOsj0Wh2M-Qa_eaXl0NbWmh"&amp;"AOTbfQAs/edit?usp=sharing"",""ปัตตานี!M380"")+IMPORTRANGE(""https://docs.google.com/spreadsheets/d/16JDLGguT8s5DsGCND1KcwHP_AWR_zDMTqLHPLJUKhaU/edit?usp=sharing"",""พังงา!M380"")+IMPORTRANGE(""https://docs.google.com/spreadsheets/d/17ht0gPKzzT3PObBL1XJkeR"&amp;"mntBXI7wGjpLV7QorqlTk/edit?usp=sharing"",""พัทลุง!M380"")+IMPORTRANGE(""https://docs.google.com/spreadsheets/d/1rd4qoM1q_hsgaolqNGfrim9gbsoLxQsda4-vOz5x_BM/edit?usp=sharing"",""ภูเก็ต!M380"")+IMPORTRANGE(""https://docs.google.com/spreadsheets/d/1woKwKjgoL"&amp;"ssDvPcPeVyezB5izizAn4X1JDrys69n6xI/edit?usp=sharing"",""ยะลา!M380"")+IMPORTRANGE(""https://docs.google.com/spreadsheets/d/1qfrKjzMhm2HJfxQ-qVlJlJQ25Hne1d0khsySbZyGtPA/edit?usp=sharing"",""ระนอง!M380"")+IMPORTRANGE(""https://docs.google.com/spreadsheets/d/"&amp;"1IbSCnFOKpZsnFogBHJnL_isstZVaOMnFiIN0fGTPZZw/edit?usp=sharing"",""สงขลา!M380"")+IMPORTRANGE(""https://docs.google.com/spreadsheets/d/1q9nWasZJ-K8bFGvbE9n0qSRuKGA4Toe3Y89cKCiVtCU/edit?usp=sharing"",""สตูล!M380"")+IMPORTRANGE(""https://docs.google.com/sprea"&amp;"dsheets/d/18T20gbkS_WBjdscyTOV05cvq_JqvqQ17C81mpxf7Ncs/edit?usp=sharing"",""สุราษฎร์ธานี!M380"")"),220800)</f>
        <v>220800</v>
      </c>
      <c r="N380" s="47">
        <f ca="1">IFERROR(__xludf.DUMMYFUNCTION("IMPORTRANGE(""https://docs.google.com/spreadsheets/d/1kKUcYdkIfrgTSj8iHHHB2MD2FAtwyyocFgqGQn6ADyI/edit?usp=sharing"",""กระบี่!N380"")+IMPORTRANGE(""https://docs.google.com/spreadsheets/d/1GwtLaSlNZkLk7iDqcyZz22giiy40b_usZZBXYciEN1U/edit?usp=sharing"",""ชุ"&amp;"มพร!N380"")+IMPORTRANGE(""https://docs.google.com/spreadsheets/d/16pAz3pOhQEZBhvFNMa5KGgZS6iKWpsKX0pg6tQmwFpo/edit?usp=sharing"",""ตรัง!N380"")+IMPORTRANGE(""https://docs.google.com/spreadsheets/d/1Dj4jcHCTV9JXKCaMoheSXS52JE63kDKyG7bPXnFogHk/edit?usp=shar"&amp;"ing"",""นครศรีธรรมราช!N380"")+IMPORTRANGE(""https://docs.google.com/spreadsheets/d/1iodCdmuK2GR3jzUwk8tpccY2JHQQA-87DLOtJP-ooyU/edit?usp=sharing"",""นราธิวาส!N380"")+IMPORTRANGE(""https://docs.google.com/spreadsheets/d/1SDNX3JhDdYRuIOsj0Wh2M-Qa_eaXl0NbWmh"&amp;"AOTbfQAs/edit?usp=sharing"",""ปัตตานี!N380"")+IMPORTRANGE(""https://docs.google.com/spreadsheets/d/16JDLGguT8s5DsGCND1KcwHP_AWR_zDMTqLHPLJUKhaU/edit?usp=sharing"",""พังงา!N380"")+IMPORTRANGE(""https://docs.google.com/spreadsheets/d/17ht0gPKzzT3PObBL1XJkeR"&amp;"mntBXI7wGjpLV7QorqlTk/edit?usp=sharing"",""พัทลุง!N380"")+IMPORTRANGE(""https://docs.google.com/spreadsheets/d/1rd4qoM1q_hsgaolqNGfrim9gbsoLxQsda4-vOz5x_BM/edit?usp=sharing"",""ภูเก็ต!N380"")+IMPORTRANGE(""https://docs.google.com/spreadsheets/d/1woKwKjgoL"&amp;"ssDvPcPeVyezB5izizAn4X1JDrys69n6xI/edit?usp=sharing"",""ยะลา!N380"")+IMPORTRANGE(""https://docs.google.com/spreadsheets/d/1qfrKjzMhm2HJfxQ-qVlJlJQ25Hne1d0khsySbZyGtPA/edit?usp=sharing"",""ระนอง!N380"")+IMPORTRANGE(""https://docs.google.com/spreadsheets/d/"&amp;"1IbSCnFOKpZsnFogBHJnL_isstZVaOMnFiIN0fGTPZZw/edit?usp=sharing"",""สงขลา!N380"")+IMPORTRANGE(""https://docs.google.com/spreadsheets/d/1q9nWasZJ-K8bFGvbE9n0qSRuKGA4Toe3Y89cKCiVtCU/edit?usp=sharing"",""สตูล!N380"")+IMPORTRANGE(""https://docs.google.com/sprea"&amp;"dsheets/d/18T20gbkS_WBjdscyTOV05cvq_JqvqQ17C81mpxf7Ncs/edit?usp=sharing"",""สุราษฎร์ธานี!N380"")"),255)</f>
        <v>255</v>
      </c>
      <c r="O380" s="47">
        <f t="shared" ca="1" si="283"/>
        <v>0.11548913043478261</v>
      </c>
      <c r="P380" s="47">
        <f t="shared" ca="1" si="284"/>
        <v>0.11548913043478261</v>
      </c>
      <c r="Q380" s="47">
        <f ca="1">IFERROR(__xludf.DUMMYFUNCTION("IMPORTRANGE(""https://docs.google.com/spreadsheets/d/1kKUcYdkIfrgTSj8iHHHB2MD2FAtwyyocFgqGQn6ADyI/edit?usp=sharing"",""กระบี่!Q380"")+IMPORTRANGE(""https://docs.google.com/spreadsheets/d/1GwtLaSlNZkLk7iDqcyZz22giiy40b_usZZBXYciEN1U/edit?usp=sharing"",""ชุ"&amp;"มพร!Q380"")+IMPORTRANGE(""https://docs.google.com/spreadsheets/d/16pAz3pOhQEZBhvFNMa5KGgZS6iKWpsKX0pg6tQmwFpo/edit?usp=sharing"",""ตรัง!Q380"")+IMPORTRANGE(""https://docs.google.com/spreadsheets/d/1Dj4jcHCTV9JXKCaMoheSXS52JE63kDKyG7bPXnFogHk/edit?usp=shar"&amp;"ing"",""นครศรีธรรมราช!Q380"")+IMPORTRANGE(""https://docs.google.com/spreadsheets/d/1iodCdmuK2GR3jzUwk8tpccY2JHQQA-87DLOtJP-ooyU/edit?usp=sharing"",""นราธิวาส!Q380"")+IMPORTRANGE(""https://docs.google.com/spreadsheets/d/1SDNX3JhDdYRuIOsj0Wh2M-Qa_eaXl0NbWmh"&amp;"AOTbfQAs/edit?usp=sharing"",""ปัตตานี!Q380"")+IMPORTRANGE(""https://docs.google.com/spreadsheets/d/16JDLGguT8s5DsGCND1KcwHP_AWR_zDMTqLHPLJUKhaU/edit?usp=sharing"",""พังงา!Q380"")+IMPORTRANGE(""https://docs.google.com/spreadsheets/d/17ht0gPKzzT3PObBL1XJkeR"&amp;"mntBXI7wGjpLV7QorqlTk/edit?usp=sharing"",""พัทลุง!Q380"")+IMPORTRANGE(""https://docs.google.com/spreadsheets/d/1rd4qoM1q_hsgaolqNGfrim9gbsoLxQsda4-vOz5x_BM/edit?usp=sharing"",""ภูเก็ต!Q380"")+IMPORTRANGE(""https://docs.google.com/spreadsheets/d/1woKwKjgoL"&amp;"ssDvPcPeVyezB5izizAn4X1JDrys69n6xI/edit?usp=sharing"",""ยะลา!Q380"")+IMPORTRANGE(""https://docs.google.com/spreadsheets/d/1qfrKjzMhm2HJfxQ-qVlJlJQ25Hne1d0khsySbZyGtPA/edit?usp=sharing"",""ระนอง!Q380"")+IMPORTRANGE(""https://docs.google.com/spreadsheets/d/"&amp;"1IbSCnFOKpZsnFogBHJnL_isstZVaOMnFiIN0fGTPZZw/edit?usp=sharing"",""สงขลา!Q380"")+IMPORTRANGE(""https://docs.google.com/spreadsheets/d/1q9nWasZJ-K8bFGvbE9n0qSRuKGA4Toe3Y89cKCiVtCU/edit?usp=sharing"",""สตูล!Q380"")+IMPORTRANGE(""https://docs.google.com/sprea"&amp;"dsheets/d/18T20gbkS_WBjdscyTOV05cvq_JqvqQ17C81mpxf7Ncs/edit?usp=sharing"",""สุราษฎร์ธานี!Q380"")"),618750)</f>
        <v>618750</v>
      </c>
      <c r="R380" s="47">
        <f ca="1">IFERROR(__xludf.DUMMYFUNCTION("IMPORTRANGE(""https://docs.google.com/spreadsheets/d/1kKUcYdkIfrgTSj8iHHHB2MD2FAtwyyocFgqGQn6ADyI/edit?usp=sharing"",""กระบี่!R380"")+IMPORTRANGE(""https://docs.google.com/spreadsheets/d/1GwtLaSlNZkLk7iDqcyZz22giiy40b_usZZBXYciEN1U/edit?usp=sharing"",""ชุ"&amp;"มพร!R380"")+IMPORTRANGE(""https://docs.google.com/spreadsheets/d/16pAz3pOhQEZBhvFNMa5KGgZS6iKWpsKX0pg6tQmwFpo/edit?usp=sharing"",""ตรัง!R380"")+IMPORTRANGE(""https://docs.google.com/spreadsheets/d/1Dj4jcHCTV9JXKCaMoheSXS52JE63kDKyG7bPXnFogHk/edit?usp=shar"&amp;"ing"",""นครศรีธรรมราช!R380"")+IMPORTRANGE(""https://docs.google.com/spreadsheets/d/1iodCdmuK2GR3jzUwk8tpccY2JHQQA-87DLOtJP-ooyU/edit?usp=sharing"",""นราธิวาส!R380"")+IMPORTRANGE(""https://docs.google.com/spreadsheets/d/1SDNX3JhDdYRuIOsj0Wh2M-Qa_eaXl0NbWmh"&amp;"AOTbfQAs/edit?usp=sharing"",""ปัตตานี!R380"")+IMPORTRANGE(""https://docs.google.com/spreadsheets/d/16JDLGguT8s5DsGCND1KcwHP_AWR_zDMTqLHPLJUKhaU/edit?usp=sharing"",""พังงา!R380"")+IMPORTRANGE(""https://docs.google.com/spreadsheets/d/17ht0gPKzzT3PObBL1XJkeR"&amp;"mntBXI7wGjpLV7QorqlTk/edit?usp=sharing"",""พัทลุง!R380"")+IMPORTRANGE(""https://docs.google.com/spreadsheets/d/1rd4qoM1q_hsgaolqNGfrim9gbsoLxQsda4-vOz5x_BM/edit?usp=sharing"",""ภูเก็ต!R380"")+IMPORTRANGE(""https://docs.google.com/spreadsheets/d/1woKwKjgoL"&amp;"ssDvPcPeVyezB5izizAn4X1JDrys69n6xI/edit?usp=sharing"",""ยะลา!R380"")+IMPORTRANGE(""https://docs.google.com/spreadsheets/d/1qfrKjzMhm2HJfxQ-qVlJlJQ25Hne1d0khsySbZyGtPA/edit?usp=sharing"",""ระนอง!R380"")+IMPORTRANGE(""https://docs.google.com/spreadsheets/d/"&amp;"1IbSCnFOKpZsnFogBHJnL_isstZVaOMnFiIN0fGTPZZw/edit?usp=sharing"",""สงขลา!R380"")+IMPORTRANGE(""https://docs.google.com/spreadsheets/d/1q9nWasZJ-K8bFGvbE9n0qSRuKGA4Toe3Y89cKCiVtCU/edit?usp=sharing"",""สตูล!R380"")+IMPORTRANGE(""https://docs.google.com/sprea"&amp;"dsheets/d/18T20gbkS_WBjdscyTOV05cvq_JqvqQ17C81mpxf7Ncs/edit?usp=sharing"",""สุราษฎร์ธานี!R380"")"),533875)</f>
        <v>533875</v>
      </c>
      <c r="S380" s="47">
        <f ca="1">IFERROR(__xludf.DUMMYFUNCTION("IMPORTRANGE(""https://docs.google.com/spreadsheets/d/1kKUcYdkIfrgTSj8iHHHB2MD2FAtwyyocFgqGQn6ADyI/edit?usp=sharing"",""กระบี่!S380"")+IMPORTRANGE(""https://docs.google.com/spreadsheets/d/1GwtLaSlNZkLk7iDqcyZz22giiy40b_usZZBXYciEN1U/edit?usp=sharing"",""ชุ"&amp;"มพร!S380"")+IMPORTRANGE(""https://docs.google.com/spreadsheets/d/16pAz3pOhQEZBhvFNMa5KGgZS6iKWpsKX0pg6tQmwFpo/edit?usp=sharing"",""ตรัง!S380"")+IMPORTRANGE(""https://docs.google.com/spreadsheets/d/1Dj4jcHCTV9JXKCaMoheSXS52JE63kDKyG7bPXnFogHk/edit?usp=shar"&amp;"ing"",""นครศรีธรรมราช!S380"")+IMPORTRANGE(""https://docs.google.com/spreadsheets/d/1iodCdmuK2GR3jzUwk8tpccY2JHQQA-87DLOtJP-ooyU/edit?usp=sharing"",""นราธิวาส!S380"")+IMPORTRANGE(""https://docs.google.com/spreadsheets/d/1SDNX3JhDdYRuIOsj0Wh2M-Qa_eaXl0NbWmh"&amp;"AOTbfQAs/edit?usp=sharing"",""ปัตตานี!S380"")+IMPORTRANGE(""https://docs.google.com/spreadsheets/d/16JDLGguT8s5DsGCND1KcwHP_AWR_zDMTqLHPLJUKhaU/edit?usp=sharing"",""พังงา!S380"")+IMPORTRANGE(""https://docs.google.com/spreadsheets/d/17ht0gPKzzT3PObBL1XJkeR"&amp;"mntBXI7wGjpLV7QorqlTk/edit?usp=sharing"",""พัทลุง!S380"")+IMPORTRANGE(""https://docs.google.com/spreadsheets/d/1rd4qoM1q_hsgaolqNGfrim9gbsoLxQsda4-vOz5x_BM/edit?usp=sharing"",""ภูเก็ต!S380"")+IMPORTRANGE(""https://docs.google.com/spreadsheets/d/1woKwKjgoL"&amp;"ssDvPcPeVyezB5izizAn4X1JDrys69n6xI/edit?usp=sharing"",""ยะลา!S380"")+IMPORTRANGE(""https://docs.google.com/spreadsheets/d/1qfrKjzMhm2HJfxQ-qVlJlJQ25Hne1d0khsySbZyGtPA/edit?usp=sharing"",""ระนอง!S380"")+IMPORTRANGE(""https://docs.google.com/spreadsheets/d/"&amp;"1IbSCnFOKpZsnFogBHJnL_isstZVaOMnFiIN0fGTPZZw/edit?usp=sharing"",""สงขลา!S380"")+IMPORTRANGE(""https://docs.google.com/spreadsheets/d/1q9nWasZJ-K8bFGvbE9n0qSRuKGA4Toe3Y89cKCiVtCU/edit?usp=sharing"",""สตูล!S380"")+IMPORTRANGE(""https://docs.google.com/sprea"&amp;"dsheets/d/18T20gbkS_WBjdscyTOV05cvq_JqvqQ17C81mpxf7Ncs/edit?usp=sharing"",""สุราษฎร์ธานี!S380"")"),74510)</f>
        <v>74510</v>
      </c>
      <c r="T380" s="47">
        <f t="shared" ca="1" si="286"/>
        <v>12.042020202020202</v>
      </c>
      <c r="U380" s="47">
        <f t="shared" ca="1" si="287"/>
        <v>13.956450479981269</v>
      </c>
    </row>
    <row r="381" spans="1:21" ht="18.75" x14ac:dyDescent="0.25">
      <c r="A381" s="128"/>
      <c r="B381" s="159"/>
      <c r="C381" s="159"/>
      <c r="D381" s="161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47">
        <f t="shared" ref="L381:N381" ca="1" si="294">L382+L383</f>
        <v>0</v>
      </c>
      <c r="M381" s="47">
        <f t="shared" ca="1" si="294"/>
        <v>0</v>
      </c>
      <c r="N381" s="47">
        <f t="shared" ca="1" si="294"/>
        <v>0</v>
      </c>
      <c r="O381" s="47">
        <f t="shared" ca="1" si="283"/>
        <v>0</v>
      </c>
      <c r="P381" s="47">
        <f t="shared" ca="1" si="284"/>
        <v>0</v>
      </c>
      <c r="Q381" s="47">
        <f t="shared" ref="Q381:S381" ca="1" si="295">Q382+Q383</f>
        <v>0</v>
      </c>
      <c r="R381" s="47">
        <f t="shared" ca="1" si="295"/>
        <v>0</v>
      </c>
      <c r="S381" s="47">
        <f t="shared" ca="1" si="295"/>
        <v>0</v>
      </c>
      <c r="T381" s="47">
        <f t="shared" ca="1" si="286"/>
        <v>0</v>
      </c>
      <c r="U381" s="47">
        <f t="shared" ca="1" si="287"/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49">
        <f ca="1">IFERROR(__xludf.DUMMYFUNCTION("IMPORTRANGE(""https://docs.google.com/spreadsheets/d/1kKUcYdkIfrgTSj8iHHHB2MD2FAtwyyocFgqGQn6ADyI/edit?usp=sharing"",""กระบี่!L382"")+IMPORTRANGE(""https://docs.google.com/spreadsheets/d/1GwtLaSlNZkLk7iDqcyZz22giiy40b_usZZBXYciEN1U/edit?usp=sharing"",""ชุ"&amp;"มพร!L382"")+IMPORTRANGE(""https://docs.google.com/spreadsheets/d/16pAz3pOhQEZBhvFNMa5KGgZS6iKWpsKX0pg6tQmwFpo/edit?usp=sharing"",""ตรัง!L382"")+IMPORTRANGE(""https://docs.google.com/spreadsheets/d/1Dj4jcHCTV9JXKCaMoheSXS52JE63kDKyG7bPXnFogHk/edit?usp=shar"&amp;"ing"",""นครศรีธรรมราช!L382"")+IMPORTRANGE(""https://docs.google.com/spreadsheets/d/1iodCdmuK2GR3jzUwk8tpccY2JHQQA-87DLOtJP-ooyU/edit?usp=sharing"",""นราธิวาส!L382"")+IMPORTRANGE(""https://docs.google.com/spreadsheets/d/1SDNX3JhDdYRuIOsj0Wh2M-Qa_eaXl0NbWmh"&amp;"AOTbfQAs/edit?usp=sharing"",""ปัตตานี!L382"")+IMPORTRANGE(""https://docs.google.com/spreadsheets/d/16JDLGguT8s5DsGCND1KcwHP_AWR_zDMTqLHPLJUKhaU/edit?usp=sharing"",""พังงา!L382"")+IMPORTRANGE(""https://docs.google.com/spreadsheets/d/17ht0gPKzzT3PObBL1XJkeR"&amp;"mntBXI7wGjpLV7QorqlTk/edit?usp=sharing"",""พัทลุง!L382"")+IMPORTRANGE(""https://docs.google.com/spreadsheets/d/1rd4qoM1q_hsgaolqNGfrim9gbsoLxQsda4-vOz5x_BM/edit?usp=sharing"",""ภูเก็ต!L382"")+IMPORTRANGE(""https://docs.google.com/spreadsheets/d/1woKwKjgoL"&amp;"ssDvPcPeVyezB5izizAn4X1JDrys69n6xI/edit?usp=sharing"",""ยะลา!L382"")+IMPORTRANGE(""https://docs.google.com/spreadsheets/d/1qfrKjzMhm2HJfxQ-qVlJlJQ25Hne1d0khsySbZyGtPA/edit?usp=sharing"",""ระนอง!L382"")+IMPORTRANGE(""https://docs.google.com/spreadsheets/d/"&amp;"1IbSCnFOKpZsnFogBHJnL_isstZVaOMnFiIN0fGTPZZw/edit?usp=sharing"",""สงขลา!L382"")+IMPORTRANGE(""https://docs.google.com/spreadsheets/d/1q9nWasZJ-K8bFGvbE9n0qSRuKGA4Toe3Y89cKCiVtCU/edit?usp=sharing"",""สตูล!L382"")+IMPORTRANGE(""https://docs.google.com/sprea"&amp;"dsheets/d/18T20gbkS_WBjdscyTOV05cvq_JqvqQ17C81mpxf7Ncs/edit?usp=sharing"",""สุราษฎร์ธานี!L382"")"),0)</f>
        <v>0</v>
      </c>
      <c r="M382" s="49">
        <f ca="1">IFERROR(__xludf.DUMMYFUNCTION("IMPORTRANGE(""https://docs.google.com/spreadsheets/d/1kKUcYdkIfrgTSj8iHHHB2MD2FAtwyyocFgqGQn6ADyI/edit?usp=sharing"",""กระบี่!M382"")+IMPORTRANGE(""https://docs.google.com/spreadsheets/d/1GwtLaSlNZkLk7iDqcyZz22giiy40b_usZZBXYciEN1U/edit?usp=sharing"",""ชุ"&amp;"มพร!M382"")+IMPORTRANGE(""https://docs.google.com/spreadsheets/d/16pAz3pOhQEZBhvFNMa5KGgZS6iKWpsKX0pg6tQmwFpo/edit?usp=sharing"",""ตรัง!M382"")+IMPORTRANGE(""https://docs.google.com/spreadsheets/d/1Dj4jcHCTV9JXKCaMoheSXS52JE63kDKyG7bPXnFogHk/edit?usp=shar"&amp;"ing"",""นครศรีธรรมราช!M382"")+IMPORTRANGE(""https://docs.google.com/spreadsheets/d/1iodCdmuK2GR3jzUwk8tpccY2JHQQA-87DLOtJP-ooyU/edit?usp=sharing"",""นราธิวาส!M382"")+IMPORTRANGE(""https://docs.google.com/spreadsheets/d/1SDNX3JhDdYRuIOsj0Wh2M-Qa_eaXl0NbWmh"&amp;"AOTbfQAs/edit?usp=sharing"",""ปัตตานี!M382"")+IMPORTRANGE(""https://docs.google.com/spreadsheets/d/16JDLGguT8s5DsGCND1KcwHP_AWR_zDMTqLHPLJUKhaU/edit?usp=sharing"",""พังงา!M382"")+IMPORTRANGE(""https://docs.google.com/spreadsheets/d/17ht0gPKzzT3PObBL1XJkeR"&amp;"mntBXI7wGjpLV7QorqlTk/edit?usp=sharing"",""พัทลุง!M382"")+IMPORTRANGE(""https://docs.google.com/spreadsheets/d/1rd4qoM1q_hsgaolqNGfrim9gbsoLxQsda4-vOz5x_BM/edit?usp=sharing"",""ภูเก็ต!M382"")+IMPORTRANGE(""https://docs.google.com/spreadsheets/d/1woKwKjgoL"&amp;"ssDvPcPeVyezB5izizAn4X1JDrys69n6xI/edit?usp=sharing"",""ยะลา!M382"")+IMPORTRANGE(""https://docs.google.com/spreadsheets/d/1qfrKjzMhm2HJfxQ-qVlJlJQ25Hne1d0khsySbZyGtPA/edit?usp=sharing"",""ระนอง!M382"")+IMPORTRANGE(""https://docs.google.com/spreadsheets/d/"&amp;"1IbSCnFOKpZsnFogBHJnL_isstZVaOMnFiIN0fGTPZZw/edit?usp=sharing"",""สงขลา!M382"")+IMPORTRANGE(""https://docs.google.com/spreadsheets/d/1q9nWasZJ-K8bFGvbE9n0qSRuKGA4Toe3Y89cKCiVtCU/edit?usp=sharing"",""สตูล!M382"")+IMPORTRANGE(""https://docs.google.com/sprea"&amp;"dsheets/d/18T20gbkS_WBjdscyTOV05cvq_JqvqQ17C81mpxf7Ncs/edit?usp=sharing"",""สุราษฎร์ธานี!M382"")"),0)</f>
        <v>0</v>
      </c>
      <c r="N382" s="49">
        <f ca="1">IFERROR(__xludf.DUMMYFUNCTION("IMPORTRANGE(""https://docs.google.com/spreadsheets/d/1kKUcYdkIfrgTSj8iHHHB2MD2FAtwyyocFgqGQn6ADyI/edit?usp=sharing"",""กระบี่!N382"")+IMPORTRANGE(""https://docs.google.com/spreadsheets/d/1GwtLaSlNZkLk7iDqcyZz22giiy40b_usZZBXYciEN1U/edit?usp=sharing"",""ชุ"&amp;"มพร!N382"")+IMPORTRANGE(""https://docs.google.com/spreadsheets/d/16pAz3pOhQEZBhvFNMa5KGgZS6iKWpsKX0pg6tQmwFpo/edit?usp=sharing"",""ตรัง!N382"")+IMPORTRANGE(""https://docs.google.com/spreadsheets/d/1Dj4jcHCTV9JXKCaMoheSXS52JE63kDKyG7bPXnFogHk/edit?usp=shar"&amp;"ing"",""นครศรีธรรมราช!N382"")+IMPORTRANGE(""https://docs.google.com/spreadsheets/d/1iodCdmuK2GR3jzUwk8tpccY2JHQQA-87DLOtJP-ooyU/edit?usp=sharing"",""นราธิวาส!N382"")+IMPORTRANGE(""https://docs.google.com/spreadsheets/d/1SDNX3JhDdYRuIOsj0Wh2M-Qa_eaXl0NbWmh"&amp;"AOTbfQAs/edit?usp=sharing"",""ปัตตานี!N382"")+IMPORTRANGE(""https://docs.google.com/spreadsheets/d/16JDLGguT8s5DsGCND1KcwHP_AWR_zDMTqLHPLJUKhaU/edit?usp=sharing"",""พังงา!N382"")+IMPORTRANGE(""https://docs.google.com/spreadsheets/d/17ht0gPKzzT3PObBL1XJkeR"&amp;"mntBXI7wGjpLV7QorqlTk/edit?usp=sharing"",""พัทลุง!N382"")+IMPORTRANGE(""https://docs.google.com/spreadsheets/d/1rd4qoM1q_hsgaolqNGfrim9gbsoLxQsda4-vOz5x_BM/edit?usp=sharing"",""ภูเก็ต!N382"")+IMPORTRANGE(""https://docs.google.com/spreadsheets/d/1woKwKjgoL"&amp;"ssDvPcPeVyezB5izizAn4X1JDrys69n6xI/edit?usp=sharing"",""ยะลา!N382"")+IMPORTRANGE(""https://docs.google.com/spreadsheets/d/1qfrKjzMhm2HJfxQ-qVlJlJQ25Hne1d0khsySbZyGtPA/edit?usp=sharing"",""ระนอง!N382"")+IMPORTRANGE(""https://docs.google.com/spreadsheets/d/"&amp;"1IbSCnFOKpZsnFogBHJnL_isstZVaOMnFiIN0fGTPZZw/edit?usp=sharing"",""สงขลา!N382"")+IMPORTRANGE(""https://docs.google.com/spreadsheets/d/1q9nWasZJ-K8bFGvbE9n0qSRuKGA4Toe3Y89cKCiVtCU/edit?usp=sharing"",""สตูล!N382"")+IMPORTRANGE(""https://docs.google.com/sprea"&amp;"dsheets/d/18T20gbkS_WBjdscyTOV05cvq_JqvqQ17C81mpxf7Ncs/edit?usp=sharing"",""สุราษฎร์ธานี!N382"")"),0)</f>
        <v>0</v>
      </c>
      <c r="O382" s="49">
        <f t="shared" ca="1" si="283"/>
        <v>0</v>
      </c>
      <c r="P382" s="49">
        <f t="shared" ca="1" si="284"/>
        <v>0</v>
      </c>
      <c r="Q382" s="49">
        <f ca="1">IFERROR(__xludf.DUMMYFUNCTION("IMPORTRANGE(""https://docs.google.com/spreadsheets/d/1kKUcYdkIfrgTSj8iHHHB2MD2FAtwyyocFgqGQn6ADyI/edit?usp=sharing"",""กระบี่!Q382"")+IMPORTRANGE(""https://docs.google.com/spreadsheets/d/1GwtLaSlNZkLk7iDqcyZz22giiy40b_usZZBXYciEN1U/edit?usp=sharing"",""ชุ"&amp;"มพร!Q382"")+IMPORTRANGE(""https://docs.google.com/spreadsheets/d/16pAz3pOhQEZBhvFNMa5KGgZS6iKWpsKX0pg6tQmwFpo/edit?usp=sharing"",""ตรัง!Q382"")+IMPORTRANGE(""https://docs.google.com/spreadsheets/d/1Dj4jcHCTV9JXKCaMoheSXS52JE63kDKyG7bPXnFogHk/edit?usp=shar"&amp;"ing"",""นครศรีธรรมราช!Q382"")+IMPORTRANGE(""https://docs.google.com/spreadsheets/d/1iodCdmuK2GR3jzUwk8tpccY2JHQQA-87DLOtJP-ooyU/edit?usp=sharing"",""นราธิวาส!Q382"")+IMPORTRANGE(""https://docs.google.com/spreadsheets/d/1SDNX3JhDdYRuIOsj0Wh2M-Qa_eaXl0NbWmh"&amp;"AOTbfQAs/edit?usp=sharing"",""ปัตตานี!Q382"")+IMPORTRANGE(""https://docs.google.com/spreadsheets/d/16JDLGguT8s5DsGCND1KcwHP_AWR_zDMTqLHPLJUKhaU/edit?usp=sharing"",""พังงา!Q382"")+IMPORTRANGE(""https://docs.google.com/spreadsheets/d/17ht0gPKzzT3PObBL1XJkeR"&amp;"mntBXI7wGjpLV7QorqlTk/edit?usp=sharing"",""พัทลุง!Q382"")+IMPORTRANGE(""https://docs.google.com/spreadsheets/d/1rd4qoM1q_hsgaolqNGfrim9gbsoLxQsda4-vOz5x_BM/edit?usp=sharing"",""ภูเก็ต!Q382"")+IMPORTRANGE(""https://docs.google.com/spreadsheets/d/1woKwKjgoL"&amp;"ssDvPcPeVyezB5izizAn4X1JDrys69n6xI/edit?usp=sharing"",""ยะลา!Q382"")+IMPORTRANGE(""https://docs.google.com/spreadsheets/d/1qfrKjzMhm2HJfxQ-qVlJlJQ25Hne1d0khsySbZyGtPA/edit?usp=sharing"",""ระนอง!Q382"")+IMPORTRANGE(""https://docs.google.com/spreadsheets/d/"&amp;"1IbSCnFOKpZsnFogBHJnL_isstZVaOMnFiIN0fGTPZZw/edit?usp=sharing"",""สงขลา!Q382"")+IMPORTRANGE(""https://docs.google.com/spreadsheets/d/1q9nWasZJ-K8bFGvbE9n0qSRuKGA4Toe3Y89cKCiVtCU/edit?usp=sharing"",""สตูล!Q382"")+IMPORTRANGE(""https://docs.google.com/sprea"&amp;"dsheets/d/18T20gbkS_WBjdscyTOV05cvq_JqvqQ17C81mpxf7Ncs/edit?usp=sharing"",""สุราษฎร์ธานี!Q382"")"),0)</f>
        <v>0</v>
      </c>
      <c r="R382" s="49">
        <f ca="1">IFERROR(__xludf.DUMMYFUNCTION("IMPORTRANGE(""https://docs.google.com/spreadsheets/d/1kKUcYdkIfrgTSj8iHHHB2MD2FAtwyyocFgqGQn6ADyI/edit?usp=sharing"",""กระบี่!R382"")+IMPORTRANGE(""https://docs.google.com/spreadsheets/d/1GwtLaSlNZkLk7iDqcyZz22giiy40b_usZZBXYciEN1U/edit?usp=sharing"",""ชุ"&amp;"มพร!R382"")+IMPORTRANGE(""https://docs.google.com/spreadsheets/d/16pAz3pOhQEZBhvFNMa5KGgZS6iKWpsKX0pg6tQmwFpo/edit?usp=sharing"",""ตรัง!R382"")+IMPORTRANGE(""https://docs.google.com/spreadsheets/d/1Dj4jcHCTV9JXKCaMoheSXS52JE63kDKyG7bPXnFogHk/edit?usp=shar"&amp;"ing"",""นครศรีธรรมราช!R382"")+IMPORTRANGE(""https://docs.google.com/spreadsheets/d/1iodCdmuK2GR3jzUwk8tpccY2JHQQA-87DLOtJP-ooyU/edit?usp=sharing"",""นราธิวาส!R382"")+IMPORTRANGE(""https://docs.google.com/spreadsheets/d/1SDNX3JhDdYRuIOsj0Wh2M-Qa_eaXl0NbWmh"&amp;"AOTbfQAs/edit?usp=sharing"",""ปัตตานี!R382"")+IMPORTRANGE(""https://docs.google.com/spreadsheets/d/16JDLGguT8s5DsGCND1KcwHP_AWR_zDMTqLHPLJUKhaU/edit?usp=sharing"",""พังงา!R382"")+IMPORTRANGE(""https://docs.google.com/spreadsheets/d/17ht0gPKzzT3PObBL1XJkeR"&amp;"mntBXI7wGjpLV7QorqlTk/edit?usp=sharing"",""พัทลุง!R382"")+IMPORTRANGE(""https://docs.google.com/spreadsheets/d/1rd4qoM1q_hsgaolqNGfrim9gbsoLxQsda4-vOz5x_BM/edit?usp=sharing"",""ภูเก็ต!R382"")+IMPORTRANGE(""https://docs.google.com/spreadsheets/d/1woKwKjgoL"&amp;"ssDvPcPeVyezB5izizAn4X1JDrys69n6xI/edit?usp=sharing"",""ยะลา!R382"")+IMPORTRANGE(""https://docs.google.com/spreadsheets/d/1qfrKjzMhm2HJfxQ-qVlJlJQ25Hne1d0khsySbZyGtPA/edit?usp=sharing"",""ระนอง!R382"")+IMPORTRANGE(""https://docs.google.com/spreadsheets/d/"&amp;"1IbSCnFOKpZsnFogBHJnL_isstZVaOMnFiIN0fGTPZZw/edit?usp=sharing"",""สงขลา!R382"")+IMPORTRANGE(""https://docs.google.com/spreadsheets/d/1q9nWasZJ-K8bFGvbE9n0qSRuKGA4Toe3Y89cKCiVtCU/edit?usp=sharing"",""สตูล!R382"")+IMPORTRANGE(""https://docs.google.com/sprea"&amp;"dsheets/d/18T20gbkS_WBjdscyTOV05cvq_JqvqQ17C81mpxf7Ncs/edit?usp=sharing"",""สุราษฎร์ธานี!R382"")"),0)</f>
        <v>0</v>
      </c>
      <c r="S382" s="49">
        <f ca="1">IFERROR(__xludf.DUMMYFUNCTION("IMPORTRANGE(""https://docs.google.com/spreadsheets/d/1kKUcYdkIfrgTSj8iHHHB2MD2FAtwyyocFgqGQn6ADyI/edit?usp=sharing"",""กระบี่!S382"")+IMPORTRANGE(""https://docs.google.com/spreadsheets/d/1GwtLaSlNZkLk7iDqcyZz22giiy40b_usZZBXYciEN1U/edit?usp=sharing"",""ชุ"&amp;"มพร!S382"")+IMPORTRANGE(""https://docs.google.com/spreadsheets/d/16pAz3pOhQEZBhvFNMa5KGgZS6iKWpsKX0pg6tQmwFpo/edit?usp=sharing"",""ตรัง!S382"")+IMPORTRANGE(""https://docs.google.com/spreadsheets/d/1Dj4jcHCTV9JXKCaMoheSXS52JE63kDKyG7bPXnFogHk/edit?usp=shar"&amp;"ing"",""นครศรีธรรมราช!S382"")+IMPORTRANGE(""https://docs.google.com/spreadsheets/d/1iodCdmuK2GR3jzUwk8tpccY2JHQQA-87DLOtJP-ooyU/edit?usp=sharing"",""นราธิวาส!S382"")+IMPORTRANGE(""https://docs.google.com/spreadsheets/d/1SDNX3JhDdYRuIOsj0Wh2M-Qa_eaXl0NbWmh"&amp;"AOTbfQAs/edit?usp=sharing"",""ปัตตานี!S382"")+IMPORTRANGE(""https://docs.google.com/spreadsheets/d/16JDLGguT8s5DsGCND1KcwHP_AWR_zDMTqLHPLJUKhaU/edit?usp=sharing"",""พังงา!S382"")+IMPORTRANGE(""https://docs.google.com/spreadsheets/d/17ht0gPKzzT3PObBL1XJkeR"&amp;"mntBXI7wGjpLV7QorqlTk/edit?usp=sharing"",""พัทลุง!S382"")+IMPORTRANGE(""https://docs.google.com/spreadsheets/d/1rd4qoM1q_hsgaolqNGfrim9gbsoLxQsda4-vOz5x_BM/edit?usp=sharing"",""ภูเก็ต!S382"")+IMPORTRANGE(""https://docs.google.com/spreadsheets/d/1woKwKjgoL"&amp;"ssDvPcPeVyezB5izizAn4X1JDrys69n6xI/edit?usp=sharing"",""ยะลา!S382"")+IMPORTRANGE(""https://docs.google.com/spreadsheets/d/1qfrKjzMhm2HJfxQ-qVlJlJQ25Hne1d0khsySbZyGtPA/edit?usp=sharing"",""ระนอง!S382"")+IMPORTRANGE(""https://docs.google.com/spreadsheets/d/"&amp;"1IbSCnFOKpZsnFogBHJnL_isstZVaOMnFiIN0fGTPZZw/edit?usp=sharing"",""สงขลา!S382"")+IMPORTRANGE(""https://docs.google.com/spreadsheets/d/1q9nWasZJ-K8bFGvbE9n0qSRuKGA4Toe3Y89cKCiVtCU/edit?usp=sharing"",""สตูล!S382"")+IMPORTRANGE(""https://docs.google.com/sprea"&amp;"dsheets/d/18T20gbkS_WBjdscyTOV05cvq_JqvqQ17C81mpxf7Ncs/edit?usp=sharing"",""สุราษฎร์ธานี!S382"")"),0)</f>
        <v>0</v>
      </c>
      <c r="T382" s="49">
        <f t="shared" ca="1" si="286"/>
        <v>0</v>
      </c>
      <c r="U382" s="49">
        <f t="shared" ca="1" si="287"/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47">
        <f ca="1">IFERROR(__xludf.DUMMYFUNCTION("IMPORTRANGE(""https://docs.google.com/spreadsheets/d/1kKUcYdkIfrgTSj8iHHHB2MD2FAtwyyocFgqGQn6ADyI/edit?usp=sharing"",""กระบี่!L383"")+IMPORTRANGE(""https://docs.google.com/spreadsheets/d/1GwtLaSlNZkLk7iDqcyZz22giiy40b_usZZBXYciEN1U/edit?usp=sharing"",""ชุ"&amp;"มพร!L383"")+IMPORTRANGE(""https://docs.google.com/spreadsheets/d/16pAz3pOhQEZBhvFNMa5KGgZS6iKWpsKX0pg6tQmwFpo/edit?usp=sharing"",""ตรัง!L383"")+IMPORTRANGE(""https://docs.google.com/spreadsheets/d/1Dj4jcHCTV9JXKCaMoheSXS52JE63kDKyG7bPXnFogHk/edit?usp=shar"&amp;"ing"",""นครศรีธรรมราช!L383"")+IMPORTRANGE(""https://docs.google.com/spreadsheets/d/1iodCdmuK2GR3jzUwk8tpccY2JHQQA-87DLOtJP-ooyU/edit?usp=sharing"",""นราธิวาส!L383"")+IMPORTRANGE(""https://docs.google.com/spreadsheets/d/1SDNX3JhDdYRuIOsj0Wh2M-Qa_eaXl0NbWmh"&amp;"AOTbfQAs/edit?usp=sharing"",""ปัตตานี!L383"")+IMPORTRANGE(""https://docs.google.com/spreadsheets/d/16JDLGguT8s5DsGCND1KcwHP_AWR_zDMTqLHPLJUKhaU/edit?usp=sharing"",""พังงา!L383"")+IMPORTRANGE(""https://docs.google.com/spreadsheets/d/17ht0gPKzzT3PObBL1XJkeR"&amp;"mntBXI7wGjpLV7QorqlTk/edit?usp=sharing"",""พัทลุง!L383"")+IMPORTRANGE(""https://docs.google.com/spreadsheets/d/1rd4qoM1q_hsgaolqNGfrim9gbsoLxQsda4-vOz5x_BM/edit?usp=sharing"",""ภูเก็ต!L383"")+IMPORTRANGE(""https://docs.google.com/spreadsheets/d/1woKwKjgoL"&amp;"ssDvPcPeVyezB5izizAn4X1JDrys69n6xI/edit?usp=sharing"",""ยะลา!L383"")+IMPORTRANGE(""https://docs.google.com/spreadsheets/d/1qfrKjzMhm2HJfxQ-qVlJlJQ25Hne1d0khsySbZyGtPA/edit?usp=sharing"",""ระนอง!L383"")+IMPORTRANGE(""https://docs.google.com/spreadsheets/d/"&amp;"1IbSCnFOKpZsnFogBHJnL_isstZVaOMnFiIN0fGTPZZw/edit?usp=sharing"",""สงขลา!L383"")+IMPORTRANGE(""https://docs.google.com/spreadsheets/d/1q9nWasZJ-K8bFGvbE9n0qSRuKGA4Toe3Y89cKCiVtCU/edit?usp=sharing"",""สตูล!L383"")+IMPORTRANGE(""https://docs.google.com/sprea"&amp;"dsheets/d/18T20gbkS_WBjdscyTOV05cvq_JqvqQ17C81mpxf7Ncs/edit?usp=sharing"",""สุราษฎร์ธานี!L383"")"),0)</f>
        <v>0</v>
      </c>
      <c r="M383" s="47">
        <f ca="1">IFERROR(__xludf.DUMMYFUNCTION("IMPORTRANGE(""https://docs.google.com/spreadsheets/d/1kKUcYdkIfrgTSj8iHHHB2MD2FAtwyyocFgqGQn6ADyI/edit?usp=sharing"",""กระบี่!M383"")+IMPORTRANGE(""https://docs.google.com/spreadsheets/d/1GwtLaSlNZkLk7iDqcyZz22giiy40b_usZZBXYciEN1U/edit?usp=sharing"",""ชุ"&amp;"มพร!M383"")+IMPORTRANGE(""https://docs.google.com/spreadsheets/d/16pAz3pOhQEZBhvFNMa5KGgZS6iKWpsKX0pg6tQmwFpo/edit?usp=sharing"",""ตรัง!M383"")+IMPORTRANGE(""https://docs.google.com/spreadsheets/d/1Dj4jcHCTV9JXKCaMoheSXS52JE63kDKyG7bPXnFogHk/edit?usp=shar"&amp;"ing"",""นครศรีธรรมราช!M383"")+IMPORTRANGE(""https://docs.google.com/spreadsheets/d/1iodCdmuK2GR3jzUwk8tpccY2JHQQA-87DLOtJP-ooyU/edit?usp=sharing"",""นราธิวาส!M383"")+IMPORTRANGE(""https://docs.google.com/spreadsheets/d/1SDNX3JhDdYRuIOsj0Wh2M-Qa_eaXl0NbWmh"&amp;"AOTbfQAs/edit?usp=sharing"",""ปัตตานี!M383"")+IMPORTRANGE(""https://docs.google.com/spreadsheets/d/16JDLGguT8s5DsGCND1KcwHP_AWR_zDMTqLHPLJUKhaU/edit?usp=sharing"",""พังงา!M383"")+IMPORTRANGE(""https://docs.google.com/spreadsheets/d/17ht0gPKzzT3PObBL1XJkeR"&amp;"mntBXI7wGjpLV7QorqlTk/edit?usp=sharing"",""พัทลุง!M383"")+IMPORTRANGE(""https://docs.google.com/spreadsheets/d/1rd4qoM1q_hsgaolqNGfrim9gbsoLxQsda4-vOz5x_BM/edit?usp=sharing"",""ภูเก็ต!M383"")+IMPORTRANGE(""https://docs.google.com/spreadsheets/d/1woKwKjgoL"&amp;"ssDvPcPeVyezB5izizAn4X1JDrys69n6xI/edit?usp=sharing"",""ยะลา!M383"")+IMPORTRANGE(""https://docs.google.com/spreadsheets/d/1qfrKjzMhm2HJfxQ-qVlJlJQ25Hne1d0khsySbZyGtPA/edit?usp=sharing"",""ระนอง!M383"")+IMPORTRANGE(""https://docs.google.com/spreadsheets/d/"&amp;"1IbSCnFOKpZsnFogBHJnL_isstZVaOMnFiIN0fGTPZZw/edit?usp=sharing"",""สงขลา!M383"")+IMPORTRANGE(""https://docs.google.com/spreadsheets/d/1q9nWasZJ-K8bFGvbE9n0qSRuKGA4Toe3Y89cKCiVtCU/edit?usp=sharing"",""สตูล!M383"")+IMPORTRANGE(""https://docs.google.com/sprea"&amp;"dsheets/d/18T20gbkS_WBjdscyTOV05cvq_JqvqQ17C81mpxf7Ncs/edit?usp=sharing"",""สุราษฎร์ธานี!M383"")"),0)</f>
        <v>0</v>
      </c>
      <c r="N383" s="47">
        <f ca="1">IFERROR(__xludf.DUMMYFUNCTION("IMPORTRANGE(""https://docs.google.com/spreadsheets/d/1kKUcYdkIfrgTSj8iHHHB2MD2FAtwyyocFgqGQn6ADyI/edit?usp=sharing"",""กระบี่!N383"")+IMPORTRANGE(""https://docs.google.com/spreadsheets/d/1GwtLaSlNZkLk7iDqcyZz22giiy40b_usZZBXYciEN1U/edit?usp=sharing"",""ชุ"&amp;"มพร!N383"")+IMPORTRANGE(""https://docs.google.com/spreadsheets/d/16pAz3pOhQEZBhvFNMa5KGgZS6iKWpsKX0pg6tQmwFpo/edit?usp=sharing"",""ตรัง!N383"")+IMPORTRANGE(""https://docs.google.com/spreadsheets/d/1Dj4jcHCTV9JXKCaMoheSXS52JE63kDKyG7bPXnFogHk/edit?usp=shar"&amp;"ing"",""นครศรีธรรมราช!N383"")+IMPORTRANGE(""https://docs.google.com/spreadsheets/d/1iodCdmuK2GR3jzUwk8tpccY2JHQQA-87DLOtJP-ooyU/edit?usp=sharing"",""นราธิวาส!N383"")+IMPORTRANGE(""https://docs.google.com/spreadsheets/d/1SDNX3JhDdYRuIOsj0Wh2M-Qa_eaXl0NbWmh"&amp;"AOTbfQAs/edit?usp=sharing"",""ปัตตานี!N383"")+IMPORTRANGE(""https://docs.google.com/spreadsheets/d/16JDLGguT8s5DsGCND1KcwHP_AWR_zDMTqLHPLJUKhaU/edit?usp=sharing"",""พังงา!N383"")+IMPORTRANGE(""https://docs.google.com/spreadsheets/d/17ht0gPKzzT3PObBL1XJkeR"&amp;"mntBXI7wGjpLV7QorqlTk/edit?usp=sharing"",""พัทลุง!N383"")+IMPORTRANGE(""https://docs.google.com/spreadsheets/d/1rd4qoM1q_hsgaolqNGfrim9gbsoLxQsda4-vOz5x_BM/edit?usp=sharing"",""ภูเก็ต!N383"")+IMPORTRANGE(""https://docs.google.com/spreadsheets/d/1woKwKjgoL"&amp;"ssDvPcPeVyezB5izizAn4X1JDrys69n6xI/edit?usp=sharing"",""ยะลา!N383"")+IMPORTRANGE(""https://docs.google.com/spreadsheets/d/1qfrKjzMhm2HJfxQ-qVlJlJQ25Hne1d0khsySbZyGtPA/edit?usp=sharing"",""ระนอง!N383"")+IMPORTRANGE(""https://docs.google.com/spreadsheets/d/"&amp;"1IbSCnFOKpZsnFogBHJnL_isstZVaOMnFiIN0fGTPZZw/edit?usp=sharing"",""สงขลา!N383"")+IMPORTRANGE(""https://docs.google.com/spreadsheets/d/1q9nWasZJ-K8bFGvbE9n0qSRuKGA4Toe3Y89cKCiVtCU/edit?usp=sharing"",""สตูล!N383"")+IMPORTRANGE(""https://docs.google.com/sprea"&amp;"dsheets/d/18T20gbkS_WBjdscyTOV05cvq_JqvqQ17C81mpxf7Ncs/edit?usp=sharing"",""สุราษฎร์ธานี!N383"")"),0)</f>
        <v>0</v>
      </c>
      <c r="O383" s="47">
        <f t="shared" ca="1" si="283"/>
        <v>0</v>
      </c>
      <c r="P383" s="47">
        <f t="shared" ca="1" si="284"/>
        <v>0</v>
      </c>
      <c r="Q383" s="47">
        <f ca="1">IFERROR(__xludf.DUMMYFUNCTION("IMPORTRANGE(""https://docs.google.com/spreadsheets/d/1kKUcYdkIfrgTSj8iHHHB2MD2FAtwyyocFgqGQn6ADyI/edit?usp=sharing"",""กระบี่!Q383"")+IMPORTRANGE(""https://docs.google.com/spreadsheets/d/1GwtLaSlNZkLk7iDqcyZz22giiy40b_usZZBXYciEN1U/edit?usp=sharing"",""ชุ"&amp;"มพร!Q383"")+IMPORTRANGE(""https://docs.google.com/spreadsheets/d/16pAz3pOhQEZBhvFNMa5KGgZS6iKWpsKX0pg6tQmwFpo/edit?usp=sharing"",""ตรัง!Q383"")+IMPORTRANGE(""https://docs.google.com/spreadsheets/d/1Dj4jcHCTV9JXKCaMoheSXS52JE63kDKyG7bPXnFogHk/edit?usp=shar"&amp;"ing"",""นครศรีธรรมราช!Q383"")+IMPORTRANGE(""https://docs.google.com/spreadsheets/d/1iodCdmuK2GR3jzUwk8tpccY2JHQQA-87DLOtJP-ooyU/edit?usp=sharing"",""นราธิวาส!Q383"")+IMPORTRANGE(""https://docs.google.com/spreadsheets/d/1SDNX3JhDdYRuIOsj0Wh2M-Qa_eaXl0NbWmh"&amp;"AOTbfQAs/edit?usp=sharing"",""ปัตตานี!Q383"")+IMPORTRANGE(""https://docs.google.com/spreadsheets/d/16JDLGguT8s5DsGCND1KcwHP_AWR_zDMTqLHPLJUKhaU/edit?usp=sharing"",""พังงา!Q383"")+IMPORTRANGE(""https://docs.google.com/spreadsheets/d/17ht0gPKzzT3PObBL1XJkeR"&amp;"mntBXI7wGjpLV7QorqlTk/edit?usp=sharing"",""พัทลุง!Q383"")+IMPORTRANGE(""https://docs.google.com/spreadsheets/d/1rd4qoM1q_hsgaolqNGfrim9gbsoLxQsda4-vOz5x_BM/edit?usp=sharing"",""ภูเก็ต!Q383"")+IMPORTRANGE(""https://docs.google.com/spreadsheets/d/1woKwKjgoL"&amp;"ssDvPcPeVyezB5izizAn4X1JDrys69n6xI/edit?usp=sharing"",""ยะลา!Q383"")+IMPORTRANGE(""https://docs.google.com/spreadsheets/d/1qfrKjzMhm2HJfxQ-qVlJlJQ25Hne1d0khsySbZyGtPA/edit?usp=sharing"",""ระนอง!Q383"")+IMPORTRANGE(""https://docs.google.com/spreadsheets/d/"&amp;"1IbSCnFOKpZsnFogBHJnL_isstZVaOMnFiIN0fGTPZZw/edit?usp=sharing"",""สงขลา!Q383"")+IMPORTRANGE(""https://docs.google.com/spreadsheets/d/1q9nWasZJ-K8bFGvbE9n0qSRuKGA4Toe3Y89cKCiVtCU/edit?usp=sharing"",""สตูล!Q383"")+IMPORTRANGE(""https://docs.google.com/sprea"&amp;"dsheets/d/18T20gbkS_WBjdscyTOV05cvq_JqvqQ17C81mpxf7Ncs/edit?usp=sharing"",""สุราษฎร์ธานี!Q383"")"),0)</f>
        <v>0</v>
      </c>
      <c r="R383" s="47">
        <f ca="1">IFERROR(__xludf.DUMMYFUNCTION("IMPORTRANGE(""https://docs.google.com/spreadsheets/d/1kKUcYdkIfrgTSj8iHHHB2MD2FAtwyyocFgqGQn6ADyI/edit?usp=sharing"",""กระบี่!R383"")+IMPORTRANGE(""https://docs.google.com/spreadsheets/d/1GwtLaSlNZkLk7iDqcyZz22giiy40b_usZZBXYciEN1U/edit?usp=sharing"",""ชุ"&amp;"มพร!R383"")+IMPORTRANGE(""https://docs.google.com/spreadsheets/d/16pAz3pOhQEZBhvFNMa5KGgZS6iKWpsKX0pg6tQmwFpo/edit?usp=sharing"",""ตรัง!R383"")+IMPORTRANGE(""https://docs.google.com/spreadsheets/d/1Dj4jcHCTV9JXKCaMoheSXS52JE63kDKyG7bPXnFogHk/edit?usp=shar"&amp;"ing"",""นครศรีธรรมราช!R383"")+IMPORTRANGE(""https://docs.google.com/spreadsheets/d/1iodCdmuK2GR3jzUwk8tpccY2JHQQA-87DLOtJP-ooyU/edit?usp=sharing"",""นราธิวาส!R383"")+IMPORTRANGE(""https://docs.google.com/spreadsheets/d/1SDNX3JhDdYRuIOsj0Wh2M-Qa_eaXl0NbWmh"&amp;"AOTbfQAs/edit?usp=sharing"",""ปัตตานี!R383"")+IMPORTRANGE(""https://docs.google.com/spreadsheets/d/16JDLGguT8s5DsGCND1KcwHP_AWR_zDMTqLHPLJUKhaU/edit?usp=sharing"",""พังงา!R383"")+IMPORTRANGE(""https://docs.google.com/spreadsheets/d/17ht0gPKzzT3PObBL1XJkeR"&amp;"mntBXI7wGjpLV7QorqlTk/edit?usp=sharing"",""พัทลุง!R383"")+IMPORTRANGE(""https://docs.google.com/spreadsheets/d/1rd4qoM1q_hsgaolqNGfrim9gbsoLxQsda4-vOz5x_BM/edit?usp=sharing"",""ภูเก็ต!R383"")+IMPORTRANGE(""https://docs.google.com/spreadsheets/d/1woKwKjgoL"&amp;"ssDvPcPeVyezB5izizAn4X1JDrys69n6xI/edit?usp=sharing"",""ยะลา!R383"")+IMPORTRANGE(""https://docs.google.com/spreadsheets/d/1qfrKjzMhm2HJfxQ-qVlJlJQ25Hne1d0khsySbZyGtPA/edit?usp=sharing"",""ระนอง!R383"")+IMPORTRANGE(""https://docs.google.com/spreadsheets/d/"&amp;"1IbSCnFOKpZsnFogBHJnL_isstZVaOMnFiIN0fGTPZZw/edit?usp=sharing"",""สงขลา!R383"")+IMPORTRANGE(""https://docs.google.com/spreadsheets/d/1q9nWasZJ-K8bFGvbE9n0qSRuKGA4Toe3Y89cKCiVtCU/edit?usp=sharing"",""สตูล!R383"")+IMPORTRANGE(""https://docs.google.com/sprea"&amp;"dsheets/d/18T20gbkS_WBjdscyTOV05cvq_JqvqQ17C81mpxf7Ncs/edit?usp=sharing"",""สุราษฎร์ธานี!R383"")"),0)</f>
        <v>0</v>
      </c>
      <c r="S383" s="47">
        <f ca="1">IFERROR(__xludf.DUMMYFUNCTION("IMPORTRANGE(""https://docs.google.com/spreadsheets/d/1kKUcYdkIfrgTSj8iHHHB2MD2FAtwyyocFgqGQn6ADyI/edit?usp=sharing"",""กระบี่!S383"")+IMPORTRANGE(""https://docs.google.com/spreadsheets/d/1GwtLaSlNZkLk7iDqcyZz22giiy40b_usZZBXYciEN1U/edit?usp=sharing"",""ชุ"&amp;"มพร!S383"")+IMPORTRANGE(""https://docs.google.com/spreadsheets/d/16pAz3pOhQEZBhvFNMa5KGgZS6iKWpsKX0pg6tQmwFpo/edit?usp=sharing"",""ตรัง!S383"")+IMPORTRANGE(""https://docs.google.com/spreadsheets/d/1Dj4jcHCTV9JXKCaMoheSXS52JE63kDKyG7bPXnFogHk/edit?usp=shar"&amp;"ing"",""นครศรีธรรมราช!S383"")+IMPORTRANGE(""https://docs.google.com/spreadsheets/d/1iodCdmuK2GR3jzUwk8tpccY2JHQQA-87DLOtJP-ooyU/edit?usp=sharing"",""นราธิวาส!S383"")+IMPORTRANGE(""https://docs.google.com/spreadsheets/d/1SDNX3JhDdYRuIOsj0Wh2M-Qa_eaXl0NbWmh"&amp;"AOTbfQAs/edit?usp=sharing"",""ปัตตานี!S383"")+IMPORTRANGE(""https://docs.google.com/spreadsheets/d/16JDLGguT8s5DsGCND1KcwHP_AWR_zDMTqLHPLJUKhaU/edit?usp=sharing"",""พังงา!S383"")+IMPORTRANGE(""https://docs.google.com/spreadsheets/d/17ht0gPKzzT3PObBL1XJkeR"&amp;"mntBXI7wGjpLV7QorqlTk/edit?usp=sharing"",""พัทลุง!S383"")+IMPORTRANGE(""https://docs.google.com/spreadsheets/d/1rd4qoM1q_hsgaolqNGfrim9gbsoLxQsda4-vOz5x_BM/edit?usp=sharing"",""ภูเก็ต!S383"")+IMPORTRANGE(""https://docs.google.com/spreadsheets/d/1woKwKjgoL"&amp;"ssDvPcPeVyezB5izizAn4X1JDrys69n6xI/edit?usp=sharing"",""ยะลา!S383"")+IMPORTRANGE(""https://docs.google.com/spreadsheets/d/1qfrKjzMhm2HJfxQ-qVlJlJQ25Hne1d0khsySbZyGtPA/edit?usp=sharing"",""ระนอง!S383"")+IMPORTRANGE(""https://docs.google.com/spreadsheets/d/"&amp;"1IbSCnFOKpZsnFogBHJnL_isstZVaOMnFiIN0fGTPZZw/edit?usp=sharing"",""สงขลา!S383"")+IMPORTRANGE(""https://docs.google.com/spreadsheets/d/1q9nWasZJ-K8bFGvbE9n0qSRuKGA4Toe3Y89cKCiVtCU/edit?usp=sharing"",""สตูล!S383"")+IMPORTRANGE(""https://docs.google.com/sprea"&amp;"dsheets/d/18T20gbkS_WBjdscyTOV05cvq_JqvqQ17C81mpxf7Ncs/edit?usp=sharing"",""สุราษฎร์ธานี!S383"")"),0)</f>
        <v>0</v>
      </c>
      <c r="T383" s="47">
        <f t="shared" ca="1" si="286"/>
        <v>0</v>
      </c>
      <c r="U383" s="47">
        <f t="shared" ca="1" si="287"/>
        <v>0</v>
      </c>
    </row>
    <row r="384" spans="1:21" ht="19.5" x14ac:dyDescent="0.3">
      <c r="A384" s="138"/>
      <c r="B384" s="139"/>
      <c r="C384" s="162" t="s">
        <v>18</v>
      </c>
      <c r="D384" s="325" t="s">
        <v>38</v>
      </c>
      <c r="E384" s="141"/>
      <c r="F384" s="141"/>
      <c r="G384" s="142"/>
      <c r="H384" s="189"/>
      <c r="I384" s="135"/>
      <c r="J384" s="45"/>
      <c r="K384" s="46"/>
      <c r="L384" s="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kKUcYdkIfrgTSj8iHHHB2MD2FAtwyyocFgqGQn6ADyI/edit?usp=sharing"",""กระบี่!I385"")+IMPORTRANGE(""https://docs.google.com/spreadsheets/d/1GwtLaSlNZkLk7iDqcyZz22giiy40b_usZZBXYciEN1U/edit?usp=sharing"",""ชุ"&amp;"มพร!I385"")+IMPORTRANGE(""https://docs.google.com/spreadsheets/d/16pAz3pOhQEZBhvFNMa5KGgZS6iKWpsKX0pg6tQmwFpo/edit?usp=sharing"",""ตรัง!I385"")+IMPORTRANGE(""https://docs.google.com/spreadsheets/d/1Dj4jcHCTV9JXKCaMoheSXS52JE63kDKyG7bPXnFogHk/edit?usp=shar"&amp;"ing"",""นครศรีธรรมราช!I385"")+IMPORTRANGE(""https://docs.google.com/spreadsheets/d/1iodCdmuK2GR3jzUwk8tpccY2JHQQA-87DLOtJP-ooyU/edit?usp=sharing"",""นราธิวาส!I385"")+IMPORTRANGE(""https://docs.google.com/spreadsheets/d/1SDNX3JhDdYRuIOsj0Wh2M-Qa_eaXl0NbWmh"&amp;"AOTbfQAs/edit?usp=sharing"",""ปัตตานี!I385"")+IMPORTRANGE(""https://docs.google.com/spreadsheets/d/16JDLGguT8s5DsGCND1KcwHP_AWR_zDMTqLHPLJUKhaU/edit?usp=sharing"",""พังงา!I385"")+IMPORTRANGE(""https://docs.google.com/spreadsheets/d/17ht0gPKzzT3PObBL1XJkeR"&amp;"mntBXI7wGjpLV7QorqlTk/edit?usp=sharing"",""พัทลุง!I385"")+IMPORTRANGE(""https://docs.google.com/spreadsheets/d/1rd4qoM1q_hsgaolqNGfrim9gbsoLxQsda4-vOz5x_BM/edit?usp=sharing"",""ภูเก็ต!I385"")+IMPORTRANGE(""https://docs.google.com/spreadsheets/d/1woKwKjgoL"&amp;"ssDvPcPeVyezB5izizAn4X1JDrys69n6xI/edit?usp=sharing"",""ยะลา!I385"")+IMPORTRANGE(""https://docs.google.com/spreadsheets/d/1qfrKjzMhm2HJfxQ-qVlJlJQ25Hne1d0khsySbZyGtPA/edit?usp=sharing"",""ระนอง!I385"")+IMPORTRANGE(""https://docs.google.com/spreadsheets/d/"&amp;"1IbSCnFOKpZsnFogBHJnL_isstZVaOMnFiIN0fGTPZZw/edit?usp=sharing"",""สงขลา!I385"")+IMPORTRANGE(""https://docs.google.com/spreadsheets/d/1q9nWasZJ-K8bFGvbE9n0qSRuKGA4Toe3Y89cKCiVtCU/edit?usp=sharing"",""สตูล!I385"")+IMPORTRANGE(""https://docs.google.com/sprea"&amp;"dsheets/d/18T20gbkS_WBjdscyTOV05cvq_JqvqQ17C81mpxf7Ncs/edit?usp=sharing"",""สุราษฎร์ธานี!I385"")"),0)</f>
        <v>0</v>
      </c>
      <c r="J385" s="152">
        <f ca="1">IFERROR(__xludf.DUMMYFUNCTION("IMPORTRANGE(""https://docs.google.com/spreadsheets/d/1kKUcYdkIfrgTSj8iHHHB2MD2FAtwyyocFgqGQn6ADyI/edit?usp=sharing"",""กระบี่!J385"")+IMPORTRANGE(""https://docs.google.com/spreadsheets/d/1GwtLaSlNZkLk7iDqcyZz22giiy40b_usZZBXYciEN1U/edit?usp=sharing"",""ชุ"&amp;"มพร!J385"")+IMPORTRANGE(""https://docs.google.com/spreadsheets/d/16pAz3pOhQEZBhvFNMa5KGgZS6iKWpsKX0pg6tQmwFpo/edit?usp=sharing"",""ตรัง!J385"")+IMPORTRANGE(""https://docs.google.com/spreadsheets/d/1Dj4jcHCTV9JXKCaMoheSXS52JE63kDKyG7bPXnFogHk/edit?usp=shar"&amp;"ing"",""นครศรีธรรมราช!J385"")+IMPORTRANGE(""https://docs.google.com/spreadsheets/d/1iodCdmuK2GR3jzUwk8tpccY2JHQQA-87DLOtJP-ooyU/edit?usp=sharing"",""นราธิวาส!J385"")+IMPORTRANGE(""https://docs.google.com/spreadsheets/d/1SDNX3JhDdYRuIOsj0Wh2M-Qa_eaXl0NbWmh"&amp;"AOTbfQAs/edit?usp=sharing"",""ปัตตานี!J385"")+IMPORTRANGE(""https://docs.google.com/spreadsheets/d/16JDLGguT8s5DsGCND1KcwHP_AWR_zDMTqLHPLJUKhaU/edit?usp=sharing"",""พังงา!J385"")+IMPORTRANGE(""https://docs.google.com/spreadsheets/d/17ht0gPKzzT3PObBL1XJkeR"&amp;"mntBXI7wGjpLV7QorqlTk/edit?usp=sharing"",""พัทลุง!J385"")+IMPORTRANGE(""https://docs.google.com/spreadsheets/d/1rd4qoM1q_hsgaolqNGfrim9gbsoLxQsda4-vOz5x_BM/edit?usp=sharing"",""ภูเก็ต!J385"")+IMPORTRANGE(""https://docs.google.com/spreadsheets/d/1woKwKjgoL"&amp;"ssDvPcPeVyezB5izizAn4X1JDrys69n6xI/edit?usp=sharing"",""ยะลา!J385"")+IMPORTRANGE(""https://docs.google.com/spreadsheets/d/1qfrKjzMhm2HJfxQ-qVlJlJQ25Hne1d0khsySbZyGtPA/edit?usp=sharing"",""ระนอง!J385"")+IMPORTRANGE(""https://docs.google.com/spreadsheets/d/"&amp;"1IbSCnFOKpZsnFogBHJnL_isstZVaOMnFiIN0fGTPZZw/edit?usp=sharing"",""สงขลา!J385"")+IMPORTRANGE(""https://docs.google.com/spreadsheets/d/1q9nWasZJ-K8bFGvbE9n0qSRuKGA4Toe3Y89cKCiVtCU/edit?usp=sharing"",""สตูล!J385"")+IMPORTRANGE(""https://docs.google.com/sprea"&amp;"dsheets/d/18T20gbkS_WBjdscyTOV05cvq_JqvqQ17C81mpxf7Ncs/edit?usp=sharing"",""สุราษฎร์ธานี!J385"")"),69)</f>
        <v>69</v>
      </c>
      <c r="K385" s="47">
        <f t="shared" ref="K385:K388" ca="1" si="296">IF(I385&gt;0,J385*100/I385,0)</f>
        <v>0</v>
      </c>
      <c r="L385" s="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159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kKUcYdkIfrgTSj8iHHHB2MD2FAtwyyocFgqGQn6ADyI/edit?usp=sharing"",""กระบี่!I386"")+IMPORTRANGE(""https://docs.google.com/spreadsheets/d/1GwtLaSlNZkLk7iDqcyZz22giiy40b_usZZBXYciEN1U/edit?usp=sharing"",""ชุ"&amp;"มพร!I386"")+IMPORTRANGE(""https://docs.google.com/spreadsheets/d/16pAz3pOhQEZBhvFNMa5KGgZS6iKWpsKX0pg6tQmwFpo/edit?usp=sharing"",""ตรัง!I386"")+IMPORTRANGE(""https://docs.google.com/spreadsheets/d/1Dj4jcHCTV9JXKCaMoheSXS52JE63kDKyG7bPXnFogHk/edit?usp=shar"&amp;"ing"",""นครศรีธรรมราช!I386"")+IMPORTRANGE(""https://docs.google.com/spreadsheets/d/1iodCdmuK2GR3jzUwk8tpccY2JHQQA-87DLOtJP-ooyU/edit?usp=sharing"",""นราธิวาส!I386"")+IMPORTRANGE(""https://docs.google.com/spreadsheets/d/1SDNX3JhDdYRuIOsj0Wh2M-Qa_eaXl0NbWmh"&amp;"AOTbfQAs/edit?usp=sharing"",""ปัตตานี!I386"")+IMPORTRANGE(""https://docs.google.com/spreadsheets/d/16JDLGguT8s5DsGCND1KcwHP_AWR_zDMTqLHPLJUKhaU/edit?usp=sharing"",""พังงา!I386"")+IMPORTRANGE(""https://docs.google.com/spreadsheets/d/17ht0gPKzzT3PObBL1XJkeR"&amp;"mntBXI7wGjpLV7QorqlTk/edit?usp=sharing"",""พัทลุง!I386"")+IMPORTRANGE(""https://docs.google.com/spreadsheets/d/1rd4qoM1q_hsgaolqNGfrim9gbsoLxQsda4-vOz5x_BM/edit?usp=sharing"",""ภูเก็ต!I386"")+IMPORTRANGE(""https://docs.google.com/spreadsheets/d/1woKwKjgoL"&amp;"ssDvPcPeVyezB5izizAn4X1JDrys69n6xI/edit?usp=sharing"",""ยะลา!I386"")+IMPORTRANGE(""https://docs.google.com/spreadsheets/d/1qfrKjzMhm2HJfxQ-qVlJlJQ25Hne1d0khsySbZyGtPA/edit?usp=sharing"",""ระนอง!I386"")+IMPORTRANGE(""https://docs.google.com/spreadsheets/d/"&amp;"1IbSCnFOKpZsnFogBHJnL_isstZVaOMnFiIN0fGTPZZw/edit?usp=sharing"",""สงขลา!I386"")+IMPORTRANGE(""https://docs.google.com/spreadsheets/d/1q9nWasZJ-K8bFGvbE9n0qSRuKGA4Toe3Y89cKCiVtCU/edit?usp=sharing"",""สตูล!I386"")+IMPORTRANGE(""https://docs.google.com/sprea"&amp;"dsheets/d/18T20gbkS_WBjdscyTOV05cvq_JqvqQ17C81mpxf7Ncs/edit?usp=sharing"",""สุราษฎร์ธานี!I386"")"),9900)</f>
        <v>9900</v>
      </c>
      <c r="J386" s="152">
        <f ca="1">IFERROR(__xludf.DUMMYFUNCTION("IMPORTRANGE(""https://docs.google.com/spreadsheets/d/1kKUcYdkIfrgTSj8iHHHB2MD2FAtwyyocFgqGQn6ADyI/edit?usp=sharing"",""กระบี่!J386"")+IMPORTRANGE(""https://docs.google.com/spreadsheets/d/1GwtLaSlNZkLk7iDqcyZz22giiy40b_usZZBXYciEN1U/edit?usp=sharing"",""ชุ"&amp;"มพร!J386"")+IMPORTRANGE(""https://docs.google.com/spreadsheets/d/16pAz3pOhQEZBhvFNMa5KGgZS6iKWpsKX0pg6tQmwFpo/edit?usp=sharing"",""ตรัง!J386"")+IMPORTRANGE(""https://docs.google.com/spreadsheets/d/1Dj4jcHCTV9JXKCaMoheSXS52JE63kDKyG7bPXnFogHk/edit?usp=shar"&amp;"ing"",""นครศรีธรรมราช!J386"")+IMPORTRANGE(""https://docs.google.com/spreadsheets/d/1iodCdmuK2GR3jzUwk8tpccY2JHQQA-87DLOtJP-ooyU/edit?usp=sharing"",""นราธิวาส!J386"")+IMPORTRANGE(""https://docs.google.com/spreadsheets/d/1SDNX3JhDdYRuIOsj0Wh2M-Qa_eaXl0NbWmh"&amp;"AOTbfQAs/edit?usp=sharing"",""ปัตตานี!J386"")+IMPORTRANGE(""https://docs.google.com/spreadsheets/d/16JDLGguT8s5DsGCND1KcwHP_AWR_zDMTqLHPLJUKhaU/edit?usp=sharing"",""พังงา!J386"")+IMPORTRANGE(""https://docs.google.com/spreadsheets/d/17ht0gPKzzT3PObBL1XJkeR"&amp;"mntBXI7wGjpLV7QorqlTk/edit?usp=sharing"",""พัทลุง!J386"")+IMPORTRANGE(""https://docs.google.com/spreadsheets/d/1rd4qoM1q_hsgaolqNGfrim9gbsoLxQsda4-vOz5x_BM/edit?usp=sharing"",""ภูเก็ต!J386"")+IMPORTRANGE(""https://docs.google.com/spreadsheets/d/1woKwKjgoL"&amp;"ssDvPcPeVyezB5izizAn4X1JDrys69n6xI/edit?usp=sharing"",""ยะลา!J386"")+IMPORTRANGE(""https://docs.google.com/spreadsheets/d/1qfrKjzMhm2HJfxQ-qVlJlJQ25Hne1d0khsySbZyGtPA/edit?usp=sharing"",""ระนอง!J386"")+IMPORTRANGE(""https://docs.google.com/spreadsheets/d/"&amp;"1IbSCnFOKpZsnFogBHJnL_isstZVaOMnFiIN0fGTPZZw/edit?usp=sharing"",""สงขลา!J386"")+IMPORTRANGE(""https://docs.google.com/spreadsheets/d/1q9nWasZJ-K8bFGvbE9n0qSRuKGA4Toe3Y89cKCiVtCU/edit?usp=sharing"",""สตูล!J386"")+IMPORTRANGE(""https://docs.google.com/sprea"&amp;"dsheets/d/18T20gbkS_WBjdscyTOV05cvq_JqvqQ17C81mpxf7Ncs/edit?usp=sharing"",""สุราษฎร์ธานี!J386"")"),626)</f>
        <v>626</v>
      </c>
      <c r="K386" s="47">
        <f t="shared" ca="1" si="296"/>
        <v>6.3232323232323235</v>
      </c>
      <c r="L386" s="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326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f ca="1">IFERROR(__xludf.DUMMYFUNCTION("IMPORTRANGE(""https://docs.google.com/spreadsheets/d/1kKUcYdkIfrgTSj8iHHHB2MD2FAtwyyocFgqGQn6ADyI/edit?usp=sharing"",""กระบี่!I387"")+IMPORTRANGE(""https://docs.google.com/spreadsheets/d/1GwtLaSlNZkLk7iDqcyZz22giiy40b_usZZBXYciEN1U/edit?usp=sharing"",""ชุ"&amp;"มพร!I387"")+IMPORTRANGE(""https://docs.google.com/spreadsheets/d/16pAz3pOhQEZBhvFNMa5KGgZS6iKWpsKX0pg6tQmwFpo/edit?usp=sharing"",""ตรัง!I387"")+IMPORTRANGE(""https://docs.google.com/spreadsheets/d/1Dj4jcHCTV9JXKCaMoheSXS52JE63kDKyG7bPXnFogHk/edit?usp=shar"&amp;"ing"",""นครศรีธรรมราช!I387"")+IMPORTRANGE(""https://docs.google.com/spreadsheets/d/1iodCdmuK2GR3jzUwk8tpccY2JHQQA-87DLOtJP-ooyU/edit?usp=sharing"",""นราธิวาส!I387"")+IMPORTRANGE(""https://docs.google.com/spreadsheets/d/1SDNX3JhDdYRuIOsj0Wh2M-Qa_eaXl0NbWmh"&amp;"AOTbfQAs/edit?usp=sharing"",""ปัตตานี!I387"")+IMPORTRANGE(""https://docs.google.com/spreadsheets/d/16JDLGguT8s5DsGCND1KcwHP_AWR_zDMTqLHPLJUKhaU/edit?usp=sharing"",""พังงา!I387"")+IMPORTRANGE(""https://docs.google.com/spreadsheets/d/17ht0gPKzzT3PObBL1XJkeR"&amp;"mntBXI7wGjpLV7QorqlTk/edit?usp=sharing"",""พัทลุง!I387"")+IMPORTRANGE(""https://docs.google.com/spreadsheets/d/1rd4qoM1q_hsgaolqNGfrim9gbsoLxQsda4-vOz5x_BM/edit?usp=sharing"",""ภูเก็ต!I387"")+IMPORTRANGE(""https://docs.google.com/spreadsheets/d/1woKwKjgoL"&amp;"ssDvPcPeVyezB5izizAn4X1JDrys69n6xI/edit?usp=sharing"",""ยะลา!I387"")+IMPORTRANGE(""https://docs.google.com/spreadsheets/d/1qfrKjzMhm2HJfxQ-qVlJlJQ25Hne1d0khsySbZyGtPA/edit?usp=sharing"",""ระนอง!I387"")+IMPORTRANGE(""https://docs.google.com/spreadsheets/d/"&amp;"1IbSCnFOKpZsnFogBHJnL_isstZVaOMnFiIN0fGTPZZw/edit?usp=sharing"",""สงขลา!I387"")+IMPORTRANGE(""https://docs.google.com/spreadsheets/d/1q9nWasZJ-K8bFGvbE9n0qSRuKGA4Toe3Y89cKCiVtCU/edit?usp=sharing"",""สตูล!I387"")+IMPORTRANGE(""https://docs.google.com/sprea"&amp;"dsheets/d/18T20gbkS_WBjdscyTOV05cvq_JqvqQ17C81mpxf7Ncs/edit?usp=sharing"",""สุราษฎร์ธานี!I387"")"),0)</f>
        <v>0</v>
      </c>
      <c r="J387" s="330">
        <f ca="1">IFERROR(__xludf.DUMMYFUNCTION("IMPORTRANGE(""https://docs.google.com/spreadsheets/d/1kKUcYdkIfrgTSj8iHHHB2MD2FAtwyyocFgqGQn6ADyI/edit?usp=sharing"",""กระบี่!J387"")+IMPORTRANGE(""https://docs.google.com/spreadsheets/d/1GwtLaSlNZkLk7iDqcyZz22giiy40b_usZZBXYciEN1U/edit?usp=sharing"",""ชุ"&amp;"มพร!J387"")+IMPORTRANGE(""https://docs.google.com/spreadsheets/d/16pAz3pOhQEZBhvFNMa5KGgZS6iKWpsKX0pg6tQmwFpo/edit?usp=sharing"",""ตรัง!J387"")+IMPORTRANGE(""https://docs.google.com/spreadsheets/d/1Dj4jcHCTV9JXKCaMoheSXS52JE63kDKyG7bPXnFogHk/edit?usp=shar"&amp;"ing"",""นครศรีธรรมราช!J387"")+IMPORTRANGE(""https://docs.google.com/spreadsheets/d/1iodCdmuK2GR3jzUwk8tpccY2JHQQA-87DLOtJP-ooyU/edit?usp=sharing"",""นราธิวาส!J387"")+IMPORTRANGE(""https://docs.google.com/spreadsheets/d/1SDNX3JhDdYRuIOsj0Wh2M-Qa_eaXl0NbWmh"&amp;"AOTbfQAs/edit?usp=sharing"",""ปัตตานี!J387"")+IMPORTRANGE(""https://docs.google.com/spreadsheets/d/16JDLGguT8s5DsGCND1KcwHP_AWR_zDMTqLHPLJUKhaU/edit?usp=sharing"",""พังงา!J387"")+IMPORTRANGE(""https://docs.google.com/spreadsheets/d/17ht0gPKzzT3PObBL1XJkeR"&amp;"mntBXI7wGjpLV7QorqlTk/edit?usp=sharing"",""พัทลุง!J387"")+IMPORTRANGE(""https://docs.google.com/spreadsheets/d/1rd4qoM1q_hsgaolqNGfrim9gbsoLxQsda4-vOz5x_BM/edit?usp=sharing"",""ภูเก็ต!J387"")+IMPORTRANGE(""https://docs.google.com/spreadsheets/d/1woKwKjgoL"&amp;"ssDvPcPeVyezB5izizAn4X1JDrys69n6xI/edit?usp=sharing"",""ยะลา!J387"")+IMPORTRANGE(""https://docs.google.com/spreadsheets/d/1qfrKjzMhm2HJfxQ-qVlJlJQ25Hne1d0khsySbZyGtPA/edit?usp=sharing"",""ระนอง!J387"")+IMPORTRANGE(""https://docs.google.com/spreadsheets/d/"&amp;"1IbSCnFOKpZsnFogBHJnL_isstZVaOMnFiIN0fGTPZZw/edit?usp=sharing"",""สงขลา!J387"")+IMPORTRANGE(""https://docs.google.com/spreadsheets/d/1q9nWasZJ-K8bFGvbE9n0qSRuKGA4Toe3Y89cKCiVtCU/edit?usp=sharing"",""สตูล!J387"")+IMPORTRANGE(""https://docs.google.com/sprea"&amp;"dsheets/d/18T20gbkS_WBjdscyTOV05cvq_JqvqQ17C81mpxf7Ncs/edit?usp=sharing"",""สุราษฎร์ธานี!J387"")"),0)</f>
        <v>0</v>
      </c>
      <c r="K387" s="331">
        <f t="shared" ca="1" si="296"/>
        <v>0</v>
      </c>
      <c r="L387" s="332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326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kKUcYdkIfrgTSj8iHHHB2MD2FAtwyyocFgqGQn6ADyI/edit?usp=sharing"",""กระบี่!I388"")+IMPORTRANGE(""https://docs.google.com/spreadsheets/d/1GwtLaSlNZkLk7iDqcyZz22giiy40b_usZZBXYciEN1U/edit?usp=sharing"",""ชุ"&amp;"มพร!I388"")+IMPORTRANGE(""https://docs.google.com/spreadsheets/d/16pAz3pOhQEZBhvFNMa5KGgZS6iKWpsKX0pg6tQmwFpo/edit?usp=sharing"",""ตรัง!I388"")+IMPORTRANGE(""https://docs.google.com/spreadsheets/d/1Dj4jcHCTV9JXKCaMoheSXS52JE63kDKyG7bPXnFogHk/edit?usp=shar"&amp;"ing"",""นครศรีธรรมราช!I388"")+IMPORTRANGE(""https://docs.google.com/spreadsheets/d/1iodCdmuK2GR3jzUwk8tpccY2JHQQA-87DLOtJP-ooyU/edit?usp=sharing"",""นราธิวาส!I388"")+IMPORTRANGE(""https://docs.google.com/spreadsheets/d/1SDNX3JhDdYRuIOsj0Wh2M-Qa_eaXl0NbWmh"&amp;"AOTbfQAs/edit?usp=sharing"",""ปัตตานี!I388"")+IMPORTRANGE(""https://docs.google.com/spreadsheets/d/16JDLGguT8s5DsGCND1KcwHP_AWR_zDMTqLHPLJUKhaU/edit?usp=sharing"",""พังงา!I388"")+IMPORTRANGE(""https://docs.google.com/spreadsheets/d/17ht0gPKzzT3PObBL1XJkeR"&amp;"mntBXI7wGjpLV7QorqlTk/edit?usp=sharing"",""พัทลุง!I388"")+IMPORTRANGE(""https://docs.google.com/spreadsheets/d/1rd4qoM1q_hsgaolqNGfrim9gbsoLxQsda4-vOz5x_BM/edit?usp=sharing"",""ภูเก็ต!I388"")+IMPORTRANGE(""https://docs.google.com/spreadsheets/d/1woKwKjgoL"&amp;"ssDvPcPeVyezB5izizAn4X1JDrys69n6xI/edit?usp=sharing"",""ยะลา!I388"")+IMPORTRANGE(""https://docs.google.com/spreadsheets/d/1qfrKjzMhm2HJfxQ-qVlJlJQ25Hne1d0khsySbZyGtPA/edit?usp=sharing"",""ระนอง!I388"")+IMPORTRANGE(""https://docs.google.com/spreadsheets/d/"&amp;"1IbSCnFOKpZsnFogBHJnL_isstZVaOMnFiIN0fGTPZZw/edit?usp=sharing"",""สงขลา!I388"")+IMPORTRANGE(""https://docs.google.com/spreadsheets/d/1q9nWasZJ-K8bFGvbE9n0qSRuKGA4Toe3Y89cKCiVtCU/edit?usp=sharing"",""สตูล!I388"")+IMPORTRANGE(""https://docs.google.com/sprea"&amp;"dsheets/d/18T20gbkS_WBjdscyTOV05cvq_JqvqQ17C81mpxf7Ncs/edit?usp=sharing"",""สุราษฎร์ธานี!I388"")"),0)</f>
        <v>0</v>
      </c>
      <c r="J388" s="330">
        <f ca="1">IFERROR(__xludf.DUMMYFUNCTION("IMPORTRANGE(""https://docs.google.com/spreadsheets/d/1kKUcYdkIfrgTSj8iHHHB2MD2FAtwyyocFgqGQn6ADyI/edit?usp=sharing"",""กระบี่!J388"")+IMPORTRANGE(""https://docs.google.com/spreadsheets/d/1GwtLaSlNZkLk7iDqcyZz22giiy40b_usZZBXYciEN1U/edit?usp=sharing"",""ชุ"&amp;"มพร!J388"")+IMPORTRANGE(""https://docs.google.com/spreadsheets/d/16pAz3pOhQEZBhvFNMa5KGgZS6iKWpsKX0pg6tQmwFpo/edit?usp=sharing"",""ตรัง!J388"")+IMPORTRANGE(""https://docs.google.com/spreadsheets/d/1Dj4jcHCTV9JXKCaMoheSXS52JE63kDKyG7bPXnFogHk/edit?usp=shar"&amp;"ing"",""นครศรีธรรมราช!J388"")+IMPORTRANGE(""https://docs.google.com/spreadsheets/d/1iodCdmuK2GR3jzUwk8tpccY2JHQQA-87DLOtJP-ooyU/edit?usp=sharing"",""นราธิวาส!J388"")+IMPORTRANGE(""https://docs.google.com/spreadsheets/d/1SDNX3JhDdYRuIOsj0Wh2M-Qa_eaXl0NbWmh"&amp;"AOTbfQAs/edit?usp=sharing"",""ปัตตานี!J388"")+IMPORTRANGE(""https://docs.google.com/spreadsheets/d/16JDLGguT8s5DsGCND1KcwHP_AWR_zDMTqLHPLJUKhaU/edit?usp=sharing"",""พังงา!J388"")+IMPORTRANGE(""https://docs.google.com/spreadsheets/d/17ht0gPKzzT3PObBL1XJkeR"&amp;"mntBXI7wGjpLV7QorqlTk/edit?usp=sharing"",""พัทลุง!J388"")+IMPORTRANGE(""https://docs.google.com/spreadsheets/d/1rd4qoM1q_hsgaolqNGfrim9gbsoLxQsda4-vOz5x_BM/edit?usp=sharing"",""ภูเก็ต!J388"")+IMPORTRANGE(""https://docs.google.com/spreadsheets/d/1woKwKjgoL"&amp;"ssDvPcPeVyezB5izizAn4X1JDrys69n6xI/edit?usp=sharing"",""ยะลา!J388"")+IMPORTRANGE(""https://docs.google.com/spreadsheets/d/1qfrKjzMhm2HJfxQ-qVlJlJQ25Hne1d0khsySbZyGtPA/edit?usp=sharing"",""ระนอง!J388"")+IMPORTRANGE(""https://docs.google.com/spreadsheets/d/"&amp;"1IbSCnFOKpZsnFogBHJnL_isstZVaOMnFiIN0fGTPZZw/edit?usp=sharing"",""สงขลา!J388"")+IMPORTRANGE(""https://docs.google.com/spreadsheets/d/1q9nWasZJ-K8bFGvbE9n0qSRuKGA4Toe3Y89cKCiVtCU/edit?usp=sharing"",""สตูล!J388"")+IMPORTRANGE(""https://docs.google.com/sprea"&amp;"dsheets/d/18T20gbkS_WBjdscyTOV05cvq_JqvqQ17C81mpxf7Ncs/edit?usp=sharing"",""สุราษฎร์ธานี!J388"")"),0)</f>
        <v>0</v>
      </c>
      <c r="K388" s="331">
        <f t="shared" ca="1" si="296"/>
        <v>0</v>
      </c>
      <c r="L388" s="332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2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247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33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336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37">
        <f t="shared" ref="I391:J391" si="297">I402</f>
        <v>0</v>
      </c>
      <c r="J391" s="337">
        <f t="shared" si="297"/>
        <v>0</v>
      </c>
      <c r="K391" s="311">
        <f>IF(I391&gt;0,J391*100/I391,0)</f>
        <v>0</v>
      </c>
      <c r="L391" s="312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324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132">
        <f t="shared" ref="L392:N392" ca="1" si="298">L393+L394</f>
        <v>0</v>
      </c>
      <c r="M392" s="132">
        <f t="shared" ca="1" si="298"/>
        <v>0</v>
      </c>
      <c r="N392" s="132">
        <f t="shared" ca="1" si="298"/>
        <v>0</v>
      </c>
      <c r="O392" s="132">
        <f t="shared" ref="O392:O400" ca="1" si="299">IF(L392&gt;0,N392*100/L392,0)</f>
        <v>0</v>
      </c>
      <c r="P392" s="132">
        <f t="shared" ref="P392:P400" ca="1" si="300">IF(M392&gt;0,N392*100/M392,0)</f>
        <v>0</v>
      </c>
      <c r="Q392" s="132">
        <f t="shared" ref="Q392:S392" ca="1" si="301">Q393+Q394</f>
        <v>0</v>
      </c>
      <c r="R392" s="132">
        <f t="shared" ca="1" si="301"/>
        <v>0</v>
      </c>
      <c r="S392" s="132">
        <f t="shared" ca="1" si="301"/>
        <v>0</v>
      </c>
      <c r="T392" s="132">
        <f t="shared" ref="T392:T400" ca="1" si="302">IF(Q392&gt;0,S392*100/Q392,0)</f>
        <v>0</v>
      </c>
      <c r="U392" s="132">
        <f t="shared" ref="U392:U400" ca="1" si="303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49">
        <f t="shared" ref="L393:N393" ca="1" si="304">L396+L399</f>
        <v>0</v>
      </c>
      <c r="M393" s="49">
        <f t="shared" ca="1" si="304"/>
        <v>0</v>
      </c>
      <c r="N393" s="49">
        <f t="shared" ca="1" si="304"/>
        <v>0</v>
      </c>
      <c r="O393" s="49">
        <f t="shared" ca="1" si="299"/>
        <v>0</v>
      </c>
      <c r="P393" s="49">
        <f t="shared" ca="1" si="300"/>
        <v>0</v>
      </c>
      <c r="Q393" s="49">
        <f t="shared" ref="Q393:S393" ca="1" si="305">Q396+Q399</f>
        <v>0</v>
      </c>
      <c r="R393" s="49">
        <f t="shared" ca="1" si="305"/>
        <v>0</v>
      </c>
      <c r="S393" s="49">
        <f t="shared" ca="1" si="305"/>
        <v>0</v>
      </c>
      <c r="T393" s="49">
        <f t="shared" ca="1" si="302"/>
        <v>0</v>
      </c>
      <c r="U393" s="49">
        <f t="shared" ca="1" si="303"/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47">
        <f t="shared" ref="L394:N394" ca="1" si="306">L397+L400</f>
        <v>0</v>
      </c>
      <c r="M394" s="47">
        <f t="shared" ca="1" si="306"/>
        <v>0</v>
      </c>
      <c r="N394" s="47">
        <f t="shared" ca="1" si="306"/>
        <v>0</v>
      </c>
      <c r="O394" s="47">
        <f t="shared" ca="1" si="299"/>
        <v>0</v>
      </c>
      <c r="P394" s="47">
        <f t="shared" ca="1" si="300"/>
        <v>0</v>
      </c>
      <c r="Q394" s="47">
        <f t="shared" ref="Q394:S394" ca="1" si="307">Q397+Q400</f>
        <v>0</v>
      </c>
      <c r="R394" s="47">
        <f t="shared" ca="1" si="307"/>
        <v>0</v>
      </c>
      <c r="S394" s="47">
        <f t="shared" ca="1" si="307"/>
        <v>0</v>
      </c>
      <c r="T394" s="47">
        <f t="shared" ca="1" si="302"/>
        <v>0</v>
      </c>
      <c r="U394" s="47">
        <f t="shared" ca="1" si="303"/>
        <v>0</v>
      </c>
    </row>
    <row r="395" spans="1:21" ht="18.75" hidden="1" x14ac:dyDescent="0.25">
      <c r="A395" s="128"/>
      <c r="B395" s="159"/>
      <c r="C395" s="159"/>
      <c r="D395" s="161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47">
        <f t="shared" ref="L395:N395" ca="1" si="308">L396+L397</f>
        <v>0</v>
      </c>
      <c r="M395" s="47">
        <f t="shared" ca="1" si="308"/>
        <v>0</v>
      </c>
      <c r="N395" s="47">
        <f t="shared" ca="1" si="308"/>
        <v>0</v>
      </c>
      <c r="O395" s="47">
        <f t="shared" ca="1" si="299"/>
        <v>0</v>
      </c>
      <c r="P395" s="47">
        <f t="shared" ca="1" si="300"/>
        <v>0</v>
      </c>
      <c r="Q395" s="47">
        <f t="shared" ref="Q395:S395" ca="1" si="309">Q396+Q397</f>
        <v>0</v>
      </c>
      <c r="R395" s="47">
        <f t="shared" ca="1" si="309"/>
        <v>0</v>
      </c>
      <c r="S395" s="47">
        <f t="shared" ca="1" si="309"/>
        <v>0</v>
      </c>
      <c r="T395" s="47">
        <f t="shared" ca="1" si="302"/>
        <v>0</v>
      </c>
      <c r="U395" s="47">
        <f t="shared" ca="1" si="303"/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49">
        <f ca="1">IFERROR(__xludf.DUMMYFUNCTION("IMPORTRANGE(""https://docs.google.com/spreadsheets/d/1kKUcYdkIfrgTSj8iHHHB2MD2FAtwyyocFgqGQn6ADyI/edit?usp=sharing"",""กระบี่!L396"")+IMPORTRANGE(""https://docs.google.com/spreadsheets/d/1GwtLaSlNZkLk7iDqcyZz22giiy40b_usZZBXYciEN1U/edit?usp=sharing"",""ชุ"&amp;"มพร!L396"")+IMPORTRANGE(""https://docs.google.com/spreadsheets/d/16pAz3pOhQEZBhvFNMa5KGgZS6iKWpsKX0pg6tQmwFpo/edit?usp=sharing"",""ตรัง!L396"")+IMPORTRANGE(""https://docs.google.com/spreadsheets/d/1Dj4jcHCTV9JXKCaMoheSXS52JE63kDKyG7bPXnFogHk/edit?usp=shar"&amp;"ing"",""นครศรีธรรมราช!L396"")+IMPORTRANGE(""https://docs.google.com/spreadsheets/d/1iodCdmuK2GR3jzUwk8tpccY2JHQQA-87DLOtJP-ooyU/edit?usp=sharing"",""นราธิวาส!L396"")+IMPORTRANGE(""https://docs.google.com/spreadsheets/d/1SDNX3JhDdYRuIOsj0Wh2M-Qa_eaXl0NbWmh"&amp;"AOTbfQAs/edit?usp=sharing"",""ปัตตานี!L396"")+IMPORTRANGE(""https://docs.google.com/spreadsheets/d/16JDLGguT8s5DsGCND1KcwHP_AWR_zDMTqLHPLJUKhaU/edit?usp=sharing"",""พังงา!L396"")+IMPORTRANGE(""https://docs.google.com/spreadsheets/d/17ht0gPKzzT3PObBL1XJkeR"&amp;"mntBXI7wGjpLV7QorqlTk/edit?usp=sharing"",""พัทลุง!L396"")+IMPORTRANGE(""https://docs.google.com/spreadsheets/d/1rd4qoM1q_hsgaolqNGfrim9gbsoLxQsda4-vOz5x_BM/edit?usp=sharing"",""ภูเก็ต!L396"")+IMPORTRANGE(""https://docs.google.com/spreadsheets/d/1woKwKjgoL"&amp;"ssDvPcPeVyezB5izizAn4X1JDrys69n6xI/edit?usp=sharing"",""ยะลา!L396"")+IMPORTRANGE(""https://docs.google.com/spreadsheets/d/1qfrKjzMhm2HJfxQ-qVlJlJQ25Hne1d0khsySbZyGtPA/edit?usp=sharing"",""ระนอง!L396"")+IMPORTRANGE(""https://docs.google.com/spreadsheets/d/"&amp;"1IbSCnFOKpZsnFogBHJnL_isstZVaOMnFiIN0fGTPZZw/edit?usp=sharing"",""สงขลา!L396"")+IMPORTRANGE(""https://docs.google.com/spreadsheets/d/1q9nWasZJ-K8bFGvbE9n0qSRuKGA4Toe3Y89cKCiVtCU/edit?usp=sharing"",""สตูล!L396"")+IMPORTRANGE(""https://docs.google.com/sprea"&amp;"dsheets/d/18T20gbkS_WBjdscyTOV05cvq_JqvqQ17C81mpxf7Ncs/edit?usp=sharing"",""สุราษฎร์ธานี!L396"")"),0)</f>
        <v>0</v>
      </c>
      <c r="M396" s="49">
        <f ca="1">IFERROR(__xludf.DUMMYFUNCTION("IMPORTRANGE(""https://docs.google.com/spreadsheets/d/1kKUcYdkIfrgTSj8iHHHB2MD2FAtwyyocFgqGQn6ADyI/edit?usp=sharing"",""กระบี่!M396"")+IMPORTRANGE(""https://docs.google.com/spreadsheets/d/1GwtLaSlNZkLk7iDqcyZz22giiy40b_usZZBXYciEN1U/edit?usp=sharing"",""ชุ"&amp;"มพร!M396"")+IMPORTRANGE(""https://docs.google.com/spreadsheets/d/16pAz3pOhQEZBhvFNMa5KGgZS6iKWpsKX0pg6tQmwFpo/edit?usp=sharing"",""ตรัง!M396"")+IMPORTRANGE(""https://docs.google.com/spreadsheets/d/1Dj4jcHCTV9JXKCaMoheSXS52JE63kDKyG7bPXnFogHk/edit?usp=shar"&amp;"ing"",""นครศรีธรรมราช!M396"")+IMPORTRANGE(""https://docs.google.com/spreadsheets/d/1iodCdmuK2GR3jzUwk8tpccY2JHQQA-87DLOtJP-ooyU/edit?usp=sharing"",""นราธิวาส!M396"")+IMPORTRANGE(""https://docs.google.com/spreadsheets/d/1SDNX3JhDdYRuIOsj0Wh2M-Qa_eaXl0NbWmh"&amp;"AOTbfQAs/edit?usp=sharing"",""ปัตตานี!M396"")+IMPORTRANGE(""https://docs.google.com/spreadsheets/d/16JDLGguT8s5DsGCND1KcwHP_AWR_zDMTqLHPLJUKhaU/edit?usp=sharing"",""พังงา!M396"")+IMPORTRANGE(""https://docs.google.com/spreadsheets/d/17ht0gPKzzT3PObBL1XJkeR"&amp;"mntBXI7wGjpLV7QorqlTk/edit?usp=sharing"",""พัทลุง!M396"")+IMPORTRANGE(""https://docs.google.com/spreadsheets/d/1rd4qoM1q_hsgaolqNGfrim9gbsoLxQsda4-vOz5x_BM/edit?usp=sharing"",""ภูเก็ต!M396"")+IMPORTRANGE(""https://docs.google.com/spreadsheets/d/1woKwKjgoL"&amp;"ssDvPcPeVyezB5izizAn4X1JDrys69n6xI/edit?usp=sharing"",""ยะลา!M396"")+IMPORTRANGE(""https://docs.google.com/spreadsheets/d/1qfrKjzMhm2HJfxQ-qVlJlJQ25Hne1d0khsySbZyGtPA/edit?usp=sharing"",""ระนอง!M396"")+IMPORTRANGE(""https://docs.google.com/spreadsheets/d/"&amp;"1IbSCnFOKpZsnFogBHJnL_isstZVaOMnFiIN0fGTPZZw/edit?usp=sharing"",""สงขลา!M396"")+IMPORTRANGE(""https://docs.google.com/spreadsheets/d/1q9nWasZJ-K8bFGvbE9n0qSRuKGA4Toe3Y89cKCiVtCU/edit?usp=sharing"",""สตูล!M396"")+IMPORTRANGE(""https://docs.google.com/sprea"&amp;"dsheets/d/18T20gbkS_WBjdscyTOV05cvq_JqvqQ17C81mpxf7Ncs/edit?usp=sharing"",""สุราษฎร์ธานี!M396"")"),0)</f>
        <v>0</v>
      </c>
      <c r="N396" s="49">
        <f ca="1">IFERROR(__xludf.DUMMYFUNCTION("IMPORTRANGE(""https://docs.google.com/spreadsheets/d/1kKUcYdkIfrgTSj8iHHHB2MD2FAtwyyocFgqGQn6ADyI/edit?usp=sharing"",""กระบี่!N396"")+IMPORTRANGE(""https://docs.google.com/spreadsheets/d/1GwtLaSlNZkLk7iDqcyZz22giiy40b_usZZBXYciEN1U/edit?usp=sharing"",""ชุ"&amp;"มพร!N396"")+IMPORTRANGE(""https://docs.google.com/spreadsheets/d/16pAz3pOhQEZBhvFNMa5KGgZS6iKWpsKX0pg6tQmwFpo/edit?usp=sharing"",""ตรัง!N396"")+IMPORTRANGE(""https://docs.google.com/spreadsheets/d/1Dj4jcHCTV9JXKCaMoheSXS52JE63kDKyG7bPXnFogHk/edit?usp=shar"&amp;"ing"",""นครศรีธรรมราช!N396"")+IMPORTRANGE(""https://docs.google.com/spreadsheets/d/1iodCdmuK2GR3jzUwk8tpccY2JHQQA-87DLOtJP-ooyU/edit?usp=sharing"",""นราธิวาส!N396"")+IMPORTRANGE(""https://docs.google.com/spreadsheets/d/1SDNX3JhDdYRuIOsj0Wh2M-Qa_eaXl0NbWmh"&amp;"AOTbfQAs/edit?usp=sharing"",""ปัตตานี!N396"")+IMPORTRANGE(""https://docs.google.com/spreadsheets/d/16JDLGguT8s5DsGCND1KcwHP_AWR_zDMTqLHPLJUKhaU/edit?usp=sharing"",""พังงา!N396"")+IMPORTRANGE(""https://docs.google.com/spreadsheets/d/17ht0gPKzzT3PObBL1XJkeR"&amp;"mntBXI7wGjpLV7QorqlTk/edit?usp=sharing"",""พัทลุง!N396"")+IMPORTRANGE(""https://docs.google.com/spreadsheets/d/1rd4qoM1q_hsgaolqNGfrim9gbsoLxQsda4-vOz5x_BM/edit?usp=sharing"",""ภูเก็ต!N396"")+IMPORTRANGE(""https://docs.google.com/spreadsheets/d/1woKwKjgoL"&amp;"ssDvPcPeVyezB5izizAn4X1JDrys69n6xI/edit?usp=sharing"",""ยะลา!N396"")+IMPORTRANGE(""https://docs.google.com/spreadsheets/d/1qfrKjzMhm2HJfxQ-qVlJlJQ25Hne1d0khsySbZyGtPA/edit?usp=sharing"",""ระนอง!N396"")+IMPORTRANGE(""https://docs.google.com/spreadsheets/d/"&amp;"1IbSCnFOKpZsnFogBHJnL_isstZVaOMnFiIN0fGTPZZw/edit?usp=sharing"",""สงขลา!N396"")+IMPORTRANGE(""https://docs.google.com/spreadsheets/d/1q9nWasZJ-K8bFGvbE9n0qSRuKGA4Toe3Y89cKCiVtCU/edit?usp=sharing"",""สตูล!N396"")+IMPORTRANGE(""https://docs.google.com/sprea"&amp;"dsheets/d/18T20gbkS_WBjdscyTOV05cvq_JqvqQ17C81mpxf7Ncs/edit?usp=sharing"",""สุราษฎร์ธานี!N396"")"),0)</f>
        <v>0</v>
      </c>
      <c r="O396" s="49">
        <f t="shared" ca="1" si="299"/>
        <v>0</v>
      </c>
      <c r="P396" s="49">
        <f t="shared" ca="1" si="300"/>
        <v>0</v>
      </c>
      <c r="Q396" s="49">
        <f ca="1">IFERROR(__xludf.DUMMYFUNCTION("IMPORTRANGE(""https://docs.google.com/spreadsheets/d/1kKUcYdkIfrgTSj8iHHHB2MD2FAtwyyocFgqGQn6ADyI/edit?usp=sharing"",""กระบี่!Q396"")+IMPORTRANGE(""https://docs.google.com/spreadsheets/d/1GwtLaSlNZkLk7iDqcyZz22giiy40b_usZZBXYciEN1U/edit?usp=sharing"",""ชุ"&amp;"มพร!Q396"")+IMPORTRANGE(""https://docs.google.com/spreadsheets/d/16pAz3pOhQEZBhvFNMa5KGgZS6iKWpsKX0pg6tQmwFpo/edit?usp=sharing"",""ตรัง!Q396"")+IMPORTRANGE(""https://docs.google.com/spreadsheets/d/1Dj4jcHCTV9JXKCaMoheSXS52JE63kDKyG7bPXnFogHk/edit?usp=shar"&amp;"ing"",""นครศรีธรรมราช!Q396"")+IMPORTRANGE(""https://docs.google.com/spreadsheets/d/1iodCdmuK2GR3jzUwk8tpccY2JHQQA-87DLOtJP-ooyU/edit?usp=sharing"",""นราธิวาส!Q396"")+IMPORTRANGE(""https://docs.google.com/spreadsheets/d/1SDNX3JhDdYRuIOsj0Wh2M-Qa_eaXl0NbWmh"&amp;"AOTbfQAs/edit?usp=sharing"",""ปัตตานี!Q396"")+IMPORTRANGE(""https://docs.google.com/spreadsheets/d/16JDLGguT8s5DsGCND1KcwHP_AWR_zDMTqLHPLJUKhaU/edit?usp=sharing"",""พังงา!Q396"")+IMPORTRANGE(""https://docs.google.com/spreadsheets/d/17ht0gPKzzT3PObBL1XJkeR"&amp;"mntBXI7wGjpLV7QorqlTk/edit?usp=sharing"",""พัทลุง!Q396"")+IMPORTRANGE(""https://docs.google.com/spreadsheets/d/1rd4qoM1q_hsgaolqNGfrim9gbsoLxQsda4-vOz5x_BM/edit?usp=sharing"",""ภูเก็ต!Q396"")+IMPORTRANGE(""https://docs.google.com/spreadsheets/d/1woKwKjgoL"&amp;"ssDvPcPeVyezB5izizAn4X1JDrys69n6xI/edit?usp=sharing"",""ยะลา!Q396"")+IMPORTRANGE(""https://docs.google.com/spreadsheets/d/1qfrKjzMhm2HJfxQ-qVlJlJQ25Hne1d0khsySbZyGtPA/edit?usp=sharing"",""ระนอง!Q396"")+IMPORTRANGE(""https://docs.google.com/spreadsheets/d/"&amp;"1IbSCnFOKpZsnFogBHJnL_isstZVaOMnFiIN0fGTPZZw/edit?usp=sharing"",""สงขลา!Q396"")+IMPORTRANGE(""https://docs.google.com/spreadsheets/d/1q9nWasZJ-K8bFGvbE9n0qSRuKGA4Toe3Y89cKCiVtCU/edit?usp=sharing"",""สตูล!Q396"")+IMPORTRANGE(""https://docs.google.com/sprea"&amp;"dsheets/d/18T20gbkS_WBjdscyTOV05cvq_JqvqQ17C81mpxf7Ncs/edit?usp=sharing"",""สุราษฎร์ธานี!Q396"")"),0)</f>
        <v>0</v>
      </c>
      <c r="R396" s="49">
        <f ca="1">IFERROR(__xludf.DUMMYFUNCTION("IMPORTRANGE(""https://docs.google.com/spreadsheets/d/1kKUcYdkIfrgTSj8iHHHB2MD2FAtwyyocFgqGQn6ADyI/edit?usp=sharing"",""กระบี่!R396"")+IMPORTRANGE(""https://docs.google.com/spreadsheets/d/1GwtLaSlNZkLk7iDqcyZz22giiy40b_usZZBXYciEN1U/edit?usp=sharing"",""ชุ"&amp;"มพร!R396"")+IMPORTRANGE(""https://docs.google.com/spreadsheets/d/16pAz3pOhQEZBhvFNMa5KGgZS6iKWpsKX0pg6tQmwFpo/edit?usp=sharing"",""ตรัง!R396"")+IMPORTRANGE(""https://docs.google.com/spreadsheets/d/1Dj4jcHCTV9JXKCaMoheSXS52JE63kDKyG7bPXnFogHk/edit?usp=shar"&amp;"ing"",""นครศรีธรรมราช!R396"")+IMPORTRANGE(""https://docs.google.com/spreadsheets/d/1iodCdmuK2GR3jzUwk8tpccY2JHQQA-87DLOtJP-ooyU/edit?usp=sharing"",""นราธิวาส!R396"")+IMPORTRANGE(""https://docs.google.com/spreadsheets/d/1SDNX3JhDdYRuIOsj0Wh2M-Qa_eaXl0NbWmh"&amp;"AOTbfQAs/edit?usp=sharing"",""ปัตตานี!R396"")+IMPORTRANGE(""https://docs.google.com/spreadsheets/d/16JDLGguT8s5DsGCND1KcwHP_AWR_zDMTqLHPLJUKhaU/edit?usp=sharing"",""พังงา!R396"")+IMPORTRANGE(""https://docs.google.com/spreadsheets/d/17ht0gPKzzT3PObBL1XJkeR"&amp;"mntBXI7wGjpLV7QorqlTk/edit?usp=sharing"",""พัทลุง!R396"")+IMPORTRANGE(""https://docs.google.com/spreadsheets/d/1rd4qoM1q_hsgaolqNGfrim9gbsoLxQsda4-vOz5x_BM/edit?usp=sharing"",""ภูเก็ต!R396"")+IMPORTRANGE(""https://docs.google.com/spreadsheets/d/1woKwKjgoL"&amp;"ssDvPcPeVyezB5izizAn4X1JDrys69n6xI/edit?usp=sharing"",""ยะลา!R396"")+IMPORTRANGE(""https://docs.google.com/spreadsheets/d/1qfrKjzMhm2HJfxQ-qVlJlJQ25Hne1d0khsySbZyGtPA/edit?usp=sharing"",""ระนอง!R396"")+IMPORTRANGE(""https://docs.google.com/spreadsheets/d/"&amp;"1IbSCnFOKpZsnFogBHJnL_isstZVaOMnFiIN0fGTPZZw/edit?usp=sharing"",""สงขลา!R396"")+IMPORTRANGE(""https://docs.google.com/spreadsheets/d/1q9nWasZJ-K8bFGvbE9n0qSRuKGA4Toe3Y89cKCiVtCU/edit?usp=sharing"",""สตูล!R396"")+IMPORTRANGE(""https://docs.google.com/sprea"&amp;"dsheets/d/18T20gbkS_WBjdscyTOV05cvq_JqvqQ17C81mpxf7Ncs/edit?usp=sharing"",""สุราษฎร์ธานี!R396"")"),0)</f>
        <v>0</v>
      </c>
      <c r="S396" s="49">
        <f ca="1">IFERROR(__xludf.DUMMYFUNCTION("IMPORTRANGE(""https://docs.google.com/spreadsheets/d/1kKUcYdkIfrgTSj8iHHHB2MD2FAtwyyocFgqGQn6ADyI/edit?usp=sharing"",""กระบี่!S396"")+IMPORTRANGE(""https://docs.google.com/spreadsheets/d/1GwtLaSlNZkLk7iDqcyZz22giiy40b_usZZBXYciEN1U/edit?usp=sharing"",""ชุ"&amp;"มพร!S396"")+IMPORTRANGE(""https://docs.google.com/spreadsheets/d/16pAz3pOhQEZBhvFNMa5KGgZS6iKWpsKX0pg6tQmwFpo/edit?usp=sharing"",""ตรัง!S396"")+IMPORTRANGE(""https://docs.google.com/spreadsheets/d/1Dj4jcHCTV9JXKCaMoheSXS52JE63kDKyG7bPXnFogHk/edit?usp=shar"&amp;"ing"",""นครศรีธรรมราช!S396"")+IMPORTRANGE(""https://docs.google.com/spreadsheets/d/1iodCdmuK2GR3jzUwk8tpccY2JHQQA-87DLOtJP-ooyU/edit?usp=sharing"",""นราธิวาส!S396"")+IMPORTRANGE(""https://docs.google.com/spreadsheets/d/1SDNX3JhDdYRuIOsj0Wh2M-Qa_eaXl0NbWmh"&amp;"AOTbfQAs/edit?usp=sharing"",""ปัตตานี!S396"")+IMPORTRANGE(""https://docs.google.com/spreadsheets/d/16JDLGguT8s5DsGCND1KcwHP_AWR_zDMTqLHPLJUKhaU/edit?usp=sharing"",""พังงา!S396"")+IMPORTRANGE(""https://docs.google.com/spreadsheets/d/17ht0gPKzzT3PObBL1XJkeR"&amp;"mntBXI7wGjpLV7QorqlTk/edit?usp=sharing"",""พัทลุง!S396"")+IMPORTRANGE(""https://docs.google.com/spreadsheets/d/1rd4qoM1q_hsgaolqNGfrim9gbsoLxQsda4-vOz5x_BM/edit?usp=sharing"",""ภูเก็ต!S396"")+IMPORTRANGE(""https://docs.google.com/spreadsheets/d/1woKwKjgoL"&amp;"ssDvPcPeVyezB5izizAn4X1JDrys69n6xI/edit?usp=sharing"",""ยะลา!S396"")+IMPORTRANGE(""https://docs.google.com/spreadsheets/d/1qfrKjzMhm2HJfxQ-qVlJlJQ25Hne1d0khsySbZyGtPA/edit?usp=sharing"",""ระนอง!S396"")+IMPORTRANGE(""https://docs.google.com/spreadsheets/d/"&amp;"1IbSCnFOKpZsnFogBHJnL_isstZVaOMnFiIN0fGTPZZw/edit?usp=sharing"",""สงขลา!S396"")+IMPORTRANGE(""https://docs.google.com/spreadsheets/d/1q9nWasZJ-K8bFGvbE9n0qSRuKGA4Toe3Y89cKCiVtCU/edit?usp=sharing"",""สตูล!S396"")+IMPORTRANGE(""https://docs.google.com/sprea"&amp;"dsheets/d/18T20gbkS_WBjdscyTOV05cvq_JqvqQ17C81mpxf7Ncs/edit?usp=sharing"",""สุราษฎร์ธานี!S396"")"),0)</f>
        <v>0</v>
      </c>
      <c r="T396" s="49">
        <f t="shared" ca="1" si="302"/>
        <v>0</v>
      </c>
      <c r="U396" s="49">
        <f t="shared" ca="1" si="303"/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47">
        <f ca="1">IFERROR(__xludf.DUMMYFUNCTION("IMPORTRANGE(""https://docs.google.com/spreadsheets/d/1kKUcYdkIfrgTSj8iHHHB2MD2FAtwyyocFgqGQn6ADyI/edit?usp=sharing"",""กระบี่!L397"")+IMPORTRANGE(""https://docs.google.com/spreadsheets/d/1GwtLaSlNZkLk7iDqcyZz22giiy40b_usZZBXYciEN1U/edit?usp=sharing"",""ชุ"&amp;"มพร!L397"")+IMPORTRANGE(""https://docs.google.com/spreadsheets/d/16pAz3pOhQEZBhvFNMa5KGgZS6iKWpsKX0pg6tQmwFpo/edit?usp=sharing"",""ตรัง!L397"")+IMPORTRANGE(""https://docs.google.com/spreadsheets/d/1Dj4jcHCTV9JXKCaMoheSXS52JE63kDKyG7bPXnFogHk/edit?usp=shar"&amp;"ing"",""นครศรีธรรมราช!L397"")+IMPORTRANGE(""https://docs.google.com/spreadsheets/d/1iodCdmuK2GR3jzUwk8tpccY2JHQQA-87DLOtJP-ooyU/edit?usp=sharing"",""นราธิวาส!L397"")+IMPORTRANGE(""https://docs.google.com/spreadsheets/d/1SDNX3JhDdYRuIOsj0Wh2M-Qa_eaXl0NbWmh"&amp;"AOTbfQAs/edit?usp=sharing"",""ปัตตานี!L397"")+IMPORTRANGE(""https://docs.google.com/spreadsheets/d/16JDLGguT8s5DsGCND1KcwHP_AWR_zDMTqLHPLJUKhaU/edit?usp=sharing"",""พังงา!L397"")+IMPORTRANGE(""https://docs.google.com/spreadsheets/d/17ht0gPKzzT3PObBL1XJkeR"&amp;"mntBXI7wGjpLV7QorqlTk/edit?usp=sharing"",""พัทลุง!L397"")+IMPORTRANGE(""https://docs.google.com/spreadsheets/d/1rd4qoM1q_hsgaolqNGfrim9gbsoLxQsda4-vOz5x_BM/edit?usp=sharing"",""ภูเก็ต!L397"")+IMPORTRANGE(""https://docs.google.com/spreadsheets/d/1woKwKjgoL"&amp;"ssDvPcPeVyezB5izizAn4X1JDrys69n6xI/edit?usp=sharing"",""ยะลา!L397"")+IMPORTRANGE(""https://docs.google.com/spreadsheets/d/1qfrKjzMhm2HJfxQ-qVlJlJQ25Hne1d0khsySbZyGtPA/edit?usp=sharing"",""ระนอง!L397"")+IMPORTRANGE(""https://docs.google.com/spreadsheets/d/"&amp;"1IbSCnFOKpZsnFogBHJnL_isstZVaOMnFiIN0fGTPZZw/edit?usp=sharing"",""สงขลา!L397"")+IMPORTRANGE(""https://docs.google.com/spreadsheets/d/1q9nWasZJ-K8bFGvbE9n0qSRuKGA4Toe3Y89cKCiVtCU/edit?usp=sharing"",""สตูล!L397"")+IMPORTRANGE(""https://docs.google.com/sprea"&amp;"dsheets/d/18T20gbkS_WBjdscyTOV05cvq_JqvqQ17C81mpxf7Ncs/edit?usp=sharing"",""สุราษฎร์ธานี!L397"")"),0)</f>
        <v>0</v>
      </c>
      <c r="M397" s="47">
        <f ca="1">IFERROR(__xludf.DUMMYFUNCTION("IMPORTRANGE(""https://docs.google.com/spreadsheets/d/1kKUcYdkIfrgTSj8iHHHB2MD2FAtwyyocFgqGQn6ADyI/edit?usp=sharing"",""กระบี่!M397"")+IMPORTRANGE(""https://docs.google.com/spreadsheets/d/1GwtLaSlNZkLk7iDqcyZz22giiy40b_usZZBXYciEN1U/edit?usp=sharing"",""ชุ"&amp;"มพร!M397"")+IMPORTRANGE(""https://docs.google.com/spreadsheets/d/16pAz3pOhQEZBhvFNMa5KGgZS6iKWpsKX0pg6tQmwFpo/edit?usp=sharing"",""ตรัง!M397"")+IMPORTRANGE(""https://docs.google.com/spreadsheets/d/1Dj4jcHCTV9JXKCaMoheSXS52JE63kDKyG7bPXnFogHk/edit?usp=shar"&amp;"ing"",""นครศรีธรรมราช!M397"")+IMPORTRANGE(""https://docs.google.com/spreadsheets/d/1iodCdmuK2GR3jzUwk8tpccY2JHQQA-87DLOtJP-ooyU/edit?usp=sharing"",""นราธิวาส!M397"")+IMPORTRANGE(""https://docs.google.com/spreadsheets/d/1SDNX3JhDdYRuIOsj0Wh2M-Qa_eaXl0NbWmh"&amp;"AOTbfQAs/edit?usp=sharing"",""ปัตตานี!M397"")+IMPORTRANGE(""https://docs.google.com/spreadsheets/d/16JDLGguT8s5DsGCND1KcwHP_AWR_zDMTqLHPLJUKhaU/edit?usp=sharing"",""พังงา!M397"")+IMPORTRANGE(""https://docs.google.com/spreadsheets/d/17ht0gPKzzT3PObBL1XJkeR"&amp;"mntBXI7wGjpLV7QorqlTk/edit?usp=sharing"",""พัทลุง!M397"")+IMPORTRANGE(""https://docs.google.com/spreadsheets/d/1rd4qoM1q_hsgaolqNGfrim9gbsoLxQsda4-vOz5x_BM/edit?usp=sharing"",""ภูเก็ต!M397"")+IMPORTRANGE(""https://docs.google.com/spreadsheets/d/1woKwKjgoL"&amp;"ssDvPcPeVyezB5izizAn4X1JDrys69n6xI/edit?usp=sharing"",""ยะลา!M397"")+IMPORTRANGE(""https://docs.google.com/spreadsheets/d/1qfrKjzMhm2HJfxQ-qVlJlJQ25Hne1d0khsySbZyGtPA/edit?usp=sharing"",""ระนอง!M397"")+IMPORTRANGE(""https://docs.google.com/spreadsheets/d/"&amp;"1IbSCnFOKpZsnFogBHJnL_isstZVaOMnFiIN0fGTPZZw/edit?usp=sharing"",""สงขลา!M397"")+IMPORTRANGE(""https://docs.google.com/spreadsheets/d/1q9nWasZJ-K8bFGvbE9n0qSRuKGA4Toe3Y89cKCiVtCU/edit?usp=sharing"",""สตูล!M397"")+IMPORTRANGE(""https://docs.google.com/sprea"&amp;"dsheets/d/18T20gbkS_WBjdscyTOV05cvq_JqvqQ17C81mpxf7Ncs/edit?usp=sharing"",""สุราษฎร์ธานี!M397"")"),0)</f>
        <v>0</v>
      </c>
      <c r="N397" s="47">
        <f ca="1">IFERROR(__xludf.DUMMYFUNCTION("IMPORTRANGE(""https://docs.google.com/spreadsheets/d/1kKUcYdkIfrgTSj8iHHHB2MD2FAtwyyocFgqGQn6ADyI/edit?usp=sharing"",""กระบี่!N397"")+IMPORTRANGE(""https://docs.google.com/spreadsheets/d/1GwtLaSlNZkLk7iDqcyZz22giiy40b_usZZBXYciEN1U/edit?usp=sharing"",""ชุ"&amp;"มพร!N397"")+IMPORTRANGE(""https://docs.google.com/spreadsheets/d/16pAz3pOhQEZBhvFNMa5KGgZS6iKWpsKX0pg6tQmwFpo/edit?usp=sharing"",""ตรัง!N397"")+IMPORTRANGE(""https://docs.google.com/spreadsheets/d/1Dj4jcHCTV9JXKCaMoheSXS52JE63kDKyG7bPXnFogHk/edit?usp=shar"&amp;"ing"",""นครศรีธรรมราช!N397"")+IMPORTRANGE(""https://docs.google.com/spreadsheets/d/1iodCdmuK2GR3jzUwk8tpccY2JHQQA-87DLOtJP-ooyU/edit?usp=sharing"",""นราธิวาส!N397"")+IMPORTRANGE(""https://docs.google.com/spreadsheets/d/1SDNX3JhDdYRuIOsj0Wh2M-Qa_eaXl0NbWmh"&amp;"AOTbfQAs/edit?usp=sharing"",""ปัตตานี!N397"")+IMPORTRANGE(""https://docs.google.com/spreadsheets/d/16JDLGguT8s5DsGCND1KcwHP_AWR_zDMTqLHPLJUKhaU/edit?usp=sharing"",""พังงา!N397"")+IMPORTRANGE(""https://docs.google.com/spreadsheets/d/17ht0gPKzzT3PObBL1XJkeR"&amp;"mntBXI7wGjpLV7QorqlTk/edit?usp=sharing"",""พัทลุง!N397"")+IMPORTRANGE(""https://docs.google.com/spreadsheets/d/1rd4qoM1q_hsgaolqNGfrim9gbsoLxQsda4-vOz5x_BM/edit?usp=sharing"",""ภูเก็ต!N397"")+IMPORTRANGE(""https://docs.google.com/spreadsheets/d/1woKwKjgoL"&amp;"ssDvPcPeVyezB5izizAn4X1JDrys69n6xI/edit?usp=sharing"",""ยะลา!N397"")+IMPORTRANGE(""https://docs.google.com/spreadsheets/d/1qfrKjzMhm2HJfxQ-qVlJlJQ25Hne1d0khsySbZyGtPA/edit?usp=sharing"",""ระนอง!N397"")+IMPORTRANGE(""https://docs.google.com/spreadsheets/d/"&amp;"1IbSCnFOKpZsnFogBHJnL_isstZVaOMnFiIN0fGTPZZw/edit?usp=sharing"",""สงขลา!N397"")+IMPORTRANGE(""https://docs.google.com/spreadsheets/d/1q9nWasZJ-K8bFGvbE9n0qSRuKGA4Toe3Y89cKCiVtCU/edit?usp=sharing"",""สตูล!N397"")+IMPORTRANGE(""https://docs.google.com/sprea"&amp;"dsheets/d/18T20gbkS_WBjdscyTOV05cvq_JqvqQ17C81mpxf7Ncs/edit?usp=sharing"",""สุราษฎร์ธานี!N397"")"),0)</f>
        <v>0</v>
      </c>
      <c r="O397" s="47">
        <f t="shared" ca="1" si="299"/>
        <v>0</v>
      </c>
      <c r="P397" s="47">
        <f t="shared" ca="1" si="300"/>
        <v>0</v>
      </c>
      <c r="Q397" s="47">
        <f ca="1">IFERROR(__xludf.DUMMYFUNCTION("IMPORTRANGE(""https://docs.google.com/spreadsheets/d/1kKUcYdkIfrgTSj8iHHHB2MD2FAtwyyocFgqGQn6ADyI/edit?usp=sharing"",""กระบี่!Q397"")+IMPORTRANGE(""https://docs.google.com/spreadsheets/d/1GwtLaSlNZkLk7iDqcyZz22giiy40b_usZZBXYciEN1U/edit?usp=sharing"",""ชุ"&amp;"มพร!Q397"")+IMPORTRANGE(""https://docs.google.com/spreadsheets/d/16pAz3pOhQEZBhvFNMa5KGgZS6iKWpsKX0pg6tQmwFpo/edit?usp=sharing"",""ตรัง!Q397"")+IMPORTRANGE(""https://docs.google.com/spreadsheets/d/1Dj4jcHCTV9JXKCaMoheSXS52JE63kDKyG7bPXnFogHk/edit?usp=shar"&amp;"ing"",""นครศรีธรรมราช!Q397"")+IMPORTRANGE(""https://docs.google.com/spreadsheets/d/1iodCdmuK2GR3jzUwk8tpccY2JHQQA-87DLOtJP-ooyU/edit?usp=sharing"",""นราธิวาส!Q397"")+IMPORTRANGE(""https://docs.google.com/spreadsheets/d/1SDNX3JhDdYRuIOsj0Wh2M-Qa_eaXl0NbWmh"&amp;"AOTbfQAs/edit?usp=sharing"",""ปัตตานี!Q397"")+IMPORTRANGE(""https://docs.google.com/spreadsheets/d/16JDLGguT8s5DsGCND1KcwHP_AWR_zDMTqLHPLJUKhaU/edit?usp=sharing"",""พังงา!Q397"")+IMPORTRANGE(""https://docs.google.com/spreadsheets/d/17ht0gPKzzT3PObBL1XJkeR"&amp;"mntBXI7wGjpLV7QorqlTk/edit?usp=sharing"",""พัทลุง!Q397"")+IMPORTRANGE(""https://docs.google.com/spreadsheets/d/1rd4qoM1q_hsgaolqNGfrim9gbsoLxQsda4-vOz5x_BM/edit?usp=sharing"",""ภูเก็ต!Q397"")+IMPORTRANGE(""https://docs.google.com/spreadsheets/d/1woKwKjgoL"&amp;"ssDvPcPeVyezB5izizAn4X1JDrys69n6xI/edit?usp=sharing"",""ยะลา!Q397"")+IMPORTRANGE(""https://docs.google.com/spreadsheets/d/1qfrKjzMhm2HJfxQ-qVlJlJQ25Hne1d0khsySbZyGtPA/edit?usp=sharing"",""ระนอง!Q397"")+IMPORTRANGE(""https://docs.google.com/spreadsheets/d/"&amp;"1IbSCnFOKpZsnFogBHJnL_isstZVaOMnFiIN0fGTPZZw/edit?usp=sharing"",""สงขลา!Q397"")+IMPORTRANGE(""https://docs.google.com/spreadsheets/d/1q9nWasZJ-K8bFGvbE9n0qSRuKGA4Toe3Y89cKCiVtCU/edit?usp=sharing"",""สตูล!Q397"")+IMPORTRANGE(""https://docs.google.com/sprea"&amp;"dsheets/d/18T20gbkS_WBjdscyTOV05cvq_JqvqQ17C81mpxf7Ncs/edit?usp=sharing"",""สุราษฎร์ธานี!Q397"")"),0)</f>
        <v>0</v>
      </c>
      <c r="R397" s="47">
        <f ca="1">IFERROR(__xludf.DUMMYFUNCTION("IMPORTRANGE(""https://docs.google.com/spreadsheets/d/1kKUcYdkIfrgTSj8iHHHB2MD2FAtwyyocFgqGQn6ADyI/edit?usp=sharing"",""กระบี่!R397"")+IMPORTRANGE(""https://docs.google.com/spreadsheets/d/1GwtLaSlNZkLk7iDqcyZz22giiy40b_usZZBXYciEN1U/edit?usp=sharing"",""ชุ"&amp;"มพร!R397"")+IMPORTRANGE(""https://docs.google.com/spreadsheets/d/16pAz3pOhQEZBhvFNMa5KGgZS6iKWpsKX0pg6tQmwFpo/edit?usp=sharing"",""ตรัง!R397"")+IMPORTRANGE(""https://docs.google.com/spreadsheets/d/1Dj4jcHCTV9JXKCaMoheSXS52JE63kDKyG7bPXnFogHk/edit?usp=shar"&amp;"ing"",""นครศรีธรรมราช!R397"")+IMPORTRANGE(""https://docs.google.com/spreadsheets/d/1iodCdmuK2GR3jzUwk8tpccY2JHQQA-87DLOtJP-ooyU/edit?usp=sharing"",""นราธิวาส!R397"")+IMPORTRANGE(""https://docs.google.com/spreadsheets/d/1SDNX3JhDdYRuIOsj0Wh2M-Qa_eaXl0NbWmh"&amp;"AOTbfQAs/edit?usp=sharing"",""ปัตตานี!R397"")+IMPORTRANGE(""https://docs.google.com/spreadsheets/d/16JDLGguT8s5DsGCND1KcwHP_AWR_zDMTqLHPLJUKhaU/edit?usp=sharing"",""พังงา!R397"")+IMPORTRANGE(""https://docs.google.com/spreadsheets/d/17ht0gPKzzT3PObBL1XJkeR"&amp;"mntBXI7wGjpLV7QorqlTk/edit?usp=sharing"",""พัทลุง!R397"")+IMPORTRANGE(""https://docs.google.com/spreadsheets/d/1rd4qoM1q_hsgaolqNGfrim9gbsoLxQsda4-vOz5x_BM/edit?usp=sharing"",""ภูเก็ต!R397"")+IMPORTRANGE(""https://docs.google.com/spreadsheets/d/1woKwKjgoL"&amp;"ssDvPcPeVyezB5izizAn4X1JDrys69n6xI/edit?usp=sharing"",""ยะลา!R397"")+IMPORTRANGE(""https://docs.google.com/spreadsheets/d/1qfrKjzMhm2HJfxQ-qVlJlJQ25Hne1d0khsySbZyGtPA/edit?usp=sharing"",""ระนอง!R397"")+IMPORTRANGE(""https://docs.google.com/spreadsheets/d/"&amp;"1IbSCnFOKpZsnFogBHJnL_isstZVaOMnFiIN0fGTPZZw/edit?usp=sharing"",""สงขลา!R397"")+IMPORTRANGE(""https://docs.google.com/spreadsheets/d/1q9nWasZJ-K8bFGvbE9n0qSRuKGA4Toe3Y89cKCiVtCU/edit?usp=sharing"",""สตูล!R397"")+IMPORTRANGE(""https://docs.google.com/sprea"&amp;"dsheets/d/18T20gbkS_WBjdscyTOV05cvq_JqvqQ17C81mpxf7Ncs/edit?usp=sharing"",""สุราษฎร์ธานี!R397"")"),0)</f>
        <v>0</v>
      </c>
      <c r="S397" s="47">
        <f ca="1">IFERROR(__xludf.DUMMYFUNCTION("IMPORTRANGE(""https://docs.google.com/spreadsheets/d/1kKUcYdkIfrgTSj8iHHHB2MD2FAtwyyocFgqGQn6ADyI/edit?usp=sharing"",""กระบี่!S397"")+IMPORTRANGE(""https://docs.google.com/spreadsheets/d/1GwtLaSlNZkLk7iDqcyZz22giiy40b_usZZBXYciEN1U/edit?usp=sharing"",""ชุ"&amp;"มพร!S397"")+IMPORTRANGE(""https://docs.google.com/spreadsheets/d/16pAz3pOhQEZBhvFNMa5KGgZS6iKWpsKX0pg6tQmwFpo/edit?usp=sharing"",""ตรัง!S397"")+IMPORTRANGE(""https://docs.google.com/spreadsheets/d/1Dj4jcHCTV9JXKCaMoheSXS52JE63kDKyG7bPXnFogHk/edit?usp=shar"&amp;"ing"",""นครศรีธรรมราช!S397"")+IMPORTRANGE(""https://docs.google.com/spreadsheets/d/1iodCdmuK2GR3jzUwk8tpccY2JHQQA-87DLOtJP-ooyU/edit?usp=sharing"",""นราธิวาส!S397"")+IMPORTRANGE(""https://docs.google.com/spreadsheets/d/1SDNX3JhDdYRuIOsj0Wh2M-Qa_eaXl0NbWmh"&amp;"AOTbfQAs/edit?usp=sharing"",""ปัตตานี!S397"")+IMPORTRANGE(""https://docs.google.com/spreadsheets/d/16JDLGguT8s5DsGCND1KcwHP_AWR_zDMTqLHPLJUKhaU/edit?usp=sharing"",""พังงา!S397"")+IMPORTRANGE(""https://docs.google.com/spreadsheets/d/17ht0gPKzzT3PObBL1XJkeR"&amp;"mntBXI7wGjpLV7QorqlTk/edit?usp=sharing"",""พัทลุง!S397"")+IMPORTRANGE(""https://docs.google.com/spreadsheets/d/1rd4qoM1q_hsgaolqNGfrim9gbsoLxQsda4-vOz5x_BM/edit?usp=sharing"",""ภูเก็ต!S397"")+IMPORTRANGE(""https://docs.google.com/spreadsheets/d/1woKwKjgoL"&amp;"ssDvPcPeVyezB5izizAn4X1JDrys69n6xI/edit?usp=sharing"",""ยะลา!S397"")+IMPORTRANGE(""https://docs.google.com/spreadsheets/d/1qfrKjzMhm2HJfxQ-qVlJlJQ25Hne1d0khsySbZyGtPA/edit?usp=sharing"",""ระนอง!S397"")+IMPORTRANGE(""https://docs.google.com/spreadsheets/d/"&amp;"1IbSCnFOKpZsnFogBHJnL_isstZVaOMnFiIN0fGTPZZw/edit?usp=sharing"",""สงขลา!S397"")+IMPORTRANGE(""https://docs.google.com/spreadsheets/d/1q9nWasZJ-K8bFGvbE9n0qSRuKGA4Toe3Y89cKCiVtCU/edit?usp=sharing"",""สตูล!S397"")+IMPORTRANGE(""https://docs.google.com/sprea"&amp;"dsheets/d/18T20gbkS_WBjdscyTOV05cvq_JqvqQ17C81mpxf7Ncs/edit?usp=sharing"",""สุราษฎร์ธานี!S397"")"),0)</f>
        <v>0</v>
      </c>
      <c r="T397" s="47">
        <f t="shared" ca="1" si="302"/>
        <v>0</v>
      </c>
      <c r="U397" s="47">
        <f t="shared" ca="1" si="303"/>
        <v>0</v>
      </c>
    </row>
    <row r="398" spans="1:21" ht="18.75" hidden="1" x14ac:dyDescent="0.25">
      <c r="A398" s="128"/>
      <c r="B398" s="159"/>
      <c r="C398" s="159"/>
      <c r="D398" s="161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47">
        <f t="shared" ref="L398:N398" ca="1" si="310">L399+L400</f>
        <v>0</v>
      </c>
      <c r="M398" s="47">
        <f t="shared" ca="1" si="310"/>
        <v>0</v>
      </c>
      <c r="N398" s="47">
        <f t="shared" ca="1" si="310"/>
        <v>0</v>
      </c>
      <c r="O398" s="47">
        <f t="shared" ca="1" si="299"/>
        <v>0</v>
      </c>
      <c r="P398" s="47">
        <f t="shared" ca="1" si="300"/>
        <v>0</v>
      </c>
      <c r="Q398" s="47">
        <f t="shared" ref="Q398:S398" ca="1" si="311">Q399+Q400</f>
        <v>0</v>
      </c>
      <c r="R398" s="47">
        <f t="shared" ca="1" si="311"/>
        <v>0</v>
      </c>
      <c r="S398" s="47">
        <f t="shared" ca="1" si="311"/>
        <v>0</v>
      </c>
      <c r="T398" s="47">
        <f t="shared" ca="1" si="302"/>
        <v>0</v>
      </c>
      <c r="U398" s="47">
        <f t="shared" ca="1" si="303"/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49">
        <f ca="1">IFERROR(__xludf.DUMMYFUNCTION("IMPORTRANGE(""https://docs.google.com/spreadsheets/d/1kKUcYdkIfrgTSj8iHHHB2MD2FAtwyyocFgqGQn6ADyI/edit?usp=sharing"",""กระบี่!L399"")+IMPORTRANGE(""https://docs.google.com/spreadsheets/d/1GwtLaSlNZkLk7iDqcyZz22giiy40b_usZZBXYciEN1U/edit?usp=sharing"",""ชุ"&amp;"มพร!L399"")+IMPORTRANGE(""https://docs.google.com/spreadsheets/d/16pAz3pOhQEZBhvFNMa5KGgZS6iKWpsKX0pg6tQmwFpo/edit?usp=sharing"",""ตรัง!L399"")+IMPORTRANGE(""https://docs.google.com/spreadsheets/d/1Dj4jcHCTV9JXKCaMoheSXS52JE63kDKyG7bPXnFogHk/edit?usp=shar"&amp;"ing"",""นครศรีธรรมราช!L399"")+IMPORTRANGE(""https://docs.google.com/spreadsheets/d/1iodCdmuK2GR3jzUwk8tpccY2JHQQA-87DLOtJP-ooyU/edit?usp=sharing"",""นราธิวาส!L399"")+IMPORTRANGE(""https://docs.google.com/spreadsheets/d/1SDNX3JhDdYRuIOsj0Wh2M-Qa_eaXl0NbWmh"&amp;"AOTbfQAs/edit?usp=sharing"",""ปัตตานี!L399"")+IMPORTRANGE(""https://docs.google.com/spreadsheets/d/16JDLGguT8s5DsGCND1KcwHP_AWR_zDMTqLHPLJUKhaU/edit?usp=sharing"",""พังงา!L399"")+IMPORTRANGE(""https://docs.google.com/spreadsheets/d/17ht0gPKzzT3PObBL1XJkeR"&amp;"mntBXI7wGjpLV7QorqlTk/edit?usp=sharing"",""พัทลุง!L399"")+IMPORTRANGE(""https://docs.google.com/spreadsheets/d/1rd4qoM1q_hsgaolqNGfrim9gbsoLxQsda4-vOz5x_BM/edit?usp=sharing"",""ภูเก็ต!L399"")+IMPORTRANGE(""https://docs.google.com/spreadsheets/d/1woKwKjgoL"&amp;"ssDvPcPeVyezB5izizAn4X1JDrys69n6xI/edit?usp=sharing"",""ยะลา!L399"")+IMPORTRANGE(""https://docs.google.com/spreadsheets/d/1qfrKjzMhm2HJfxQ-qVlJlJQ25Hne1d0khsySbZyGtPA/edit?usp=sharing"",""ระนอง!L399"")+IMPORTRANGE(""https://docs.google.com/spreadsheets/d/"&amp;"1IbSCnFOKpZsnFogBHJnL_isstZVaOMnFiIN0fGTPZZw/edit?usp=sharing"",""สงขลา!L399"")+IMPORTRANGE(""https://docs.google.com/spreadsheets/d/1q9nWasZJ-K8bFGvbE9n0qSRuKGA4Toe3Y89cKCiVtCU/edit?usp=sharing"",""สตูล!L399"")+IMPORTRANGE(""https://docs.google.com/sprea"&amp;"dsheets/d/18T20gbkS_WBjdscyTOV05cvq_JqvqQ17C81mpxf7Ncs/edit?usp=sharing"",""สุราษฎร์ธานี!L399"")"),0)</f>
        <v>0</v>
      </c>
      <c r="M399" s="49">
        <f ca="1">IFERROR(__xludf.DUMMYFUNCTION("IMPORTRANGE(""https://docs.google.com/spreadsheets/d/1kKUcYdkIfrgTSj8iHHHB2MD2FAtwyyocFgqGQn6ADyI/edit?usp=sharing"",""กระบี่!M399"")+IMPORTRANGE(""https://docs.google.com/spreadsheets/d/1GwtLaSlNZkLk7iDqcyZz22giiy40b_usZZBXYciEN1U/edit?usp=sharing"",""ชุ"&amp;"มพร!M399"")+IMPORTRANGE(""https://docs.google.com/spreadsheets/d/16pAz3pOhQEZBhvFNMa5KGgZS6iKWpsKX0pg6tQmwFpo/edit?usp=sharing"",""ตรัง!M399"")+IMPORTRANGE(""https://docs.google.com/spreadsheets/d/1Dj4jcHCTV9JXKCaMoheSXS52JE63kDKyG7bPXnFogHk/edit?usp=shar"&amp;"ing"",""นครศรีธรรมราช!M399"")+IMPORTRANGE(""https://docs.google.com/spreadsheets/d/1iodCdmuK2GR3jzUwk8tpccY2JHQQA-87DLOtJP-ooyU/edit?usp=sharing"",""นราธิวาส!M399"")+IMPORTRANGE(""https://docs.google.com/spreadsheets/d/1SDNX3JhDdYRuIOsj0Wh2M-Qa_eaXl0NbWmh"&amp;"AOTbfQAs/edit?usp=sharing"",""ปัตตานี!M399"")+IMPORTRANGE(""https://docs.google.com/spreadsheets/d/16JDLGguT8s5DsGCND1KcwHP_AWR_zDMTqLHPLJUKhaU/edit?usp=sharing"",""พังงา!M399"")+IMPORTRANGE(""https://docs.google.com/spreadsheets/d/17ht0gPKzzT3PObBL1XJkeR"&amp;"mntBXI7wGjpLV7QorqlTk/edit?usp=sharing"",""พัทลุง!M399"")+IMPORTRANGE(""https://docs.google.com/spreadsheets/d/1rd4qoM1q_hsgaolqNGfrim9gbsoLxQsda4-vOz5x_BM/edit?usp=sharing"",""ภูเก็ต!M399"")+IMPORTRANGE(""https://docs.google.com/spreadsheets/d/1woKwKjgoL"&amp;"ssDvPcPeVyezB5izizAn4X1JDrys69n6xI/edit?usp=sharing"",""ยะลา!M399"")+IMPORTRANGE(""https://docs.google.com/spreadsheets/d/1qfrKjzMhm2HJfxQ-qVlJlJQ25Hne1d0khsySbZyGtPA/edit?usp=sharing"",""ระนอง!M399"")+IMPORTRANGE(""https://docs.google.com/spreadsheets/d/"&amp;"1IbSCnFOKpZsnFogBHJnL_isstZVaOMnFiIN0fGTPZZw/edit?usp=sharing"",""สงขลา!M399"")+IMPORTRANGE(""https://docs.google.com/spreadsheets/d/1q9nWasZJ-K8bFGvbE9n0qSRuKGA4Toe3Y89cKCiVtCU/edit?usp=sharing"",""สตูล!M399"")+IMPORTRANGE(""https://docs.google.com/sprea"&amp;"dsheets/d/18T20gbkS_WBjdscyTOV05cvq_JqvqQ17C81mpxf7Ncs/edit?usp=sharing"",""สุราษฎร์ธานี!M399"")"),0)</f>
        <v>0</v>
      </c>
      <c r="N399" s="49">
        <f ca="1">IFERROR(__xludf.DUMMYFUNCTION("IMPORTRANGE(""https://docs.google.com/spreadsheets/d/1kKUcYdkIfrgTSj8iHHHB2MD2FAtwyyocFgqGQn6ADyI/edit?usp=sharing"",""กระบี่!N399"")+IMPORTRANGE(""https://docs.google.com/spreadsheets/d/1GwtLaSlNZkLk7iDqcyZz22giiy40b_usZZBXYciEN1U/edit?usp=sharing"",""ชุ"&amp;"มพร!N399"")+IMPORTRANGE(""https://docs.google.com/spreadsheets/d/16pAz3pOhQEZBhvFNMa5KGgZS6iKWpsKX0pg6tQmwFpo/edit?usp=sharing"",""ตรัง!N399"")+IMPORTRANGE(""https://docs.google.com/spreadsheets/d/1Dj4jcHCTV9JXKCaMoheSXS52JE63kDKyG7bPXnFogHk/edit?usp=shar"&amp;"ing"",""นครศรีธรรมราช!N399"")+IMPORTRANGE(""https://docs.google.com/spreadsheets/d/1iodCdmuK2GR3jzUwk8tpccY2JHQQA-87DLOtJP-ooyU/edit?usp=sharing"",""นราธิวาส!N399"")+IMPORTRANGE(""https://docs.google.com/spreadsheets/d/1SDNX3JhDdYRuIOsj0Wh2M-Qa_eaXl0NbWmh"&amp;"AOTbfQAs/edit?usp=sharing"",""ปัตตานี!N399"")+IMPORTRANGE(""https://docs.google.com/spreadsheets/d/16JDLGguT8s5DsGCND1KcwHP_AWR_zDMTqLHPLJUKhaU/edit?usp=sharing"",""พังงา!N399"")+IMPORTRANGE(""https://docs.google.com/spreadsheets/d/17ht0gPKzzT3PObBL1XJkeR"&amp;"mntBXI7wGjpLV7QorqlTk/edit?usp=sharing"",""พัทลุง!N399"")+IMPORTRANGE(""https://docs.google.com/spreadsheets/d/1rd4qoM1q_hsgaolqNGfrim9gbsoLxQsda4-vOz5x_BM/edit?usp=sharing"",""ภูเก็ต!N399"")+IMPORTRANGE(""https://docs.google.com/spreadsheets/d/1woKwKjgoL"&amp;"ssDvPcPeVyezB5izizAn4X1JDrys69n6xI/edit?usp=sharing"",""ยะลา!N399"")+IMPORTRANGE(""https://docs.google.com/spreadsheets/d/1qfrKjzMhm2HJfxQ-qVlJlJQ25Hne1d0khsySbZyGtPA/edit?usp=sharing"",""ระนอง!N399"")+IMPORTRANGE(""https://docs.google.com/spreadsheets/d/"&amp;"1IbSCnFOKpZsnFogBHJnL_isstZVaOMnFiIN0fGTPZZw/edit?usp=sharing"",""สงขลา!N399"")+IMPORTRANGE(""https://docs.google.com/spreadsheets/d/1q9nWasZJ-K8bFGvbE9n0qSRuKGA4Toe3Y89cKCiVtCU/edit?usp=sharing"",""สตูล!N399"")+IMPORTRANGE(""https://docs.google.com/sprea"&amp;"dsheets/d/18T20gbkS_WBjdscyTOV05cvq_JqvqQ17C81mpxf7Ncs/edit?usp=sharing"",""สุราษฎร์ธานี!N399"")"),0)</f>
        <v>0</v>
      </c>
      <c r="O399" s="49">
        <f t="shared" ca="1" si="299"/>
        <v>0</v>
      </c>
      <c r="P399" s="49">
        <f t="shared" ca="1" si="300"/>
        <v>0</v>
      </c>
      <c r="Q399" s="49">
        <f ca="1">IFERROR(__xludf.DUMMYFUNCTION("IMPORTRANGE(""https://docs.google.com/spreadsheets/d/1kKUcYdkIfrgTSj8iHHHB2MD2FAtwyyocFgqGQn6ADyI/edit?usp=sharing"",""กระบี่!Q399"")+IMPORTRANGE(""https://docs.google.com/spreadsheets/d/1GwtLaSlNZkLk7iDqcyZz22giiy40b_usZZBXYciEN1U/edit?usp=sharing"",""ชุ"&amp;"มพร!Q399"")+IMPORTRANGE(""https://docs.google.com/spreadsheets/d/16pAz3pOhQEZBhvFNMa5KGgZS6iKWpsKX0pg6tQmwFpo/edit?usp=sharing"",""ตรัง!Q399"")+IMPORTRANGE(""https://docs.google.com/spreadsheets/d/1Dj4jcHCTV9JXKCaMoheSXS52JE63kDKyG7bPXnFogHk/edit?usp=shar"&amp;"ing"",""นครศรีธรรมราช!Q399"")+IMPORTRANGE(""https://docs.google.com/spreadsheets/d/1iodCdmuK2GR3jzUwk8tpccY2JHQQA-87DLOtJP-ooyU/edit?usp=sharing"",""นราธิวาส!Q399"")+IMPORTRANGE(""https://docs.google.com/spreadsheets/d/1SDNX3JhDdYRuIOsj0Wh2M-Qa_eaXl0NbWmh"&amp;"AOTbfQAs/edit?usp=sharing"",""ปัตตานี!Q399"")+IMPORTRANGE(""https://docs.google.com/spreadsheets/d/16JDLGguT8s5DsGCND1KcwHP_AWR_zDMTqLHPLJUKhaU/edit?usp=sharing"",""พังงา!Q399"")+IMPORTRANGE(""https://docs.google.com/spreadsheets/d/17ht0gPKzzT3PObBL1XJkeR"&amp;"mntBXI7wGjpLV7QorqlTk/edit?usp=sharing"",""พัทลุง!Q399"")+IMPORTRANGE(""https://docs.google.com/spreadsheets/d/1rd4qoM1q_hsgaolqNGfrim9gbsoLxQsda4-vOz5x_BM/edit?usp=sharing"",""ภูเก็ต!Q399"")+IMPORTRANGE(""https://docs.google.com/spreadsheets/d/1woKwKjgoL"&amp;"ssDvPcPeVyezB5izizAn4X1JDrys69n6xI/edit?usp=sharing"",""ยะลา!Q399"")+IMPORTRANGE(""https://docs.google.com/spreadsheets/d/1qfrKjzMhm2HJfxQ-qVlJlJQ25Hne1d0khsySbZyGtPA/edit?usp=sharing"",""ระนอง!Q399"")+IMPORTRANGE(""https://docs.google.com/spreadsheets/d/"&amp;"1IbSCnFOKpZsnFogBHJnL_isstZVaOMnFiIN0fGTPZZw/edit?usp=sharing"",""สงขลา!Q399"")+IMPORTRANGE(""https://docs.google.com/spreadsheets/d/1q9nWasZJ-K8bFGvbE9n0qSRuKGA4Toe3Y89cKCiVtCU/edit?usp=sharing"",""สตูล!Q399"")+IMPORTRANGE(""https://docs.google.com/sprea"&amp;"dsheets/d/18T20gbkS_WBjdscyTOV05cvq_JqvqQ17C81mpxf7Ncs/edit?usp=sharing"",""สุราษฎร์ธานี!Q399"")"),0)</f>
        <v>0</v>
      </c>
      <c r="R399" s="49">
        <f ca="1">IFERROR(__xludf.DUMMYFUNCTION("IMPORTRANGE(""https://docs.google.com/spreadsheets/d/1kKUcYdkIfrgTSj8iHHHB2MD2FAtwyyocFgqGQn6ADyI/edit?usp=sharing"",""กระบี่!R399"")+IMPORTRANGE(""https://docs.google.com/spreadsheets/d/1GwtLaSlNZkLk7iDqcyZz22giiy40b_usZZBXYciEN1U/edit?usp=sharing"",""ชุ"&amp;"มพร!R399"")+IMPORTRANGE(""https://docs.google.com/spreadsheets/d/16pAz3pOhQEZBhvFNMa5KGgZS6iKWpsKX0pg6tQmwFpo/edit?usp=sharing"",""ตรัง!R399"")+IMPORTRANGE(""https://docs.google.com/spreadsheets/d/1Dj4jcHCTV9JXKCaMoheSXS52JE63kDKyG7bPXnFogHk/edit?usp=shar"&amp;"ing"",""นครศรีธรรมราช!R399"")+IMPORTRANGE(""https://docs.google.com/spreadsheets/d/1iodCdmuK2GR3jzUwk8tpccY2JHQQA-87DLOtJP-ooyU/edit?usp=sharing"",""นราธิวาส!R399"")+IMPORTRANGE(""https://docs.google.com/spreadsheets/d/1SDNX3JhDdYRuIOsj0Wh2M-Qa_eaXl0NbWmh"&amp;"AOTbfQAs/edit?usp=sharing"",""ปัตตานี!R399"")+IMPORTRANGE(""https://docs.google.com/spreadsheets/d/16JDLGguT8s5DsGCND1KcwHP_AWR_zDMTqLHPLJUKhaU/edit?usp=sharing"",""พังงา!R399"")+IMPORTRANGE(""https://docs.google.com/spreadsheets/d/17ht0gPKzzT3PObBL1XJkeR"&amp;"mntBXI7wGjpLV7QorqlTk/edit?usp=sharing"",""พัทลุง!R399"")+IMPORTRANGE(""https://docs.google.com/spreadsheets/d/1rd4qoM1q_hsgaolqNGfrim9gbsoLxQsda4-vOz5x_BM/edit?usp=sharing"",""ภูเก็ต!R399"")+IMPORTRANGE(""https://docs.google.com/spreadsheets/d/1woKwKjgoL"&amp;"ssDvPcPeVyezB5izizAn4X1JDrys69n6xI/edit?usp=sharing"",""ยะลา!R399"")+IMPORTRANGE(""https://docs.google.com/spreadsheets/d/1qfrKjzMhm2HJfxQ-qVlJlJQ25Hne1d0khsySbZyGtPA/edit?usp=sharing"",""ระนอง!R399"")+IMPORTRANGE(""https://docs.google.com/spreadsheets/d/"&amp;"1IbSCnFOKpZsnFogBHJnL_isstZVaOMnFiIN0fGTPZZw/edit?usp=sharing"",""สงขลา!R399"")+IMPORTRANGE(""https://docs.google.com/spreadsheets/d/1q9nWasZJ-K8bFGvbE9n0qSRuKGA4Toe3Y89cKCiVtCU/edit?usp=sharing"",""สตูล!R399"")+IMPORTRANGE(""https://docs.google.com/sprea"&amp;"dsheets/d/18T20gbkS_WBjdscyTOV05cvq_JqvqQ17C81mpxf7Ncs/edit?usp=sharing"",""สุราษฎร์ธานี!R399"")"),0)</f>
        <v>0</v>
      </c>
      <c r="S399" s="49">
        <f ca="1">IFERROR(__xludf.DUMMYFUNCTION("IMPORTRANGE(""https://docs.google.com/spreadsheets/d/1kKUcYdkIfrgTSj8iHHHB2MD2FAtwyyocFgqGQn6ADyI/edit?usp=sharing"",""กระบี่!S399"")+IMPORTRANGE(""https://docs.google.com/spreadsheets/d/1GwtLaSlNZkLk7iDqcyZz22giiy40b_usZZBXYciEN1U/edit?usp=sharing"",""ชุ"&amp;"มพร!S399"")+IMPORTRANGE(""https://docs.google.com/spreadsheets/d/16pAz3pOhQEZBhvFNMa5KGgZS6iKWpsKX0pg6tQmwFpo/edit?usp=sharing"",""ตรัง!S399"")+IMPORTRANGE(""https://docs.google.com/spreadsheets/d/1Dj4jcHCTV9JXKCaMoheSXS52JE63kDKyG7bPXnFogHk/edit?usp=shar"&amp;"ing"",""นครศรีธรรมราช!S399"")+IMPORTRANGE(""https://docs.google.com/spreadsheets/d/1iodCdmuK2GR3jzUwk8tpccY2JHQQA-87DLOtJP-ooyU/edit?usp=sharing"",""นราธิวาส!S399"")+IMPORTRANGE(""https://docs.google.com/spreadsheets/d/1SDNX3JhDdYRuIOsj0Wh2M-Qa_eaXl0NbWmh"&amp;"AOTbfQAs/edit?usp=sharing"",""ปัตตานี!S399"")+IMPORTRANGE(""https://docs.google.com/spreadsheets/d/16JDLGguT8s5DsGCND1KcwHP_AWR_zDMTqLHPLJUKhaU/edit?usp=sharing"",""พังงา!S399"")+IMPORTRANGE(""https://docs.google.com/spreadsheets/d/17ht0gPKzzT3PObBL1XJkeR"&amp;"mntBXI7wGjpLV7QorqlTk/edit?usp=sharing"",""พัทลุง!S399"")+IMPORTRANGE(""https://docs.google.com/spreadsheets/d/1rd4qoM1q_hsgaolqNGfrim9gbsoLxQsda4-vOz5x_BM/edit?usp=sharing"",""ภูเก็ต!S399"")+IMPORTRANGE(""https://docs.google.com/spreadsheets/d/1woKwKjgoL"&amp;"ssDvPcPeVyezB5izizAn4X1JDrys69n6xI/edit?usp=sharing"",""ยะลา!S399"")+IMPORTRANGE(""https://docs.google.com/spreadsheets/d/1qfrKjzMhm2HJfxQ-qVlJlJQ25Hne1d0khsySbZyGtPA/edit?usp=sharing"",""ระนอง!S399"")+IMPORTRANGE(""https://docs.google.com/spreadsheets/d/"&amp;"1IbSCnFOKpZsnFogBHJnL_isstZVaOMnFiIN0fGTPZZw/edit?usp=sharing"",""สงขลา!S399"")+IMPORTRANGE(""https://docs.google.com/spreadsheets/d/1q9nWasZJ-K8bFGvbE9n0qSRuKGA4Toe3Y89cKCiVtCU/edit?usp=sharing"",""สตูล!S399"")+IMPORTRANGE(""https://docs.google.com/sprea"&amp;"dsheets/d/18T20gbkS_WBjdscyTOV05cvq_JqvqQ17C81mpxf7Ncs/edit?usp=sharing"",""สุราษฎร์ธานี!S399"")"),0)</f>
        <v>0</v>
      </c>
      <c r="T399" s="49">
        <f t="shared" ca="1" si="302"/>
        <v>0</v>
      </c>
      <c r="U399" s="49">
        <f t="shared" ca="1" si="303"/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47">
        <f ca="1">IFERROR(__xludf.DUMMYFUNCTION("IMPORTRANGE(""https://docs.google.com/spreadsheets/d/1kKUcYdkIfrgTSj8iHHHB2MD2FAtwyyocFgqGQn6ADyI/edit?usp=sharing"",""กระบี่!L400"")+IMPORTRANGE(""https://docs.google.com/spreadsheets/d/1GwtLaSlNZkLk7iDqcyZz22giiy40b_usZZBXYciEN1U/edit?usp=sharing"",""ชุ"&amp;"มพร!L400"")+IMPORTRANGE(""https://docs.google.com/spreadsheets/d/16pAz3pOhQEZBhvFNMa5KGgZS6iKWpsKX0pg6tQmwFpo/edit?usp=sharing"",""ตรัง!L400"")+IMPORTRANGE(""https://docs.google.com/spreadsheets/d/1Dj4jcHCTV9JXKCaMoheSXS52JE63kDKyG7bPXnFogHk/edit?usp=shar"&amp;"ing"",""นครศรีธรรมราช!L400"")+IMPORTRANGE(""https://docs.google.com/spreadsheets/d/1iodCdmuK2GR3jzUwk8tpccY2JHQQA-87DLOtJP-ooyU/edit?usp=sharing"",""นราธิวาส!L400"")+IMPORTRANGE(""https://docs.google.com/spreadsheets/d/1SDNX3JhDdYRuIOsj0Wh2M-Qa_eaXl0NbWmh"&amp;"AOTbfQAs/edit?usp=sharing"",""ปัตตานี!L400"")+IMPORTRANGE(""https://docs.google.com/spreadsheets/d/16JDLGguT8s5DsGCND1KcwHP_AWR_zDMTqLHPLJUKhaU/edit?usp=sharing"",""พังงา!L400"")+IMPORTRANGE(""https://docs.google.com/spreadsheets/d/17ht0gPKzzT3PObBL1XJkeR"&amp;"mntBXI7wGjpLV7QorqlTk/edit?usp=sharing"",""พัทลุง!L400"")+IMPORTRANGE(""https://docs.google.com/spreadsheets/d/1rd4qoM1q_hsgaolqNGfrim9gbsoLxQsda4-vOz5x_BM/edit?usp=sharing"",""ภูเก็ต!L400"")+IMPORTRANGE(""https://docs.google.com/spreadsheets/d/1woKwKjgoL"&amp;"ssDvPcPeVyezB5izizAn4X1JDrys69n6xI/edit?usp=sharing"",""ยะลา!L400"")+IMPORTRANGE(""https://docs.google.com/spreadsheets/d/1qfrKjzMhm2HJfxQ-qVlJlJQ25Hne1d0khsySbZyGtPA/edit?usp=sharing"",""ระนอง!L400"")+IMPORTRANGE(""https://docs.google.com/spreadsheets/d/"&amp;"1IbSCnFOKpZsnFogBHJnL_isstZVaOMnFiIN0fGTPZZw/edit?usp=sharing"",""สงขลา!L400"")+IMPORTRANGE(""https://docs.google.com/spreadsheets/d/1q9nWasZJ-K8bFGvbE9n0qSRuKGA4Toe3Y89cKCiVtCU/edit?usp=sharing"",""สตูล!L400"")+IMPORTRANGE(""https://docs.google.com/sprea"&amp;"dsheets/d/18T20gbkS_WBjdscyTOV05cvq_JqvqQ17C81mpxf7Ncs/edit?usp=sharing"",""สุราษฎร์ธานี!L400"")"),0)</f>
        <v>0</v>
      </c>
      <c r="M400" s="47">
        <f ca="1">IFERROR(__xludf.DUMMYFUNCTION("IMPORTRANGE(""https://docs.google.com/spreadsheets/d/1kKUcYdkIfrgTSj8iHHHB2MD2FAtwyyocFgqGQn6ADyI/edit?usp=sharing"",""กระบี่!M400"")+IMPORTRANGE(""https://docs.google.com/spreadsheets/d/1GwtLaSlNZkLk7iDqcyZz22giiy40b_usZZBXYciEN1U/edit?usp=sharing"",""ชุ"&amp;"มพร!M400"")+IMPORTRANGE(""https://docs.google.com/spreadsheets/d/16pAz3pOhQEZBhvFNMa5KGgZS6iKWpsKX0pg6tQmwFpo/edit?usp=sharing"",""ตรัง!M400"")+IMPORTRANGE(""https://docs.google.com/spreadsheets/d/1Dj4jcHCTV9JXKCaMoheSXS52JE63kDKyG7bPXnFogHk/edit?usp=shar"&amp;"ing"",""นครศรีธรรมราช!M400"")+IMPORTRANGE(""https://docs.google.com/spreadsheets/d/1iodCdmuK2GR3jzUwk8tpccY2JHQQA-87DLOtJP-ooyU/edit?usp=sharing"",""นราธิวาส!M400"")+IMPORTRANGE(""https://docs.google.com/spreadsheets/d/1SDNX3JhDdYRuIOsj0Wh2M-Qa_eaXl0NbWmh"&amp;"AOTbfQAs/edit?usp=sharing"",""ปัตตานี!M400"")+IMPORTRANGE(""https://docs.google.com/spreadsheets/d/16JDLGguT8s5DsGCND1KcwHP_AWR_zDMTqLHPLJUKhaU/edit?usp=sharing"",""พังงา!M400"")+IMPORTRANGE(""https://docs.google.com/spreadsheets/d/17ht0gPKzzT3PObBL1XJkeR"&amp;"mntBXI7wGjpLV7QorqlTk/edit?usp=sharing"",""พัทลุง!M400"")+IMPORTRANGE(""https://docs.google.com/spreadsheets/d/1rd4qoM1q_hsgaolqNGfrim9gbsoLxQsda4-vOz5x_BM/edit?usp=sharing"",""ภูเก็ต!M400"")+IMPORTRANGE(""https://docs.google.com/spreadsheets/d/1woKwKjgoL"&amp;"ssDvPcPeVyezB5izizAn4X1JDrys69n6xI/edit?usp=sharing"",""ยะลา!M400"")+IMPORTRANGE(""https://docs.google.com/spreadsheets/d/1qfrKjzMhm2HJfxQ-qVlJlJQ25Hne1d0khsySbZyGtPA/edit?usp=sharing"",""ระนอง!M400"")+IMPORTRANGE(""https://docs.google.com/spreadsheets/d/"&amp;"1IbSCnFOKpZsnFogBHJnL_isstZVaOMnFiIN0fGTPZZw/edit?usp=sharing"",""สงขลา!M400"")+IMPORTRANGE(""https://docs.google.com/spreadsheets/d/1q9nWasZJ-K8bFGvbE9n0qSRuKGA4Toe3Y89cKCiVtCU/edit?usp=sharing"",""สตูล!M400"")+IMPORTRANGE(""https://docs.google.com/sprea"&amp;"dsheets/d/18T20gbkS_WBjdscyTOV05cvq_JqvqQ17C81mpxf7Ncs/edit?usp=sharing"",""สุราษฎร์ธานี!M400"")"),0)</f>
        <v>0</v>
      </c>
      <c r="N400" s="47">
        <f ca="1">IFERROR(__xludf.DUMMYFUNCTION("IMPORTRANGE(""https://docs.google.com/spreadsheets/d/1kKUcYdkIfrgTSj8iHHHB2MD2FAtwyyocFgqGQn6ADyI/edit?usp=sharing"",""กระบี่!N400"")+IMPORTRANGE(""https://docs.google.com/spreadsheets/d/1GwtLaSlNZkLk7iDqcyZz22giiy40b_usZZBXYciEN1U/edit?usp=sharing"",""ชุ"&amp;"มพร!N400"")+IMPORTRANGE(""https://docs.google.com/spreadsheets/d/16pAz3pOhQEZBhvFNMa5KGgZS6iKWpsKX0pg6tQmwFpo/edit?usp=sharing"",""ตรัง!N400"")+IMPORTRANGE(""https://docs.google.com/spreadsheets/d/1Dj4jcHCTV9JXKCaMoheSXS52JE63kDKyG7bPXnFogHk/edit?usp=shar"&amp;"ing"",""นครศรีธรรมราช!N400"")+IMPORTRANGE(""https://docs.google.com/spreadsheets/d/1iodCdmuK2GR3jzUwk8tpccY2JHQQA-87DLOtJP-ooyU/edit?usp=sharing"",""นราธิวาส!N400"")+IMPORTRANGE(""https://docs.google.com/spreadsheets/d/1SDNX3JhDdYRuIOsj0Wh2M-Qa_eaXl0NbWmh"&amp;"AOTbfQAs/edit?usp=sharing"",""ปัตตานี!N400"")+IMPORTRANGE(""https://docs.google.com/spreadsheets/d/16JDLGguT8s5DsGCND1KcwHP_AWR_zDMTqLHPLJUKhaU/edit?usp=sharing"",""พังงา!N400"")+IMPORTRANGE(""https://docs.google.com/spreadsheets/d/17ht0gPKzzT3PObBL1XJkeR"&amp;"mntBXI7wGjpLV7QorqlTk/edit?usp=sharing"",""พัทลุง!N400"")+IMPORTRANGE(""https://docs.google.com/spreadsheets/d/1rd4qoM1q_hsgaolqNGfrim9gbsoLxQsda4-vOz5x_BM/edit?usp=sharing"",""ภูเก็ต!N400"")+IMPORTRANGE(""https://docs.google.com/spreadsheets/d/1woKwKjgoL"&amp;"ssDvPcPeVyezB5izizAn4X1JDrys69n6xI/edit?usp=sharing"",""ยะลา!N400"")+IMPORTRANGE(""https://docs.google.com/spreadsheets/d/1qfrKjzMhm2HJfxQ-qVlJlJQ25Hne1d0khsySbZyGtPA/edit?usp=sharing"",""ระนอง!N400"")+IMPORTRANGE(""https://docs.google.com/spreadsheets/d/"&amp;"1IbSCnFOKpZsnFogBHJnL_isstZVaOMnFiIN0fGTPZZw/edit?usp=sharing"",""สงขลา!N400"")+IMPORTRANGE(""https://docs.google.com/spreadsheets/d/1q9nWasZJ-K8bFGvbE9n0qSRuKGA4Toe3Y89cKCiVtCU/edit?usp=sharing"",""สตูล!N400"")+IMPORTRANGE(""https://docs.google.com/sprea"&amp;"dsheets/d/18T20gbkS_WBjdscyTOV05cvq_JqvqQ17C81mpxf7Ncs/edit?usp=sharing"",""สุราษฎร์ธานี!N400"")"),0)</f>
        <v>0</v>
      </c>
      <c r="O400" s="47">
        <f t="shared" ca="1" si="299"/>
        <v>0</v>
      </c>
      <c r="P400" s="47">
        <f t="shared" ca="1" si="300"/>
        <v>0</v>
      </c>
      <c r="Q400" s="47">
        <f ca="1">IFERROR(__xludf.DUMMYFUNCTION("IMPORTRANGE(""https://docs.google.com/spreadsheets/d/1kKUcYdkIfrgTSj8iHHHB2MD2FAtwyyocFgqGQn6ADyI/edit?usp=sharing"",""กระบี่!Q400"")+IMPORTRANGE(""https://docs.google.com/spreadsheets/d/1GwtLaSlNZkLk7iDqcyZz22giiy40b_usZZBXYciEN1U/edit?usp=sharing"",""ชุ"&amp;"มพร!Q400"")+IMPORTRANGE(""https://docs.google.com/spreadsheets/d/16pAz3pOhQEZBhvFNMa5KGgZS6iKWpsKX0pg6tQmwFpo/edit?usp=sharing"",""ตรัง!Q400"")+IMPORTRANGE(""https://docs.google.com/spreadsheets/d/1Dj4jcHCTV9JXKCaMoheSXS52JE63kDKyG7bPXnFogHk/edit?usp=shar"&amp;"ing"",""นครศรีธรรมราช!Q400"")+IMPORTRANGE(""https://docs.google.com/spreadsheets/d/1iodCdmuK2GR3jzUwk8tpccY2JHQQA-87DLOtJP-ooyU/edit?usp=sharing"",""นราธิวาส!Q400"")+IMPORTRANGE(""https://docs.google.com/spreadsheets/d/1SDNX3JhDdYRuIOsj0Wh2M-Qa_eaXl0NbWmh"&amp;"AOTbfQAs/edit?usp=sharing"",""ปัตตานี!Q400"")+IMPORTRANGE(""https://docs.google.com/spreadsheets/d/16JDLGguT8s5DsGCND1KcwHP_AWR_zDMTqLHPLJUKhaU/edit?usp=sharing"",""พังงา!Q400"")+IMPORTRANGE(""https://docs.google.com/spreadsheets/d/17ht0gPKzzT3PObBL1XJkeR"&amp;"mntBXI7wGjpLV7QorqlTk/edit?usp=sharing"",""พัทลุง!Q400"")+IMPORTRANGE(""https://docs.google.com/spreadsheets/d/1rd4qoM1q_hsgaolqNGfrim9gbsoLxQsda4-vOz5x_BM/edit?usp=sharing"",""ภูเก็ต!Q400"")+IMPORTRANGE(""https://docs.google.com/spreadsheets/d/1woKwKjgoL"&amp;"ssDvPcPeVyezB5izizAn4X1JDrys69n6xI/edit?usp=sharing"",""ยะลา!Q400"")+IMPORTRANGE(""https://docs.google.com/spreadsheets/d/1qfrKjzMhm2HJfxQ-qVlJlJQ25Hne1d0khsySbZyGtPA/edit?usp=sharing"",""ระนอง!Q400"")+IMPORTRANGE(""https://docs.google.com/spreadsheets/d/"&amp;"1IbSCnFOKpZsnFogBHJnL_isstZVaOMnFiIN0fGTPZZw/edit?usp=sharing"",""สงขลา!Q400"")+IMPORTRANGE(""https://docs.google.com/spreadsheets/d/1q9nWasZJ-K8bFGvbE9n0qSRuKGA4Toe3Y89cKCiVtCU/edit?usp=sharing"",""สตูล!Q400"")+IMPORTRANGE(""https://docs.google.com/sprea"&amp;"dsheets/d/18T20gbkS_WBjdscyTOV05cvq_JqvqQ17C81mpxf7Ncs/edit?usp=sharing"",""สุราษฎร์ธานี!Q400"")"),0)</f>
        <v>0</v>
      </c>
      <c r="R400" s="47">
        <f ca="1">IFERROR(__xludf.DUMMYFUNCTION("IMPORTRANGE(""https://docs.google.com/spreadsheets/d/1kKUcYdkIfrgTSj8iHHHB2MD2FAtwyyocFgqGQn6ADyI/edit?usp=sharing"",""กระบี่!R400"")+IMPORTRANGE(""https://docs.google.com/spreadsheets/d/1GwtLaSlNZkLk7iDqcyZz22giiy40b_usZZBXYciEN1U/edit?usp=sharing"",""ชุ"&amp;"มพร!R400"")+IMPORTRANGE(""https://docs.google.com/spreadsheets/d/16pAz3pOhQEZBhvFNMa5KGgZS6iKWpsKX0pg6tQmwFpo/edit?usp=sharing"",""ตรัง!R400"")+IMPORTRANGE(""https://docs.google.com/spreadsheets/d/1Dj4jcHCTV9JXKCaMoheSXS52JE63kDKyG7bPXnFogHk/edit?usp=shar"&amp;"ing"",""นครศรีธรรมราช!R400"")+IMPORTRANGE(""https://docs.google.com/spreadsheets/d/1iodCdmuK2GR3jzUwk8tpccY2JHQQA-87DLOtJP-ooyU/edit?usp=sharing"",""นราธิวาส!R400"")+IMPORTRANGE(""https://docs.google.com/spreadsheets/d/1SDNX3JhDdYRuIOsj0Wh2M-Qa_eaXl0NbWmh"&amp;"AOTbfQAs/edit?usp=sharing"",""ปัตตานี!R400"")+IMPORTRANGE(""https://docs.google.com/spreadsheets/d/16JDLGguT8s5DsGCND1KcwHP_AWR_zDMTqLHPLJUKhaU/edit?usp=sharing"",""พังงา!R400"")+IMPORTRANGE(""https://docs.google.com/spreadsheets/d/17ht0gPKzzT3PObBL1XJkeR"&amp;"mntBXI7wGjpLV7QorqlTk/edit?usp=sharing"",""พัทลุง!R400"")+IMPORTRANGE(""https://docs.google.com/spreadsheets/d/1rd4qoM1q_hsgaolqNGfrim9gbsoLxQsda4-vOz5x_BM/edit?usp=sharing"",""ภูเก็ต!R400"")+IMPORTRANGE(""https://docs.google.com/spreadsheets/d/1woKwKjgoL"&amp;"ssDvPcPeVyezB5izizAn4X1JDrys69n6xI/edit?usp=sharing"",""ยะลา!R400"")+IMPORTRANGE(""https://docs.google.com/spreadsheets/d/1qfrKjzMhm2HJfxQ-qVlJlJQ25Hne1d0khsySbZyGtPA/edit?usp=sharing"",""ระนอง!R400"")+IMPORTRANGE(""https://docs.google.com/spreadsheets/d/"&amp;"1IbSCnFOKpZsnFogBHJnL_isstZVaOMnFiIN0fGTPZZw/edit?usp=sharing"",""สงขลา!R400"")+IMPORTRANGE(""https://docs.google.com/spreadsheets/d/1q9nWasZJ-K8bFGvbE9n0qSRuKGA4Toe3Y89cKCiVtCU/edit?usp=sharing"",""สตูล!R400"")+IMPORTRANGE(""https://docs.google.com/sprea"&amp;"dsheets/d/18T20gbkS_WBjdscyTOV05cvq_JqvqQ17C81mpxf7Ncs/edit?usp=sharing"",""สุราษฎร์ธานี!R400"")"),0)</f>
        <v>0</v>
      </c>
      <c r="S400" s="47">
        <f ca="1">IFERROR(__xludf.DUMMYFUNCTION("IMPORTRANGE(""https://docs.google.com/spreadsheets/d/1kKUcYdkIfrgTSj8iHHHB2MD2FAtwyyocFgqGQn6ADyI/edit?usp=sharing"",""กระบี่!S400"")+IMPORTRANGE(""https://docs.google.com/spreadsheets/d/1GwtLaSlNZkLk7iDqcyZz22giiy40b_usZZBXYciEN1U/edit?usp=sharing"",""ชุ"&amp;"มพร!S400"")+IMPORTRANGE(""https://docs.google.com/spreadsheets/d/16pAz3pOhQEZBhvFNMa5KGgZS6iKWpsKX0pg6tQmwFpo/edit?usp=sharing"",""ตรัง!S400"")+IMPORTRANGE(""https://docs.google.com/spreadsheets/d/1Dj4jcHCTV9JXKCaMoheSXS52JE63kDKyG7bPXnFogHk/edit?usp=shar"&amp;"ing"",""นครศรีธรรมราช!S400"")+IMPORTRANGE(""https://docs.google.com/spreadsheets/d/1iodCdmuK2GR3jzUwk8tpccY2JHQQA-87DLOtJP-ooyU/edit?usp=sharing"",""นราธิวาส!S400"")+IMPORTRANGE(""https://docs.google.com/spreadsheets/d/1SDNX3JhDdYRuIOsj0Wh2M-Qa_eaXl0NbWmh"&amp;"AOTbfQAs/edit?usp=sharing"",""ปัตตานี!S400"")+IMPORTRANGE(""https://docs.google.com/spreadsheets/d/16JDLGguT8s5DsGCND1KcwHP_AWR_zDMTqLHPLJUKhaU/edit?usp=sharing"",""พังงา!S400"")+IMPORTRANGE(""https://docs.google.com/spreadsheets/d/17ht0gPKzzT3PObBL1XJkeR"&amp;"mntBXI7wGjpLV7QorqlTk/edit?usp=sharing"",""พัทลุง!S400"")+IMPORTRANGE(""https://docs.google.com/spreadsheets/d/1rd4qoM1q_hsgaolqNGfrim9gbsoLxQsda4-vOz5x_BM/edit?usp=sharing"",""ภูเก็ต!S400"")+IMPORTRANGE(""https://docs.google.com/spreadsheets/d/1woKwKjgoL"&amp;"ssDvPcPeVyezB5izizAn4X1JDrys69n6xI/edit?usp=sharing"",""ยะลา!S400"")+IMPORTRANGE(""https://docs.google.com/spreadsheets/d/1qfrKjzMhm2HJfxQ-qVlJlJQ25Hne1d0khsySbZyGtPA/edit?usp=sharing"",""ระนอง!S400"")+IMPORTRANGE(""https://docs.google.com/spreadsheets/d/"&amp;"1IbSCnFOKpZsnFogBHJnL_isstZVaOMnFiIN0fGTPZZw/edit?usp=sharing"",""สงขลา!S400"")+IMPORTRANGE(""https://docs.google.com/spreadsheets/d/1q9nWasZJ-K8bFGvbE9n0qSRuKGA4Toe3Y89cKCiVtCU/edit?usp=sharing"",""สตูล!S400"")+IMPORTRANGE(""https://docs.google.com/sprea"&amp;"dsheets/d/18T20gbkS_WBjdscyTOV05cvq_JqvqQ17C81mpxf7Ncs/edit?usp=sharing"",""สุราษฎร์ธานี!S400"")"),0)</f>
        <v>0</v>
      </c>
      <c r="T400" s="47">
        <f t="shared" ca="1" si="302"/>
        <v>0</v>
      </c>
      <c r="U400" s="47">
        <f t="shared" ca="1" si="303"/>
        <v>0</v>
      </c>
    </row>
    <row r="401" spans="1:21" ht="19.5" hidden="1" x14ac:dyDescent="0.3">
      <c r="A401" s="138"/>
      <c r="B401" s="139"/>
      <c r="C401" s="162" t="s">
        <v>18</v>
      </c>
      <c r="D401" s="325" t="s">
        <v>38</v>
      </c>
      <c r="E401" s="141"/>
      <c r="F401" s="141"/>
      <c r="G401" s="142"/>
      <c r="H401" s="189"/>
      <c r="I401" s="135"/>
      <c r="J401" s="45"/>
      <c r="K401" s="46"/>
      <c r="L401" s="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247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2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247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2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247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2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247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2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247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2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247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2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247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2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247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2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247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33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336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1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t="shared" ref="I412:J412" ca="1" si="312">I423</f>
        <v>216167</v>
      </c>
      <c r="J412" s="310">
        <f t="shared" ca="1" si="312"/>
        <v>0</v>
      </c>
      <c r="K412" s="311">
        <f ca="1">IF(I412&gt;0,J412*100/I412,0)</f>
        <v>0</v>
      </c>
      <c r="L412" s="312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40" t="s">
        <v>18</v>
      </c>
      <c r="D413" s="541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132">
        <f t="shared" ref="L413:N413" ca="1" si="313">L414+L415</f>
        <v>2053310</v>
      </c>
      <c r="M413" s="132">
        <f t="shared" ca="1" si="313"/>
        <v>2514810</v>
      </c>
      <c r="N413" s="132">
        <f t="shared" ca="1" si="313"/>
        <v>454382.76</v>
      </c>
      <c r="O413" s="132">
        <f t="shared" ref="O413:O421" ca="1" si="314">IF(L413&gt;0,N413*100/L413,0)</f>
        <v>22.129281988594027</v>
      </c>
      <c r="P413" s="132">
        <f t="shared" ref="P413:P421" ca="1" si="315">IF(M413&gt;0,N413*100/M413,0)</f>
        <v>18.068273945148938</v>
      </c>
      <c r="Q413" s="132">
        <f t="shared" ref="Q413:S413" ca="1" si="316">Q414+Q415</f>
        <v>347120</v>
      </c>
      <c r="R413" s="132">
        <f t="shared" ca="1" si="316"/>
        <v>347120</v>
      </c>
      <c r="S413" s="132">
        <f t="shared" ca="1" si="316"/>
        <v>0</v>
      </c>
      <c r="T413" s="132">
        <f t="shared" ref="T413:T421" ca="1" si="317">IF(Q413&gt;0,S413*100/Q413,0)</f>
        <v>0</v>
      </c>
      <c r="U413" s="132">
        <f t="shared" ref="U413:U421" ca="1" si="318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49">
        <f t="shared" ref="L414:N414" ca="1" si="319">L417+L420</f>
        <v>0</v>
      </c>
      <c r="M414" s="49">
        <f t="shared" ca="1" si="319"/>
        <v>0</v>
      </c>
      <c r="N414" s="49">
        <f t="shared" ca="1" si="319"/>
        <v>0</v>
      </c>
      <c r="O414" s="49">
        <f t="shared" ca="1" si="314"/>
        <v>0</v>
      </c>
      <c r="P414" s="49">
        <f t="shared" ca="1" si="315"/>
        <v>0</v>
      </c>
      <c r="Q414" s="49">
        <f t="shared" ref="Q414:S414" ca="1" si="320">Q417+Q420</f>
        <v>0</v>
      </c>
      <c r="R414" s="49">
        <f t="shared" ca="1" si="320"/>
        <v>0</v>
      </c>
      <c r="S414" s="49">
        <f t="shared" ca="1" si="320"/>
        <v>0</v>
      </c>
      <c r="T414" s="49">
        <f t="shared" ca="1" si="317"/>
        <v>0</v>
      </c>
      <c r="U414" s="49">
        <f t="shared" ca="1" si="318"/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47">
        <f t="shared" ref="L415:N415" ca="1" si="321">L418+L421</f>
        <v>2053310</v>
      </c>
      <c r="M415" s="47">
        <f t="shared" ca="1" si="321"/>
        <v>2514810</v>
      </c>
      <c r="N415" s="47">
        <f t="shared" ca="1" si="321"/>
        <v>454382.76</v>
      </c>
      <c r="O415" s="47">
        <f t="shared" ca="1" si="314"/>
        <v>22.129281988594027</v>
      </c>
      <c r="P415" s="47">
        <f t="shared" ca="1" si="315"/>
        <v>18.068273945148938</v>
      </c>
      <c r="Q415" s="47">
        <f t="shared" ref="Q415:S415" ca="1" si="322">Q418+Q421</f>
        <v>347120</v>
      </c>
      <c r="R415" s="47">
        <f t="shared" ca="1" si="322"/>
        <v>347120</v>
      </c>
      <c r="S415" s="47">
        <f t="shared" ca="1" si="322"/>
        <v>0</v>
      </c>
      <c r="T415" s="47">
        <f t="shared" ca="1" si="317"/>
        <v>0</v>
      </c>
      <c r="U415" s="47">
        <f t="shared" ca="1" si="318"/>
        <v>0</v>
      </c>
    </row>
    <row r="416" spans="1:21" ht="19.5" x14ac:dyDescent="0.3">
      <c r="A416" s="128"/>
      <c r="B416" s="159"/>
      <c r="C416" s="159"/>
      <c r="D416" s="324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47">
        <f t="shared" ref="L416:N416" ca="1" si="323">L417+L418</f>
        <v>2053310</v>
      </c>
      <c r="M416" s="47">
        <f t="shared" ca="1" si="323"/>
        <v>2514810</v>
      </c>
      <c r="N416" s="47">
        <f t="shared" ca="1" si="323"/>
        <v>454382.76</v>
      </c>
      <c r="O416" s="47">
        <f t="shared" ca="1" si="314"/>
        <v>22.129281988594027</v>
      </c>
      <c r="P416" s="47">
        <f t="shared" ca="1" si="315"/>
        <v>18.068273945148938</v>
      </c>
      <c r="Q416" s="47">
        <f t="shared" ref="Q416:S416" ca="1" si="324">Q417+Q418</f>
        <v>347120</v>
      </c>
      <c r="R416" s="47">
        <f t="shared" ca="1" si="324"/>
        <v>347120</v>
      </c>
      <c r="S416" s="47">
        <f t="shared" ca="1" si="324"/>
        <v>0</v>
      </c>
      <c r="T416" s="47">
        <f t="shared" ca="1" si="317"/>
        <v>0</v>
      </c>
      <c r="U416" s="47">
        <f t="shared" ca="1" si="318"/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49">
        <f ca="1">IFERROR(__xludf.DUMMYFUNCTION("IMPORTRANGE(""https://docs.google.com/spreadsheets/d/1kKUcYdkIfrgTSj8iHHHB2MD2FAtwyyocFgqGQn6ADyI/edit?usp=sharing"",""กระบี่!L417"")+IMPORTRANGE(""https://docs.google.com/spreadsheets/d/1GwtLaSlNZkLk7iDqcyZz22giiy40b_usZZBXYciEN1U/edit?usp=sharing"",""ชุ"&amp;"มพร!L417"")+IMPORTRANGE(""https://docs.google.com/spreadsheets/d/16pAz3pOhQEZBhvFNMa5KGgZS6iKWpsKX0pg6tQmwFpo/edit?usp=sharing"",""ตรัง!L417"")+IMPORTRANGE(""https://docs.google.com/spreadsheets/d/1Dj4jcHCTV9JXKCaMoheSXS52JE63kDKyG7bPXnFogHk/edit?usp=shar"&amp;"ing"",""นครศรีธรรมราช!L417"")+IMPORTRANGE(""https://docs.google.com/spreadsheets/d/1iodCdmuK2GR3jzUwk8tpccY2JHQQA-87DLOtJP-ooyU/edit?usp=sharing"",""นราธิวาส!L417"")+IMPORTRANGE(""https://docs.google.com/spreadsheets/d/1SDNX3JhDdYRuIOsj0Wh2M-Qa_eaXl0NbWmh"&amp;"AOTbfQAs/edit?usp=sharing"",""ปัตตานี!L417"")+IMPORTRANGE(""https://docs.google.com/spreadsheets/d/16JDLGguT8s5DsGCND1KcwHP_AWR_zDMTqLHPLJUKhaU/edit?usp=sharing"",""พังงา!L417"")+IMPORTRANGE(""https://docs.google.com/spreadsheets/d/17ht0gPKzzT3PObBL1XJkeR"&amp;"mntBXI7wGjpLV7QorqlTk/edit?usp=sharing"",""พัทลุง!L417"")+IMPORTRANGE(""https://docs.google.com/spreadsheets/d/1rd4qoM1q_hsgaolqNGfrim9gbsoLxQsda4-vOz5x_BM/edit?usp=sharing"",""ภูเก็ต!L417"")+IMPORTRANGE(""https://docs.google.com/spreadsheets/d/1woKwKjgoL"&amp;"ssDvPcPeVyezB5izizAn4X1JDrys69n6xI/edit?usp=sharing"",""ยะลา!L417"")+IMPORTRANGE(""https://docs.google.com/spreadsheets/d/1qfrKjzMhm2HJfxQ-qVlJlJQ25Hne1d0khsySbZyGtPA/edit?usp=sharing"",""ระนอง!L417"")+IMPORTRANGE(""https://docs.google.com/spreadsheets/d/"&amp;"1IbSCnFOKpZsnFogBHJnL_isstZVaOMnFiIN0fGTPZZw/edit?usp=sharing"",""สงขลา!L417"")+IMPORTRANGE(""https://docs.google.com/spreadsheets/d/1q9nWasZJ-K8bFGvbE9n0qSRuKGA4Toe3Y89cKCiVtCU/edit?usp=sharing"",""สตูล!L417"")+IMPORTRANGE(""https://docs.google.com/sprea"&amp;"dsheets/d/18T20gbkS_WBjdscyTOV05cvq_JqvqQ17C81mpxf7Ncs/edit?usp=sharing"",""สุราษฎร์ธานี!L417"")"),0)</f>
        <v>0</v>
      </c>
      <c r="M417" s="49">
        <f ca="1">IFERROR(__xludf.DUMMYFUNCTION("IMPORTRANGE(""https://docs.google.com/spreadsheets/d/1kKUcYdkIfrgTSj8iHHHB2MD2FAtwyyocFgqGQn6ADyI/edit?usp=sharing"",""กระบี่!M417"")+IMPORTRANGE(""https://docs.google.com/spreadsheets/d/1GwtLaSlNZkLk7iDqcyZz22giiy40b_usZZBXYciEN1U/edit?usp=sharing"",""ชุ"&amp;"มพร!M417"")+IMPORTRANGE(""https://docs.google.com/spreadsheets/d/16pAz3pOhQEZBhvFNMa5KGgZS6iKWpsKX0pg6tQmwFpo/edit?usp=sharing"",""ตรัง!M417"")+IMPORTRANGE(""https://docs.google.com/spreadsheets/d/1Dj4jcHCTV9JXKCaMoheSXS52JE63kDKyG7bPXnFogHk/edit?usp=shar"&amp;"ing"",""นครศรีธรรมราช!M417"")+IMPORTRANGE(""https://docs.google.com/spreadsheets/d/1iodCdmuK2GR3jzUwk8tpccY2JHQQA-87DLOtJP-ooyU/edit?usp=sharing"",""นราธิวาส!M417"")+IMPORTRANGE(""https://docs.google.com/spreadsheets/d/1SDNX3JhDdYRuIOsj0Wh2M-Qa_eaXl0NbWmh"&amp;"AOTbfQAs/edit?usp=sharing"",""ปัตตานี!M417"")+IMPORTRANGE(""https://docs.google.com/spreadsheets/d/16JDLGguT8s5DsGCND1KcwHP_AWR_zDMTqLHPLJUKhaU/edit?usp=sharing"",""พังงา!M417"")+IMPORTRANGE(""https://docs.google.com/spreadsheets/d/17ht0gPKzzT3PObBL1XJkeR"&amp;"mntBXI7wGjpLV7QorqlTk/edit?usp=sharing"",""พัทลุง!M417"")+IMPORTRANGE(""https://docs.google.com/spreadsheets/d/1rd4qoM1q_hsgaolqNGfrim9gbsoLxQsda4-vOz5x_BM/edit?usp=sharing"",""ภูเก็ต!M417"")+IMPORTRANGE(""https://docs.google.com/spreadsheets/d/1woKwKjgoL"&amp;"ssDvPcPeVyezB5izizAn4X1JDrys69n6xI/edit?usp=sharing"",""ยะลา!M417"")+IMPORTRANGE(""https://docs.google.com/spreadsheets/d/1qfrKjzMhm2HJfxQ-qVlJlJQ25Hne1d0khsySbZyGtPA/edit?usp=sharing"",""ระนอง!M417"")+IMPORTRANGE(""https://docs.google.com/spreadsheets/d/"&amp;"1IbSCnFOKpZsnFogBHJnL_isstZVaOMnFiIN0fGTPZZw/edit?usp=sharing"",""สงขลา!M417"")+IMPORTRANGE(""https://docs.google.com/spreadsheets/d/1q9nWasZJ-K8bFGvbE9n0qSRuKGA4Toe3Y89cKCiVtCU/edit?usp=sharing"",""สตูล!M417"")+IMPORTRANGE(""https://docs.google.com/sprea"&amp;"dsheets/d/18T20gbkS_WBjdscyTOV05cvq_JqvqQ17C81mpxf7Ncs/edit?usp=sharing"",""สุราษฎร์ธานี!M417"")"),0)</f>
        <v>0</v>
      </c>
      <c r="N417" s="49">
        <f ca="1">IFERROR(__xludf.DUMMYFUNCTION("IMPORTRANGE(""https://docs.google.com/spreadsheets/d/1kKUcYdkIfrgTSj8iHHHB2MD2FAtwyyocFgqGQn6ADyI/edit?usp=sharing"",""กระบี่!N417"")+IMPORTRANGE(""https://docs.google.com/spreadsheets/d/1GwtLaSlNZkLk7iDqcyZz22giiy40b_usZZBXYciEN1U/edit?usp=sharing"",""ชุ"&amp;"มพร!N417"")+IMPORTRANGE(""https://docs.google.com/spreadsheets/d/16pAz3pOhQEZBhvFNMa5KGgZS6iKWpsKX0pg6tQmwFpo/edit?usp=sharing"",""ตรัง!N417"")+IMPORTRANGE(""https://docs.google.com/spreadsheets/d/1Dj4jcHCTV9JXKCaMoheSXS52JE63kDKyG7bPXnFogHk/edit?usp=shar"&amp;"ing"",""นครศรีธรรมราช!N417"")+IMPORTRANGE(""https://docs.google.com/spreadsheets/d/1iodCdmuK2GR3jzUwk8tpccY2JHQQA-87DLOtJP-ooyU/edit?usp=sharing"",""นราธิวาส!N417"")+IMPORTRANGE(""https://docs.google.com/spreadsheets/d/1SDNX3JhDdYRuIOsj0Wh2M-Qa_eaXl0NbWmh"&amp;"AOTbfQAs/edit?usp=sharing"",""ปัตตานี!N417"")+IMPORTRANGE(""https://docs.google.com/spreadsheets/d/16JDLGguT8s5DsGCND1KcwHP_AWR_zDMTqLHPLJUKhaU/edit?usp=sharing"",""พังงา!N417"")+IMPORTRANGE(""https://docs.google.com/spreadsheets/d/17ht0gPKzzT3PObBL1XJkeR"&amp;"mntBXI7wGjpLV7QorqlTk/edit?usp=sharing"",""พัทลุง!N417"")+IMPORTRANGE(""https://docs.google.com/spreadsheets/d/1rd4qoM1q_hsgaolqNGfrim9gbsoLxQsda4-vOz5x_BM/edit?usp=sharing"",""ภูเก็ต!N417"")+IMPORTRANGE(""https://docs.google.com/spreadsheets/d/1woKwKjgoL"&amp;"ssDvPcPeVyezB5izizAn4X1JDrys69n6xI/edit?usp=sharing"",""ยะลา!N417"")+IMPORTRANGE(""https://docs.google.com/spreadsheets/d/1qfrKjzMhm2HJfxQ-qVlJlJQ25Hne1d0khsySbZyGtPA/edit?usp=sharing"",""ระนอง!N417"")+IMPORTRANGE(""https://docs.google.com/spreadsheets/d/"&amp;"1IbSCnFOKpZsnFogBHJnL_isstZVaOMnFiIN0fGTPZZw/edit?usp=sharing"",""สงขลา!N417"")+IMPORTRANGE(""https://docs.google.com/spreadsheets/d/1q9nWasZJ-K8bFGvbE9n0qSRuKGA4Toe3Y89cKCiVtCU/edit?usp=sharing"",""สตูล!N417"")+IMPORTRANGE(""https://docs.google.com/sprea"&amp;"dsheets/d/18T20gbkS_WBjdscyTOV05cvq_JqvqQ17C81mpxf7Ncs/edit?usp=sharing"",""สุราษฎร์ธานี!N417"")"),0)</f>
        <v>0</v>
      </c>
      <c r="O417" s="49">
        <f t="shared" ca="1" si="314"/>
        <v>0</v>
      </c>
      <c r="P417" s="49">
        <f t="shared" ca="1" si="315"/>
        <v>0</v>
      </c>
      <c r="Q417" s="49">
        <f ca="1">IFERROR(__xludf.DUMMYFUNCTION("IMPORTRANGE(""https://docs.google.com/spreadsheets/d/1kKUcYdkIfrgTSj8iHHHB2MD2FAtwyyocFgqGQn6ADyI/edit?usp=sharing"",""กระบี่!Q417"")+IMPORTRANGE(""https://docs.google.com/spreadsheets/d/1GwtLaSlNZkLk7iDqcyZz22giiy40b_usZZBXYciEN1U/edit?usp=sharing"",""ชุ"&amp;"มพร!Q417"")+IMPORTRANGE(""https://docs.google.com/spreadsheets/d/16pAz3pOhQEZBhvFNMa5KGgZS6iKWpsKX0pg6tQmwFpo/edit?usp=sharing"",""ตรัง!Q417"")+IMPORTRANGE(""https://docs.google.com/spreadsheets/d/1Dj4jcHCTV9JXKCaMoheSXS52JE63kDKyG7bPXnFogHk/edit?usp=shar"&amp;"ing"",""นครศรีธรรมราช!Q417"")+IMPORTRANGE(""https://docs.google.com/spreadsheets/d/1iodCdmuK2GR3jzUwk8tpccY2JHQQA-87DLOtJP-ooyU/edit?usp=sharing"",""นราธิวาส!Q417"")+IMPORTRANGE(""https://docs.google.com/spreadsheets/d/1SDNX3JhDdYRuIOsj0Wh2M-Qa_eaXl0NbWmh"&amp;"AOTbfQAs/edit?usp=sharing"",""ปัตตานี!Q417"")+IMPORTRANGE(""https://docs.google.com/spreadsheets/d/16JDLGguT8s5DsGCND1KcwHP_AWR_zDMTqLHPLJUKhaU/edit?usp=sharing"",""พังงา!Q417"")+IMPORTRANGE(""https://docs.google.com/spreadsheets/d/17ht0gPKzzT3PObBL1XJkeR"&amp;"mntBXI7wGjpLV7QorqlTk/edit?usp=sharing"",""พัทลุง!Q417"")+IMPORTRANGE(""https://docs.google.com/spreadsheets/d/1rd4qoM1q_hsgaolqNGfrim9gbsoLxQsda4-vOz5x_BM/edit?usp=sharing"",""ภูเก็ต!Q417"")+IMPORTRANGE(""https://docs.google.com/spreadsheets/d/1woKwKjgoL"&amp;"ssDvPcPeVyezB5izizAn4X1JDrys69n6xI/edit?usp=sharing"",""ยะลา!Q417"")+IMPORTRANGE(""https://docs.google.com/spreadsheets/d/1qfrKjzMhm2HJfxQ-qVlJlJQ25Hne1d0khsySbZyGtPA/edit?usp=sharing"",""ระนอง!Q417"")+IMPORTRANGE(""https://docs.google.com/spreadsheets/d/"&amp;"1IbSCnFOKpZsnFogBHJnL_isstZVaOMnFiIN0fGTPZZw/edit?usp=sharing"",""สงขลา!Q417"")+IMPORTRANGE(""https://docs.google.com/spreadsheets/d/1q9nWasZJ-K8bFGvbE9n0qSRuKGA4Toe3Y89cKCiVtCU/edit?usp=sharing"",""สตูล!Q417"")+IMPORTRANGE(""https://docs.google.com/sprea"&amp;"dsheets/d/18T20gbkS_WBjdscyTOV05cvq_JqvqQ17C81mpxf7Ncs/edit?usp=sharing"",""สุราษฎร์ธานี!Q417"")"),0)</f>
        <v>0</v>
      </c>
      <c r="R417" s="49">
        <f ca="1">IFERROR(__xludf.DUMMYFUNCTION("IMPORTRANGE(""https://docs.google.com/spreadsheets/d/1kKUcYdkIfrgTSj8iHHHB2MD2FAtwyyocFgqGQn6ADyI/edit?usp=sharing"",""กระบี่!R417"")+IMPORTRANGE(""https://docs.google.com/spreadsheets/d/1GwtLaSlNZkLk7iDqcyZz22giiy40b_usZZBXYciEN1U/edit?usp=sharing"",""ชุ"&amp;"มพร!R417"")+IMPORTRANGE(""https://docs.google.com/spreadsheets/d/16pAz3pOhQEZBhvFNMa5KGgZS6iKWpsKX0pg6tQmwFpo/edit?usp=sharing"",""ตรัง!R417"")+IMPORTRANGE(""https://docs.google.com/spreadsheets/d/1Dj4jcHCTV9JXKCaMoheSXS52JE63kDKyG7bPXnFogHk/edit?usp=shar"&amp;"ing"",""นครศรีธรรมราช!R417"")+IMPORTRANGE(""https://docs.google.com/spreadsheets/d/1iodCdmuK2GR3jzUwk8tpccY2JHQQA-87DLOtJP-ooyU/edit?usp=sharing"",""นราธิวาส!R417"")+IMPORTRANGE(""https://docs.google.com/spreadsheets/d/1SDNX3JhDdYRuIOsj0Wh2M-Qa_eaXl0NbWmh"&amp;"AOTbfQAs/edit?usp=sharing"",""ปัตตานี!R417"")+IMPORTRANGE(""https://docs.google.com/spreadsheets/d/16JDLGguT8s5DsGCND1KcwHP_AWR_zDMTqLHPLJUKhaU/edit?usp=sharing"",""พังงา!R417"")+IMPORTRANGE(""https://docs.google.com/spreadsheets/d/17ht0gPKzzT3PObBL1XJkeR"&amp;"mntBXI7wGjpLV7QorqlTk/edit?usp=sharing"",""พัทลุง!R417"")+IMPORTRANGE(""https://docs.google.com/spreadsheets/d/1rd4qoM1q_hsgaolqNGfrim9gbsoLxQsda4-vOz5x_BM/edit?usp=sharing"",""ภูเก็ต!R417"")+IMPORTRANGE(""https://docs.google.com/spreadsheets/d/1woKwKjgoL"&amp;"ssDvPcPeVyezB5izizAn4X1JDrys69n6xI/edit?usp=sharing"",""ยะลา!R417"")+IMPORTRANGE(""https://docs.google.com/spreadsheets/d/1qfrKjzMhm2HJfxQ-qVlJlJQ25Hne1d0khsySbZyGtPA/edit?usp=sharing"",""ระนอง!R417"")+IMPORTRANGE(""https://docs.google.com/spreadsheets/d/"&amp;"1IbSCnFOKpZsnFogBHJnL_isstZVaOMnFiIN0fGTPZZw/edit?usp=sharing"",""สงขลา!R417"")+IMPORTRANGE(""https://docs.google.com/spreadsheets/d/1q9nWasZJ-K8bFGvbE9n0qSRuKGA4Toe3Y89cKCiVtCU/edit?usp=sharing"",""สตูล!R417"")+IMPORTRANGE(""https://docs.google.com/sprea"&amp;"dsheets/d/18T20gbkS_WBjdscyTOV05cvq_JqvqQ17C81mpxf7Ncs/edit?usp=sharing"",""สุราษฎร์ธานี!R417"")"),0)</f>
        <v>0</v>
      </c>
      <c r="S417" s="49">
        <f ca="1">IFERROR(__xludf.DUMMYFUNCTION("IMPORTRANGE(""https://docs.google.com/spreadsheets/d/1kKUcYdkIfrgTSj8iHHHB2MD2FAtwyyocFgqGQn6ADyI/edit?usp=sharing"",""กระบี่!S417"")+IMPORTRANGE(""https://docs.google.com/spreadsheets/d/1GwtLaSlNZkLk7iDqcyZz22giiy40b_usZZBXYciEN1U/edit?usp=sharing"",""ชุ"&amp;"มพร!S417"")+IMPORTRANGE(""https://docs.google.com/spreadsheets/d/16pAz3pOhQEZBhvFNMa5KGgZS6iKWpsKX0pg6tQmwFpo/edit?usp=sharing"",""ตรัง!S417"")+IMPORTRANGE(""https://docs.google.com/spreadsheets/d/1Dj4jcHCTV9JXKCaMoheSXS52JE63kDKyG7bPXnFogHk/edit?usp=shar"&amp;"ing"",""นครศรีธรรมราช!S417"")+IMPORTRANGE(""https://docs.google.com/spreadsheets/d/1iodCdmuK2GR3jzUwk8tpccY2JHQQA-87DLOtJP-ooyU/edit?usp=sharing"",""นราธิวาส!S417"")+IMPORTRANGE(""https://docs.google.com/spreadsheets/d/1SDNX3JhDdYRuIOsj0Wh2M-Qa_eaXl0NbWmh"&amp;"AOTbfQAs/edit?usp=sharing"",""ปัตตานี!S417"")+IMPORTRANGE(""https://docs.google.com/spreadsheets/d/16JDLGguT8s5DsGCND1KcwHP_AWR_zDMTqLHPLJUKhaU/edit?usp=sharing"",""พังงา!S417"")+IMPORTRANGE(""https://docs.google.com/spreadsheets/d/17ht0gPKzzT3PObBL1XJkeR"&amp;"mntBXI7wGjpLV7QorqlTk/edit?usp=sharing"",""พัทลุง!S417"")+IMPORTRANGE(""https://docs.google.com/spreadsheets/d/1rd4qoM1q_hsgaolqNGfrim9gbsoLxQsda4-vOz5x_BM/edit?usp=sharing"",""ภูเก็ต!S417"")+IMPORTRANGE(""https://docs.google.com/spreadsheets/d/1woKwKjgoL"&amp;"ssDvPcPeVyezB5izizAn4X1JDrys69n6xI/edit?usp=sharing"",""ยะลา!S417"")+IMPORTRANGE(""https://docs.google.com/spreadsheets/d/1qfrKjzMhm2HJfxQ-qVlJlJQ25Hne1d0khsySbZyGtPA/edit?usp=sharing"",""ระนอง!S417"")+IMPORTRANGE(""https://docs.google.com/spreadsheets/d/"&amp;"1IbSCnFOKpZsnFogBHJnL_isstZVaOMnFiIN0fGTPZZw/edit?usp=sharing"",""สงขลา!S417"")+IMPORTRANGE(""https://docs.google.com/spreadsheets/d/1q9nWasZJ-K8bFGvbE9n0qSRuKGA4Toe3Y89cKCiVtCU/edit?usp=sharing"",""สตูล!S417"")+IMPORTRANGE(""https://docs.google.com/sprea"&amp;"dsheets/d/18T20gbkS_WBjdscyTOV05cvq_JqvqQ17C81mpxf7Ncs/edit?usp=sharing"",""สุราษฎร์ธานี!S417"")"),0)</f>
        <v>0</v>
      </c>
      <c r="T417" s="49">
        <f t="shared" ca="1" si="317"/>
        <v>0</v>
      </c>
      <c r="U417" s="49">
        <f t="shared" ca="1" si="318"/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47">
        <f ca="1">IFERROR(__xludf.DUMMYFUNCTION("IMPORTRANGE(""https://docs.google.com/spreadsheets/d/1kKUcYdkIfrgTSj8iHHHB2MD2FAtwyyocFgqGQn6ADyI/edit?usp=sharing"",""กระบี่!L418"")+IMPORTRANGE(""https://docs.google.com/spreadsheets/d/1GwtLaSlNZkLk7iDqcyZz22giiy40b_usZZBXYciEN1U/edit?usp=sharing"",""ชุ"&amp;"มพร!L418"")+IMPORTRANGE(""https://docs.google.com/spreadsheets/d/16pAz3pOhQEZBhvFNMa5KGgZS6iKWpsKX0pg6tQmwFpo/edit?usp=sharing"",""ตรัง!L418"")+IMPORTRANGE(""https://docs.google.com/spreadsheets/d/1Dj4jcHCTV9JXKCaMoheSXS52JE63kDKyG7bPXnFogHk/edit?usp=shar"&amp;"ing"",""นครศรีธรรมราช!L418"")+IMPORTRANGE(""https://docs.google.com/spreadsheets/d/1iodCdmuK2GR3jzUwk8tpccY2JHQQA-87DLOtJP-ooyU/edit?usp=sharing"",""นราธิวาส!L418"")+IMPORTRANGE(""https://docs.google.com/spreadsheets/d/1SDNX3JhDdYRuIOsj0Wh2M-Qa_eaXl0NbWmh"&amp;"AOTbfQAs/edit?usp=sharing"",""ปัตตานี!L418"")+IMPORTRANGE(""https://docs.google.com/spreadsheets/d/16JDLGguT8s5DsGCND1KcwHP_AWR_zDMTqLHPLJUKhaU/edit?usp=sharing"",""พังงา!L418"")+IMPORTRANGE(""https://docs.google.com/spreadsheets/d/17ht0gPKzzT3PObBL1XJkeR"&amp;"mntBXI7wGjpLV7QorqlTk/edit?usp=sharing"",""พัทลุง!L418"")+IMPORTRANGE(""https://docs.google.com/spreadsheets/d/1rd4qoM1q_hsgaolqNGfrim9gbsoLxQsda4-vOz5x_BM/edit?usp=sharing"",""ภูเก็ต!L418"")+IMPORTRANGE(""https://docs.google.com/spreadsheets/d/1woKwKjgoL"&amp;"ssDvPcPeVyezB5izizAn4X1JDrys69n6xI/edit?usp=sharing"",""ยะลา!L418"")+IMPORTRANGE(""https://docs.google.com/spreadsheets/d/1qfrKjzMhm2HJfxQ-qVlJlJQ25Hne1d0khsySbZyGtPA/edit?usp=sharing"",""ระนอง!L418"")+IMPORTRANGE(""https://docs.google.com/spreadsheets/d/"&amp;"1IbSCnFOKpZsnFogBHJnL_isstZVaOMnFiIN0fGTPZZw/edit?usp=sharing"",""สงขลา!L418"")+IMPORTRANGE(""https://docs.google.com/spreadsheets/d/1q9nWasZJ-K8bFGvbE9n0qSRuKGA4Toe3Y89cKCiVtCU/edit?usp=sharing"",""สตูล!L418"")+IMPORTRANGE(""https://docs.google.com/sprea"&amp;"dsheets/d/18T20gbkS_WBjdscyTOV05cvq_JqvqQ17C81mpxf7Ncs/edit?usp=sharing"",""สุราษฎร์ธานี!L418"")"),2053310)</f>
        <v>2053310</v>
      </c>
      <c r="M418" s="47">
        <f ca="1">IFERROR(__xludf.DUMMYFUNCTION("IMPORTRANGE(""https://docs.google.com/spreadsheets/d/1kKUcYdkIfrgTSj8iHHHB2MD2FAtwyyocFgqGQn6ADyI/edit?usp=sharing"",""กระบี่!M418"")+IMPORTRANGE(""https://docs.google.com/spreadsheets/d/1GwtLaSlNZkLk7iDqcyZz22giiy40b_usZZBXYciEN1U/edit?usp=sharing"",""ชุ"&amp;"มพร!M418"")+IMPORTRANGE(""https://docs.google.com/spreadsheets/d/16pAz3pOhQEZBhvFNMa5KGgZS6iKWpsKX0pg6tQmwFpo/edit?usp=sharing"",""ตรัง!M418"")+IMPORTRANGE(""https://docs.google.com/spreadsheets/d/1Dj4jcHCTV9JXKCaMoheSXS52JE63kDKyG7bPXnFogHk/edit?usp=shar"&amp;"ing"",""นครศรีธรรมราช!M418"")+IMPORTRANGE(""https://docs.google.com/spreadsheets/d/1iodCdmuK2GR3jzUwk8tpccY2JHQQA-87DLOtJP-ooyU/edit?usp=sharing"",""นราธิวาส!M418"")+IMPORTRANGE(""https://docs.google.com/spreadsheets/d/1SDNX3JhDdYRuIOsj0Wh2M-Qa_eaXl0NbWmh"&amp;"AOTbfQAs/edit?usp=sharing"",""ปัตตานี!M418"")+IMPORTRANGE(""https://docs.google.com/spreadsheets/d/16JDLGguT8s5DsGCND1KcwHP_AWR_zDMTqLHPLJUKhaU/edit?usp=sharing"",""พังงา!M418"")+IMPORTRANGE(""https://docs.google.com/spreadsheets/d/17ht0gPKzzT3PObBL1XJkeR"&amp;"mntBXI7wGjpLV7QorqlTk/edit?usp=sharing"",""พัทลุง!M418"")+IMPORTRANGE(""https://docs.google.com/spreadsheets/d/1rd4qoM1q_hsgaolqNGfrim9gbsoLxQsda4-vOz5x_BM/edit?usp=sharing"",""ภูเก็ต!M418"")+IMPORTRANGE(""https://docs.google.com/spreadsheets/d/1woKwKjgoL"&amp;"ssDvPcPeVyezB5izizAn4X1JDrys69n6xI/edit?usp=sharing"",""ยะลา!M418"")+IMPORTRANGE(""https://docs.google.com/spreadsheets/d/1qfrKjzMhm2HJfxQ-qVlJlJQ25Hne1d0khsySbZyGtPA/edit?usp=sharing"",""ระนอง!M418"")+IMPORTRANGE(""https://docs.google.com/spreadsheets/d/"&amp;"1IbSCnFOKpZsnFogBHJnL_isstZVaOMnFiIN0fGTPZZw/edit?usp=sharing"",""สงขลา!M418"")+IMPORTRANGE(""https://docs.google.com/spreadsheets/d/1q9nWasZJ-K8bFGvbE9n0qSRuKGA4Toe3Y89cKCiVtCU/edit?usp=sharing"",""สตูล!M418"")+IMPORTRANGE(""https://docs.google.com/sprea"&amp;"dsheets/d/18T20gbkS_WBjdscyTOV05cvq_JqvqQ17C81mpxf7Ncs/edit?usp=sharing"",""สุราษฎร์ธานี!M418"")"),2514810)</f>
        <v>2514810</v>
      </c>
      <c r="N418" s="47">
        <f ca="1">IFERROR(__xludf.DUMMYFUNCTION("IMPORTRANGE(""https://docs.google.com/spreadsheets/d/1kKUcYdkIfrgTSj8iHHHB2MD2FAtwyyocFgqGQn6ADyI/edit?usp=sharing"",""กระบี่!N418"")+IMPORTRANGE(""https://docs.google.com/spreadsheets/d/1GwtLaSlNZkLk7iDqcyZz22giiy40b_usZZBXYciEN1U/edit?usp=sharing"",""ชุ"&amp;"มพร!N418"")+IMPORTRANGE(""https://docs.google.com/spreadsheets/d/16pAz3pOhQEZBhvFNMa5KGgZS6iKWpsKX0pg6tQmwFpo/edit?usp=sharing"",""ตรัง!N418"")+IMPORTRANGE(""https://docs.google.com/spreadsheets/d/1Dj4jcHCTV9JXKCaMoheSXS52JE63kDKyG7bPXnFogHk/edit?usp=shar"&amp;"ing"",""นครศรีธรรมราช!N418"")+IMPORTRANGE(""https://docs.google.com/spreadsheets/d/1iodCdmuK2GR3jzUwk8tpccY2JHQQA-87DLOtJP-ooyU/edit?usp=sharing"",""นราธิวาส!N418"")+IMPORTRANGE(""https://docs.google.com/spreadsheets/d/1SDNX3JhDdYRuIOsj0Wh2M-Qa_eaXl0NbWmh"&amp;"AOTbfQAs/edit?usp=sharing"",""ปัตตานี!N418"")+IMPORTRANGE(""https://docs.google.com/spreadsheets/d/16JDLGguT8s5DsGCND1KcwHP_AWR_zDMTqLHPLJUKhaU/edit?usp=sharing"",""พังงา!N418"")+IMPORTRANGE(""https://docs.google.com/spreadsheets/d/17ht0gPKzzT3PObBL1XJkeR"&amp;"mntBXI7wGjpLV7QorqlTk/edit?usp=sharing"",""พัทลุง!N418"")+IMPORTRANGE(""https://docs.google.com/spreadsheets/d/1rd4qoM1q_hsgaolqNGfrim9gbsoLxQsda4-vOz5x_BM/edit?usp=sharing"",""ภูเก็ต!N418"")+IMPORTRANGE(""https://docs.google.com/spreadsheets/d/1woKwKjgoL"&amp;"ssDvPcPeVyezB5izizAn4X1JDrys69n6xI/edit?usp=sharing"",""ยะลา!N418"")+IMPORTRANGE(""https://docs.google.com/spreadsheets/d/1qfrKjzMhm2HJfxQ-qVlJlJQ25Hne1d0khsySbZyGtPA/edit?usp=sharing"",""ระนอง!N418"")+IMPORTRANGE(""https://docs.google.com/spreadsheets/d/"&amp;"1IbSCnFOKpZsnFogBHJnL_isstZVaOMnFiIN0fGTPZZw/edit?usp=sharing"",""สงขลา!N418"")+IMPORTRANGE(""https://docs.google.com/spreadsheets/d/1q9nWasZJ-K8bFGvbE9n0qSRuKGA4Toe3Y89cKCiVtCU/edit?usp=sharing"",""สตูล!N418"")+IMPORTRANGE(""https://docs.google.com/sprea"&amp;"dsheets/d/18T20gbkS_WBjdscyTOV05cvq_JqvqQ17C81mpxf7Ncs/edit?usp=sharing"",""สุราษฎร์ธานี!N418"")"),454382.76)</f>
        <v>454382.76</v>
      </c>
      <c r="O418" s="47">
        <f t="shared" ca="1" si="314"/>
        <v>22.129281988594027</v>
      </c>
      <c r="P418" s="47">
        <f t="shared" ca="1" si="315"/>
        <v>18.068273945148938</v>
      </c>
      <c r="Q418" s="47">
        <f ca="1">IFERROR(__xludf.DUMMYFUNCTION("IMPORTRANGE(""https://docs.google.com/spreadsheets/d/1kKUcYdkIfrgTSj8iHHHB2MD2FAtwyyocFgqGQn6ADyI/edit?usp=sharing"",""กระบี่!Q418"")+IMPORTRANGE(""https://docs.google.com/spreadsheets/d/1GwtLaSlNZkLk7iDqcyZz22giiy40b_usZZBXYciEN1U/edit?usp=sharing"",""ชุ"&amp;"มพร!Q418"")+IMPORTRANGE(""https://docs.google.com/spreadsheets/d/16pAz3pOhQEZBhvFNMa5KGgZS6iKWpsKX0pg6tQmwFpo/edit?usp=sharing"",""ตรัง!Q418"")+IMPORTRANGE(""https://docs.google.com/spreadsheets/d/1Dj4jcHCTV9JXKCaMoheSXS52JE63kDKyG7bPXnFogHk/edit?usp=shar"&amp;"ing"",""นครศรีธรรมราช!Q418"")+IMPORTRANGE(""https://docs.google.com/spreadsheets/d/1iodCdmuK2GR3jzUwk8tpccY2JHQQA-87DLOtJP-ooyU/edit?usp=sharing"",""นราธิวาส!Q418"")+IMPORTRANGE(""https://docs.google.com/spreadsheets/d/1SDNX3JhDdYRuIOsj0Wh2M-Qa_eaXl0NbWmh"&amp;"AOTbfQAs/edit?usp=sharing"",""ปัตตานี!Q418"")+IMPORTRANGE(""https://docs.google.com/spreadsheets/d/16JDLGguT8s5DsGCND1KcwHP_AWR_zDMTqLHPLJUKhaU/edit?usp=sharing"",""พังงา!Q418"")+IMPORTRANGE(""https://docs.google.com/spreadsheets/d/17ht0gPKzzT3PObBL1XJkeR"&amp;"mntBXI7wGjpLV7QorqlTk/edit?usp=sharing"",""พัทลุง!Q418"")+IMPORTRANGE(""https://docs.google.com/spreadsheets/d/1rd4qoM1q_hsgaolqNGfrim9gbsoLxQsda4-vOz5x_BM/edit?usp=sharing"",""ภูเก็ต!Q418"")+IMPORTRANGE(""https://docs.google.com/spreadsheets/d/1woKwKjgoL"&amp;"ssDvPcPeVyezB5izizAn4X1JDrys69n6xI/edit?usp=sharing"",""ยะลา!Q418"")+IMPORTRANGE(""https://docs.google.com/spreadsheets/d/1qfrKjzMhm2HJfxQ-qVlJlJQ25Hne1d0khsySbZyGtPA/edit?usp=sharing"",""ระนอง!Q418"")+IMPORTRANGE(""https://docs.google.com/spreadsheets/d/"&amp;"1IbSCnFOKpZsnFogBHJnL_isstZVaOMnFiIN0fGTPZZw/edit?usp=sharing"",""สงขลา!Q418"")+IMPORTRANGE(""https://docs.google.com/spreadsheets/d/1q9nWasZJ-K8bFGvbE9n0qSRuKGA4Toe3Y89cKCiVtCU/edit?usp=sharing"",""สตูล!Q418"")+IMPORTRANGE(""https://docs.google.com/sprea"&amp;"dsheets/d/18T20gbkS_WBjdscyTOV05cvq_JqvqQ17C81mpxf7Ncs/edit?usp=sharing"",""สุราษฎร์ธานี!Q418"")"),347120)</f>
        <v>347120</v>
      </c>
      <c r="R418" s="47">
        <f ca="1">IFERROR(__xludf.DUMMYFUNCTION("IMPORTRANGE(""https://docs.google.com/spreadsheets/d/1kKUcYdkIfrgTSj8iHHHB2MD2FAtwyyocFgqGQn6ADyI/edit?usp=sharing"",""กระบี่!R418"")+IMPORTRANGE(""https://docs.google.com/spreadsheets/d/1GwtLaSlNZkLk7iDqcyZz22giiy40b_usZZBXYciEN1U/edit?usp=sharing"",""ชุ"&amp;"มพร!R418"")+IMPORTRANGE(""https://docs.google.com/spreadsheets/d/16pAz3pOhQEZBhvFNMa5KGgZS6iKWpsKX0pg6tQmwFpo/edit?usp=sharing"",""ตรัง!R418"")+IMPORTRANGE(""https://docs.google.com/spreadsheets/d/1Dj4jcHCTV9JXKCaMoheSXS52JE63kDKyG7bPXnFogHk/edit?usp=shar"&amp;"ing"",""นครศรีธรรมราช!R418"")+IMPORTRANGE(""https://docs.google.com/spreadsheets/d/1iodCdmuK2GR3jzUwk8tpccY2JHQQA-87DLOtJP-ooyU/edit?usp=sharing"",""นราธิวาส!R418"")+IMPORTRANGE(""https://docs.google.com/spreadsheets/d/1SDNX3JhDdYRuIOsj0Wh2M-Qa_eaXl0NbWmh"&amp;"AOTbfQAs/edit?usp=sharing"",""ปัตตานี!R418"")+IMPORTRANGE(""https://docs.google.com/spreadsheets/d/16JDLGguT8s5DsGCND1KcwHP_AWR_zDMTqLHPLJUKhaU/edit?usp=sharing"",""พังงา!R418"")+IMPORTRANGE(""https://docs.google.com/spreadsheets/d/17ht0gPKzzT3PObBL1XJkeR"&amp;"mntBXI7wGjpLV7QorqlTk/edit?usp=sharing"",""พัทลุง!R418"")+IMPORTRANGE(""https://docs.google.com/spreadsheets/d/1rd4qoM1q_hsgaolqNGfrim9gbsoLxQsda4-vOz5x_BM/edit?usp=sharing"",""ภูเก็ต!R418"")+IMPORTRANGE(""https://docs.google.com/spreadsheets/d/1woKwKjgoL"&amp;"ssDvPcPeVyezB5izizAn4X1JDrys69n6xI/edit?usp=sharing"",""ยะลา!R418"")+IMPORTRANGE(""https://docs.google.com/spreadsheets/d/1qfrKjzMhm2HJfxQ-qVlJlJQ25Hne1d0khsySbZyGtPA/edit?usp=sharing"",""ระนอง!R418"")+IMPORTRANGE(""https://docs.google.com/spreadsheets/d/"&amp;"1IbSCnFOKpZsnFogBHJnL_isstZVaOMnFiIN0fGTPZZw/edit?usp=sharing"",""สงขลา!R418"")+IMPORTRANGE(""https://docs.google.com/spreadsheets/d/1q9nWasZJ-K8bFGvbE9n0qSRuKGA4Toe3Y89cKCiVtCU/edit?usp=sharing"",""สตูล!R418"")+IMPORTRANGE(""https://docs.google.com/sprea"&amp;"dsheets/d/18T20gbkS_WBjdscyTOV05cvq_JqvqQ17C81mpxf7Ncs/edit?usp=sharing"",""สุราษฎร์ธานี!R418"")"),347120)</f>
        <v>347120</v>
      </c>
      <c r="S418" s="47">
        <f ca="1">IFERROR(__xludf.DUMMYFUNCTION("IMPORTRANGE(""https://docs.google.com/spreadsheets/d/1kKUcYdkIfrgTSj8iHHHB2MD2FAtwyyocFgqGQn6ADyI/edit?usp=sharing"",""กระบี่!S418"")+IMPORTRANGE(""https://docs.google.com/spreadsheets/d/1GwtLaSlNZkLk7iDqcyZz22giiy40b_usZZBXYciEN1U/edit?usp=sharing"",""ชุ"&amp;"มพร!S418"")+IMPORTRANGE(""https://docs.google.com/spreadsheets/d/16pAz3pOhQEZBhvFNMa5KGgZS6iKWpsKX0pg6tQmwFpo/edit?usp=sharing"",""ตรัง!S418"")+IMPORTRANGE(""https://docs.google.com/spreadsheets/d/1Dj4jcHCTV9JXKCaMoheSXS52JE63kDKyG7bPXnFogHk/edit?usp=shar"&amp;"ing"",""นครศรีธรรมราช!S418"")+IMPORTRANGE(""https://docs.google.com/spreadsheets/d/1iodCdmuK2GR3jzUwk8tpccY2JHQQA-87DLOtJP-ooyU/edit?usp=sharing"",""นราธิวาส!S418"")+IMPORTRANGE(""https://docs.google.com/spreadsheets/d/1SDNX3JhDdYRuIOsj0Wh2M-Qa_eaXl0NbWmh"&amp;"AOTbfQAs/edit?usp=sharing"",""ปัตตานี!S418"")+IMPORTRANGE(""https://docs.google.com/spreadsheets/d/16JDLGguT8s5DsGCND1KcwHP_AWR_zDMTqLHPLJUKhaU/edit?usp=sharing"",""พังงา!S418"")+IMPORTRANGE(""https://docs.google.com/spreadsheets/d/17ht0gPKzzT3PObBL1XJkeR"&amp;"mntBXI7wGjpLV7QorqlTk/edit?usp=sharing"",""พัทลุง!S418"")+IMPORTRANGE(""https://docs.google.com/spreadsheets/d/1rd4qoM1q_hsgaolqNGfrim9gbsoLxQsda4-vOz5x_BM/edit?usp=sharing"",""ภูเก็ต!S418"")+IMPORTRANGE(""https://docs.google.com/spreadsheets/d/1woKwKjgoL"&amp;"ssDvPcPeVyezB5izizAn4X1JDrys69n6xI/edit?usp=sharing"",""ยะลา!S418"")+IMPORTRANGE(""https://docs.google.com/spreadsheets/d/1qfrKjzMhm2HJfxQ-qVlJlJQ25Hne1d0khsySbZyGtPA/edit?usp=sharing"",""ระนอง!S418"")+IMPORTRANGE(""https://docs.google.com/spreadsheets/d/"&amp;"1IbSCnFOKpZsnFogBHJnL_isstZVaOMnFiIN0fGTPZZw/edit?usp=sharing"",""สงขลา!S418"")+IMPORTRANGE(""https://docs.google.com/spreadsheets/d/1q9nWasZJ-K8bFGvbE9n0qSRuKGA4Toe3Y89cKCiVtCU/edit?usp=sharing"",""สตูล!S418"")+IMPORTRANGE(""https://docs.google.com/sprea"&amp;"dsheets/d/18T20gbkS_WBjdscyTOV05cvq_JqvqQ17C81mpxf7Ncs/edit?usp=sharing"",""สุราษฎร์ธานี!S418"")"),0)</f>
        <v>0</v>
      </c>
      <c r="T418" s="47">
        <f t="shared" ca="1" si="317"/>
        <v>0</v>
      </c>
      <c r="U418" s="47">
        <f t="shared" ca="1" si="318"/>
        <v>0</v>
      </c>
    </row>
    <row r="419" spans="1:21" ht="19.5" x14ac:dyDescent="0.3">
      <c r="A419" s="128"/>
      <c r="B419" s="159"/>
      <c r="C419" s="159"/>
      <c r="D419" s="324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47">
        <f t="shared" ref="L419:N419" ca="1" si="325">L420+L421</f>
        <v>0</v>
      </c>
      <c r="M419" s="47">
        <f t="shared" ca="1" si="325"/>
        <v>0</v>
      </c>
      <c r="N419" s="47">
        <f t="shared" ca="1" si="325"/>
        <v>0</v>
      </c>
      <c r="O419" s="47">
        <f t="shared" ca="1" si="314"/>
        <v>0</v>
      </c>
      <c r="P419" s="47">
        <f t="shared" ca="1" si="315"/>
        <v>0</v>
      </c>
      <c r="Q419" s="47">
        <f t="shared" ref="Q419:S419" ca="1" si="326">Q420+Q421</f>
        <v>0</v>
      </c>
      <c r="R419" s="47">
        <f t="shared" ca="1" si="326"/>
        <v>0</v>
      </c>
      <c r="S419" s="47">
        <f t="shared" ca="1" si="326"/>
        <v>0</v>
      </c>
      <c r="T419" s="47">
        <f t="shared" ca="1" si="317"/>
        <v>0</v>
      </c>
      <c r="U419" s="47">
        <f t="shared" ca="1" si="318"/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49">
        <f ca="1">IFERROR(__xludf.DUMMYFUNCTION("IMPORTRANGE(""https://docs.google.com/spreadsheets/d/1kKUcYdkIfrgTSj8iHHHB2MD2FAtwyyocFgqGQn6ADyI/edit?usp=sharing"",""กระบี่!L420"")+IMPORTRANGE(""https://docs.google.com/spreadsheets/d/1GwtLaSlNZkLk7iDqcyZz22giiy40b_usZZBXYciEN1U/edit?usp=sharing"",""ชุ"&amp;"มพร!L420"")+IMPORTRANGE(""https://docs.google.com/spreadsheets/d/16pAz3pOhQEZBhvFNMa5KGgZS6iKWpsKX0pg6tQmwFpo/edit?usp=sharing"",""ตรัง!L420"")+IMPORTRANGE(""https://docs.google.com/spreadsheets/d/1Dj4jcHCTV9JXKCaMoheSXS52JE63kDKyG7bPXnFogHk/edit?usp=shar"&amp;"ing"",""นครศรีธรรมราช!L420"")+IMPORTRANGE(""https://docs.google.com/spreadsheets/d/1iodCdmuK2GR3jzUwk8tpccY2JHQQA-87DLOtJP-ooyU/edit?usp=sharing"",""นราธิวาส!L420"")+IMPORTRANGE(""https://docs.google.com/spreadsheets/d/1SDNX3JhDdYRuIOsj0Wh2M-Qa_eaXl0NbWmh"&amp;"AOTbfQAs/edit?usp=sharing"",""ปัตตานี!L420"")+IMPORTRANGE(""https://docs.google.com/spreadsheets/d/16JDLGguT8s5DsGCND1KcwHP_AWR_zDMTqLHPLJUKhaU/edit?usp=sharing"",""พังงา!L420"")+IMPORTRANGE(""https://docs.google.com/spreadsheets/d/17ht0gPKzzT3PObBL1XJkeR"&amp;"mntBXI7wGjpLV7QorqlTk/edit?usp=sharing"",""พัทลุง!L420"")+IMPORTRANGE(""https://docs.google.com/spreadsheets/d/1rd4qoM1q_hsgaolqNGfrim9gbsoLxQsda4-vOz5x_BM/edit?usp=sharing"",""ภูเก็ต!L420"")+IMPORTRANGE(""https://docs.google.com/spreadsheets/d/1woKwKjgoL"&amp;"ssDvPcPeVyezB5izizAn4X1JDrys69n6xI/edit?usp=sharing"",""ยะลา!L420"")+IMPORTRANGE(""https://docs.google.com/spreadsheets/d/1qfrKjzMhm2HJfxQ-qVlJlJQ25Hne1d0khsySbZyGtPA/edit?usp=sharing"",""ระนอง!L420"")+IMPORTRANGE(""https://docs.google.com/spreadsheets/d/"&amp;"1IbSCnFOKpZsnFogBHJnL_isstZVaOMnFiIN0fGTPZZw/edit?usp=sharing"",""สงขลา!L420"")+IMPORTRANGE(""https://docs.google.com/spreadsheets/d/1q9nWasZJ-K8bFGvbE9n0qSRuKGA4Toe3Y89cKCiVtCU/edit?usp=sharing"",""สตูล!L420"")+IMPORTRANGE(""https://docs.google.com/sprea"&amp;"dsheets/d/18T20gbkS_WBjdscyTOV05cvq_JqvqQ17C81mpxf7Ncs/edit?usp=sharing"",""สุราษฎร์ธานี!L420"")"),0)</f>
        <v>0</v>
      </c>
      <c r="M420" s="49">
        <f ca="1">IFERROR(__xludf.DUMMYFUNCTION("IMPORTRANGE(""https://docs.google.com/spreadsheets/d/1kKUcYdkIfrgTSj8iHHHB2MD2FAtwyyocFgqGQn6ADyI/edit?usp=sharing"",""กระบี่!M420"")+IMPORTRANGE(""https://docs.google.com/spreadsheets/d/1GwtLaSlNZkLk7iDqcyZz22giiy40b_usZZBXYciEN1U/edit?usp=sharing"",""ชุ"&amp;"มพร!M420"")+IMPORTRANGE(""https://docs.google.com/spreadsheets/d/16pAz3pOhQEZBhvFNMa5KGgZS6iKWpsKX0pg6tQmwFpo/edit?usp=sharing"",""ตรัง!M420"")+IMPORTRANGE(""https://docs.google.com/spreadsheets/d/1Dj4jcHCTV9JXKCaMoheSXS52JE63kDKyG7bPXnFogHk/edit?usp=shar"&amp;"ing"",""นครศรีธรรมราช!M420"")+IMPORTRANGE(""https://docs.google.com/spreadsheets/d/1iodCdmuK2GR3jzUwk8tpccY2JHQQA-87DLOtJP-ooyU/edit?usp=sharing"",""นราธิวาส!M420"")+IMPORTRANGE(""https://docs.google.com/spreadsheets/d/1SDNX3JhDdYRuIOsj0Wh2M-Qa_eaXl0NbWmh"&amp;"AOTbfQAs/edit?usp=sharing"",""ปัตตานี!M420"")+IMPORTRANGE(""https://docs.google.com/spreadsheets/d/16JDLGguT8s5DsGCND1KcwHP_AWR_zDMTqLHPLJUKhaU/edit?usp=sharing"",""พังงา!M420"")+IMPORTRANGE(""https://docs.google.com/spreadsheets/d/17ht0gPKzzT3PObBL1XJkeR"&amp;"mntBXI7wGjpLV7QorqlTk/edit?usp=sharing"",""พัทลุง!M420"")+IMPORTRANGE(""https://docs.google.com/spreadsheets/d/1rd4qoM1q_hsgaolqNGfrim9gbsoLxQsda4-vOz5x_BM/edit?usp=sharing"",""ภูเก็ต!M420"")+IMPORTRANGE(""https://docs.google.com/spreadsheets/d/1woKwKjgoL"&amp;"ssDvPcPeVyezB5izizAn4X1JDrys69n6xI/edit?usp=sharing"",""ยะลา!M420"")+IMPORTRANGE(""https://docs.google.com/spreadsheets/d/1qfrKjzMhm2HJfxQ-qVlJlJQ25Hne1d0khsySbZyGtPA/edit?usp=sharing"",""ระนอง!M420"")+IMPORTRANGE(""https://docs.google.com/spreadsheets/d/"&amp;"1IbSCnFOKpZsnFogBHJnL_isstZVaOMnFiIN0fGTPZZw/edit?usp=sharing"",""สงขลา!M420"")+IMPORTRANGE(""https://docs.google.com/spreadsheets/d/1q9nWasZJ-K8bFGvbE9n0qSRuKGA4Toe3Y89cKCiVtCU/edit?usp=sharing"",""สตูล!M420"")+IMPORTRANGE(""https://docs.google.com/sprea"&amp;"dsheets/d/18T20gbkS_WBjdscyTOV05cvq_JqvqQ17C81mpxf7Ncs/edit?usp=sharing"",""สุราษฎร์ธานี!M420"")"),0)</f>
        <v>0</v>
      </c>
      <c r="N420" s="49">
        <f ca="1">IFERROR(__xludf.DUMMYFUNCTION("IMPORTRANGE(""https://docs.google.com/spreadsheets/d/1kKUcYdkIfrgTSj8iHHHB2MD2FAtwyyocFgqGQn6ADyI/edit?usp=sharing"",""กระบี่!N420"")+IMPORTRANGE(""https://docs.google.com/spreadsheets/d/1GwtLaSlNZkLk7iDqcyZz22giiy40b_usZZBXYciEN1U/edit?usp=sharing"",""ชุ"&amp;"มพร!N420"")+IMPORTRANGE(""https://docs.google.com/spreadsheets/d/16pAz3pOhQEZBhvFNMa5KGgZS6iKWpsKX0pg6tQmwFpo/edit?usp=sharing"",""ตรัง!N420"")+IMPORTRANGE(""https://docs.google.com/spreadsheets/d/1Dj4jcHCTV9JXKCaMoheSXS52JE63kDKyG7bPXnFogHk/edit?usp=shar"&amp;"ing"",""นครศรีธรรมราช!N420"")+IMPORTRANGE(""https://docs.google.com/spreadsheets/d/1iodCdmuK2GR3jzUwk8tpccY2JHQQA-87DLOtJP-ooyU/edit?usp=sharing"",""นราธิวาส!N420"")+IMPORTRANGE(""https://docs.google.com/spreadsheets/d/1SDNX3JhDdYRuIOsj0Wh2M-Qa_eaXl0NbWmh"&amp;"AOTbfQAs/edit?usp=sharing"",""ปัตตานี!N420"")+IMPORTRANGE(""https://docs.google.com/spreadsheets/d/16JDLGguT8s5DsGCND1KcwHP_AWR_zDMTqLHPLJUKhaU/edit?usp=sharing"",""พังงา!N420"")+IMPORTRANGE(""https://docs.google.com/spreadsheets/d/17ht0gPKzzT3PObBL1XJkeR"&amp;"mntBXI7wGjpLV7QorqlTk/edit?usp=sharing"",""พัทลุง!N420"")+IMPORTRANGE(""https://docs.google.com/spreadsheets/d/1rd4qoM1q_hsgaolqNGfrim9gbsoLxQsda4-vOz5x_BM/edit?usp=sharing"",""ภูเก็ต!N420"")+IMPORTRANGE(""https://docs.google.com/spreadsheets/d/1woKwKjgoL"&amp;"ssDvPcPeVyezB5izizAn4X1JDrys69n6xI/edit?usp=sharing"",""ยะลา!N420"")+IMPORTRANGE(""https://docs.google.com/spreadsheets/d/1qfrKjzMhm2HJfxQ-qVlJlJQ25Hne1d0khsySbZyGtPA/edit?usp=sharing"",""ระนอง!N420"")+IMPORTRANGE(""https://docs.google.com/spreadsheets/d/"&amp;"1IbSCnFOKpZsnFogBHJnL_isstZVaOMnFiIN0fGTPZZw/edit?usp=sharing"",""สงขลา!N420"")+IMPORTRANGE(""https://docs.google.com/spreadsheets/d/1q9nWasZJ-K8bFGvbE9n0qSRuKGA4Toe3Y89cKCiVtCU/edit?usp=sharing"",""สตูล!N420"")+IMPORTRANGE(""https://docs.google.com/sprea"&amp;"dsheets/d/18T20gbkS_WBjdscyTOV05cvq_JqvqQ17C81mpxf7Ncs/edit?usp=sharing"",""สุราษฎร์ธานี!N420"")"),0)</f>
        <v>0</v>
      </c>
      <c r="O420" s="49">
        <f t="shared" ca="1" si="314"/>
        <v>0</v>
      </c>
      <c r="P420" s="49">
        <f t="shared" ca="1" si="315"/>
        <v>0</v>
      </c>
      <c r="Q420" s="49">
        <f ca="1">IFERROR(__xludf.DUMMYFUNCTION("IMPORTRANGE(""https://docs.google.com/spreadsheets/d/1kKUcYdkIfrgTSj8iHHHB2MD2FAtwyyocFgqGQn6ADyI/edit?usp=sharing"",""กระบี่!Q420"")+IMPORTRANGE(""https://docs.google.com/spreadsheets/d/1GwtLaSlNZkLk7iDqcyZz22giiy40b_usZZBXYciEN1U/edit?usp=sharing"",""ชุ"&amp;"มพร!Q420"")+IMPORTRANGE(""https://docs.google.com/spreadsheets/d/16pAz3pOhQEZBhvFNMa5KGgZS6iKWpsKX0pg6tQmwFpo/edit?usp=sharing"",""ตรัง!Q420"")+IMPORTRANGE(""https://docs.google.com/spreadsheets/d/1Dj4jcHCTV9JXKCaMoheSXS52JE63kDKyG7bPXnFogHk/edit?usp=shar"&amp;"ing"",""นครศรีธรรมราช!Q420"")+IMPORTRANGE(""https://docs.google.com/spreadsheets/d/1iodCdmuK2GR3jzUwk8tpccY2JHQQA-87DLOtJP-ooyU/edit?usp=sharing"",""นราธิวาส!Q420"")+IMPORTRANGE(""https://docs.google.com/spreadsheets/d/1SDNX3JhDdYRuIOsj0Wh2M-Qa_eaXl0NbWmh"&amp;"AOTbfQAs/edit?usp=sharing"",""ปัตตานี!Q420"")+IMPORTRANGE(""https://docs.google.com/spreadsheets/d/16JDLGguT8s5DsGCND1KcwHP_AWR_zDMTqLHPLJUKhaU/edit?usp=sharing"",""พังงา!Q420"")+IMPORTRANGE(""https://docs.google.com/spreadsheets/d/17ht0gPKzzT3PObBL1XJkeR"&amp;"mntBXI7wGjpLV7QorqlTk/edit?usp=sharing"",""พัทลุง!Q420"")+IMPORTRANGE(""https://docs.google.com/spreadsheets/d/1rd4qoM1q_hsgaolqNGfrim9gbsoLxQsda4-vOz5x_BM/edit?usp=sharing"",""ภูเก็ต!Q420"")+IMPORTRANGE(""https://docs.google.com/spreadsheets/d/1woKwKjgoL"&amp;"ssDvPcPeVyezB5izizAn4X1JDrys69n6xI/edit?usp=sharing"",""ยะลา!Q420"")+IMPORTRANGE(""https://docs.google.com/spreadsheets/d/1qfrKjzMhm2HJfxQ-qVlJlJQ25Hne1d0khsySbZyGtPA/edit?usp=sharing"",""ระนอง!Q420"")+IMPORTRANGE(""https://docs.google.com/spreadsheets/d/"&amp;"1IbSCnFOKpZsnFogBHJnL_isstZVaOMnFiIN0fGTPZZw/edit?usp=sharing"",""สงขลา!Q420"")+IMPORTRANGE(""https://docs.google.com/spreadsheets/d/1q9nWasZJ-K8bFGvbE9n0qSRuKGA4Toe3Y89cKCiVtCU/edit?usp=sharing"",""สตูล!Q420"")+IMPORTRANGE(""https://docs.google.com/sprea"&amp;"dsheets/d/18T20gbkS_WBjdscyTOV05cvq_JqvqQ17C81mpxf7Ncs/edit?usp=sharing"",""สุราษฎร์ธานี!Q420"")"),0)</f>
        <v>0</v>
      </c>
      <c r="R420" s="49">
        <f ca="1">IFERROR(__xludf.DUMMYFUNCTION("IMPORTRANGE(""https://docs.google.com/spreadsheets/d/1kKUcYdkIfrgTSj8iHHHB2MD2FAtwyyocFgqGQn6ADyI/edit?usp=sharing"",""กระบี่!R420"")+IMPORTRANGE(""https://docs.google.com/spreadsheets/d/1GwtLaSlNZkLk7iDqcyZz22giiy40b_usZZBXYciEN1U/edit?usp=sharing"",""ชุ"&amp;"มพร!R420"")+IMPORTRANGE(""https://docs.google.com/spreadsheets/d/16pAz3pOhQEZBhvFNMa5KGgZS6iKWpsKX0pg6tQmwFpo/edit?usp=sharing"",""ตรัง!R420"")+IMPORTRANGE(""https://docs.google.com/spreadsheets/d/1Dj4jcHCTV9JXKCaMoheSXS52JE63kDKyG7bPXnFogHk/edit?usp=shar"&amp;"ing"",""นครศรีธรรมราช!R420"")+IMPORTRANGE(""https://docs.google.com/spreadsheets/d/1iodCdmuK2GR3jzUwk8tpccY2JHQQA-87DLOtJP-ooyU/edit?usp=sharing"",""นราธิวาส!R420"")+IMPORTRANGE(""https://docs.google.com/spreadsheets/d/1SDNX3JhDdYRuIOsj0Wh2M-Qa_eaXl0NbWmh"&amp;"AOTbfQAs/edit?usp=sharing"",""ปัตตานี!R420"")+IMPORTRANGE(""https://docs.google.com/spreadsheets/d/16JDLGguT8s5DsGCND1KcwHP_AWR_zDMTqLHPLJUKhaU/edit?usp=sharing"",""พังงา!R420"")+IMPORTRANGE(""https://docs.google.com/spreadsheets/d/17ht0gPKzzT3PObBL1XJkeR"&amp;"mntBXI7wGjpLV7QorqlTk/edit?usp=sharing"",""พัทลุง!R420"")+IMPORTRANGE(""https://docs.google.com/spreadsheets/d/1rd4qoM1q_hsgaolqNGfrim9gbsoLxQsda4-vOz5x_BM/edit?usp=sharing"",""ภูเก็ต!R420"")+IMPORTRANGE(""https://docs.google.com/spreadsheets/d/1woKwKjgoL"&amp;"ssDvPcPeVyezB5izizAn4X1JDrys69n6xI/edit?usp=sharing"",""ยะลา!R420"")+IMPORTRANGE(""https://docs.google.com/spreadsheets/d/1qfrKjzMhm2HJfxQ-qVlJlJQ25Hne1d0khsySbZyGtPA/edit?usp=sharing"",""ระนอง!R420"")+IMPORTRANGE(""https://docs.google.com/spreadsheets/d/"&amp;"1IbSCnFOKpZsnFogBHJnL_isstZVaOMnFiIN0fGTPZZw/edit?usp=sharing"",""สงขลา!R420"")+IMPORTRANGE(""https://docs.google.com/spreadsheets/d/1q9nWasZJ-K8bFGvbE9n0qSRuKGA4Toe3Y89cKCiVtCU/edit?usp=sharing"",""สตูล!R420"")+IMPORTRANGE(""https://docs.google.com/sprea"&amp;"dsheets/d/18T20gbkS_WBjdscyTOV05cvq_JqvqQ17C81mpxf7Ncs/edit?usp=sharing"",""สุราษฎร์ธานี!R420"")"),0)</f>
        <v>0</v>
      </c>
      <c r="S420" s="49">
        <f ca="1">IFERROR(__xludf.DUMMYFUNCTION("IMPORTRANGE(""https://docs.google.com/spreadsheets/d/1kKUcYdkIfrgTSj8iHHHB2MD2FAtwyyocFgqGQn6ADyI/edit?usp=sharing"",""กระบี่!S420"")+IMPORTRANGE(""https://docs.google.com/spreadsheets/d/1GwtLaSlNZkLk7iDqcyZz22giiy40b_usZZBXYciEN1U/edit?usp=sharing"",""ชุ"&amp;"มพร!S420"")+IMPORTRANGE(""https://docs.google.com/spreadsheets/d/16pAz3pOhQEZBhvFNMa5KGgZS6iKWpsKX0pg6tQmwFpo/edit?usp=sharing"",""ตรัง!S420"")+IMPORTRANGE(""https://docs.google.com/spreadsheets/d/1Dj4jcHCTV9JXKCaMoheSXS52JE63kDKyG7bPXnFogHk/edit?usp=shar"&amp;"ing"",""นครศรีธรรมราช!S420"")+IMPORTRANGE(""https://docs.google.com/spreadsheets/d/1iodCdmuK2GR3jzUwk8tpccY2JHQQA-87DLOtJP-ooyU/edit?usp=sharing"",""นราธิวาส!S420"")+IMPORTRANGE(""https://docs.google.com/spreadsheets/d/1SDNX3JhDdYRuIOsj0Wh2M-Qa_eaXl0NbWmh"&amp;"AOTbfQAs/edit?usp=sharing"",""ปัตตานี!S420"")+IMPORTRANGE(""https://docs.google.com/spreadsheets/d/16JDLGguT8s5DsGCND1KcwHP_AWR_zDMTqLHPLJUKhaU/edit?usp=sharing"",""พังงา!S420"")+IMPORTRANGE(""https://docs.google.com/spreadsheets/d/17ht0gPKzzT3PObBL1XJkeR"&amp;"mntBXI7wGjpLV7QorqlTk/edit?usp=sharing"",""พัทลุง!S420"")+IMPORTRANGE(""https://docs.google.com/spreadsheets/d/1rd4qoM1q_hsgaolqNGfrim9gbsoLxQsda4-vOz5x_BM/edit?usp=sharing"",""ภูเก็ต!S420"")+IMPORTRANGE(""https://docs.google.com/spreadsheets/d/1woKwKjgoL"&amp;"ssDvPcPeVyezB5izizAn4X1JDrys69n6xI/edit?usp=sharing"",""ยะลา!S420"")+IMPORTRANGE(""https://docs.google.com/spreadsheets/d/1qfrKjzMhm2HJfxQ-qVlJlJQ25Hne1d0khsySbZyGtPA/edit?usp=sharing"",""ระนอง!S420"")+IMPORTRANGE(""https://docs.google.com/spreadsheets/d/"&amp;"1IbSCnFOKpZsnFogBHJnL_isstZVaOMnFiIN0fGTPZZw/edit?usp=sharing"",""สงขลา!S420"")+IMPORTRANGE(""https://docs.google.com/spreadsheets/d/1q9nWasZJ-K8bFGvbE9n0qSRuKGA4Toe3Y89cKCiVtCU/edit?usp=sharing"",""สตูล!S420"")+IMPORTRANGE(""https://docs.google.com/sprea"&amp;"dsheets/d/18T20gbkS_WBjdscyTOV05cvq_JqvqQ17C81mpxf7Ncs/edit?usp=sharing"",""สุราษฎร์ธานี!S420"")"),0)</f>
        <v>0</v>
      </c>
      <c r="T420" s="49">
        <f t="shared" ca="1" si="317"/>
        <v>0</v>
      </c>
      <c r="U420" s="49">
        <f t="shared" ca="1" si="318"/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47">
        <f ca="1">IFERROR(__xludf.DUMMYFUNCTION("IMPORTRANGE(""https://docs.google.com/spreadsheets/d/1kKUcYdkIfrgTSj8iHHHB2MD2FAtwyyocFgqGQn6ADyI/edit?usp=sharing"",""กระบี่!L421"")+IMPORTRANGE(""https://docs.google.com/spreadsheets/d/1GwtLaSlNZkLk7iDqcyZz22giiy40b_usZZBXYciEN1U/edit?usp=sharing"",""ชุ"&amp;"มพร!L421"")+IMPORTRANGE(""https://docs.google.com/spreadsheets/d/16pAz3pOhQEZBhvFNMa5KGgZS6iKWpsKX0pg6tQmwFpo/edit?usp=sharing"",""ตรัง!L421"")+IMPORTRANGE(""https://docs.google.com/spreadsheets/d/1Dj4jcHCTV9JXKCaMoheSXS52JE63kDKyG7bPXnFogHk/edit?usp=shar"&amp;"ing"",""นครศรีธรรมราช!L421"")+IMPORTRANGE(""https://docs.google.com/spreadsheets/d/1iodCdmuK2GR3jzUwk8tpccY2JHQQA-87DLOtJP-ooyU/edit?usp=sharing"",""นราธิวาส!L421"")+IMPORTRANGE(""https://docs.google.com/spreadsheets/d/1SDNX3JhDdYRuIOsj0Wh2M-Qa_eaXl0NbWmh"&amp;"AOTbfQAs/edit?usp=sharing"",""ปัตตานี!L421"")+IMPORTRANGE(""https://docs.google.com/spreadsheets/d/16JDLGguT8s5DsGCND1KcwHP_AWR_zDMTqLHPLJUKhaU/edit?usp=sharing"",""พังงา!L421"")+IMPORTRANGE(""https://docs.google.com/spreadsheets/d/17ht0gPKzzT3PObBL1XJkeR"&amp;"mntBXI7wGjpLV7QorqlTk/edit?usp=sharing"",""พัทลุง!L421"")+IMPORTRANGE(""https://docs.google.com/spreadsheets/d/1rd4qoM1q_hsgaolqNGfrim9gbsoLxQsda4-vOz5x_BM/edit?usp=sharing"",""ภูเก็ต!L421"")+IMPORTRANGE(""https://docs.google.com/spreadsheets/d/1woKwKjgoL"&amp;"ssDvPcPeVyezB5izizAn4X1JDrys69n6xI/edit?usp=sharing"",""ยะลา!L421"")+IMPORTRANGE(""https://docs.google.com/spreadsheets/d/1qfrKjzMhm2HJfxQ-qVlJlJQ25Hne1d0khsySbZyGtPA/edit?usp=sharing"",""ระนอง!L421"")+IMPORTRANGE(""https://docs.google.com/spreadsheets/d/"&amp;"1IbSCnFOKpZsnFogBHJnL_isstZVaOMnFiIN0fGTPZZw/edit?usp=sharing"",""สงขลา!L421"")+IMPORTRANGE(""https://docs.google.com/spreadsheets/d/1q9nWasZJ-K8bFGvbE9n0qSRuKGA4Toe3Y89cKCiVtCU/edit?usp=sharing"",""สตูล!L421"")+IMPORTRANGE(""https://docs.google.com/sprea"&amp;"dsheets/d/18T20gbkS_WBjdscyTOV05cvq_JqvqQ17C81mpxf7Ncs/edit?usp=sharing"",""สุราษฎร์ธานี!L421"")"),0)</f>
        <v>0</v>
      </c>
      <c r="M421" s="47">
        <f ca="1">IFERROR(__xludf.DUMMYFUNCTION("IMPORTRANGE(""https://docs.google.com/spreadsheets/d/1kKUcYdkIfrgTSj8iHHHB2MD2FAtwyyocFgqGQn6ADyI/edit?usp=sharing"",""กระบี่!M421"")+IMPORTRANGE(""https://docs.google.com/spreadsheets/d/1GwtLaSlNZkLk7iDqcyZz22giiy40b_usZZBXYciEN1U/edit?usp=sharing"",""ชุ"&amp;"มพร!M421"")+IMPORTRANGE(""https://docs.google.com/spreadsheets/d/16pAz3pOhQEZBhvFNMa5KGgZS6iKWpsKX0pg6tQmwFpo/edit?usp=sharing"",""ตรัง!M421"")+IMPORTRANGE(""https://docs.google.com/spreadsheets/d/1Dj4jcHCTV9JXKCaMoheSXS52JE63kDKyG7bPXnFogHk/edit?usp=shar"&amp;"ing"",""นครศรีธรรมราช!M421"")+IMPORTRANGE(""https://docs.google.com/spreadsheets/d/1iodCdmuK2GR3jzUwk8tpccY2JHQQA-87DLOtJP-ooyU/edit?usp=sharing"",""นราธิวาส!M421"")+IMPORTRANGE(""https://docs.google.com/spreadsheets/d/1SDNX3JhDdYRuIOsj0Wh2M-Qa_eaXl0NbWmh"&amp;"AOTbfQAs/edit?usp=sharing"",""ปัตตานี!M421"")+IMPORTRANGE(""https://docs.google.com/spreadsheets/d/16JDLGguT8s5DsGCND1KcwHP_AWR_zDMTqLHPLJUKhaU/edit?usp=sharing"",""พังงา!M421"")+IMPORTRANGE(""https://docs.google.com/spreadsheets/d/17ht0gPKzzT3PObBL1XJkeR"&amp;"mntBXI7wGjpLV7QorqlTk/edit?usp=sharing"",""พัทลุง!M421"")+IMPORTRANGE(""https://docs.google.com/spreadsheets/d/1rd4qoM1q_hsgaolqNGfrim9gbsoLxQsda4-vOz5x_BM/edit?usp=sharing"",""ภูเก็ต!M421"")+IMPORTRANGE(""https://docs.google.com/spreadsheets/d/1woKwKjgoL"&amp;"ssDvPcPeVyezB5izizAn4X1JDrys69n6xI/edit?usp=sharing"",""ยะลา!M421"")+IMPORTRANGE(""https://docs.google.com/spreadsheets/d/1qfrKjzMhm2HJfxQ-qVlJlJQ25Hne1d0khsySbZyGtPA/edit?usp=sharing"",""ระนอง!M421"")+IMPORTRANGE(""https://docs.google.com/spreadsheets/d/"&amp;"1IbSCnFOKpZsnFogBHJnL_isstZVaOMnFiIN0fGTPZZw/edit?usp=sharing"",""สงขลา!M421"")+IMPORTRANGE(""https://docs.google.com/spreadsheets/d/1q9nWasZJ-K8bFGvbE9n0qSRuKGA4Toe3Y89cKCiVtCU/edit?usp=sharing"",""สตูล!M421"")+IMPORTRANGE(""https://docs.google.com/sprea"&amp;"dsheets/d/18T20gbkS_WBjdscyTOV05cvq_JqvqQ17C81mpxf7Ncs/edit?usp=sharing"",""สุราษฎร์ธานี!M421"")"),0)</f>
        <v>0</v>
      </c>
      <c r="N421" s="47">
        <f ca="1">IFERROR(__xludf.DUMMYFUNCTION("IMPORTRANGE(""https://docs.google.com/spreadsheets/d/1kKUcYdkIfrgTSj8iHHHB2MD2FAtwyyocFgqGQn6ADyI/edit?usp=sharing"",""กระบี่!N421"")+IMPORTRANGE(""https://docs.google.com/spreadsheets/d/1GwtLaSlNZkLk7iDqcyZz22giiy40b_usZZBXYciEN1U/edit?usp=sharing"",""ชุ"&amp;"มพร!N421"")+IMPORTRANGE(""https://docs.google.com/spreadsheets/d/16pAz3pOhQEZBhvFNMa5KGgZS6iKWpsKX0pg6tQmwFpo/edit?usp=sharing"",""ตรัง!N421"")+IMPORTRANGE(""https://docs.google.com/spreadsheets/d/1Dj4jcHCTV9JXKCaMoheSXS52JE63kDKyG7bPXnFogHk/edit?usp=shar"&amp;"ing"",""นครศรีธรรมราช!N421"")+IMPORTRANGE(""https://docs.google.com/spreadsheets/d/1iodCdmuK2GR3jzUwk8tpccY2JHQQA-87DLOtJP-ooyU/edit?usp=sharing"",""นราธิวาส!N421"")+IMPORTRANGE(""https://docs.google.com/spreadsheets/d/1SDNX3JhDdYRuIOsj0Wh2M-Qa_eaXl0NbWmh"&amp;"AOTbfQAs/edit?usp=sharing"",""ปัตตานี!N421"")+IMPORTRANGE(""https://docs.google.com/spreadsheets/d/16JDLGguT8s5DsGCND1KcwHP_AWR_zDMTqLHPLJUKhaU/edit?usp=sharing"",""พังงา!N421"")+IMPORTRANGE(""https://docs.google.com/spreadsheets/d/17ht0gPKzzT3PObBL1XJkeR"&amp;"mntBXI7wGjpLV7QorqlTk/edit?usp=sharing"",""พัทลุง!N421"")+IMPORTRANGE(""https://docs.google.com/spreadsheets/d/1rd4qoM1q_hsgaolqNGfrim9gbsoLxQsda4-vOz5x_BM/edit?usp=sharing"",""ภูเก็ต!N421"")+IMPORTRANGE(""https://docs.google.com/spreadsheets/d/1woKwKjgoL"&amp;"ssDvPcPeVyezB5izizAn4X1JDrys69n6xI/edit?usp=sharing"",""ยะลา!N421"")+IMPORTRANGE(""https://docs.google.com/spreadsheets/d/1qfrKjzMhm2HJfxQ-qVlJlJQ25Hne1d0khsySbZyGtPA/edit?usp=sharing"",""ระนอง!N421"")+IMPORTRANGE(""https://docs.google.com/spreadsheets/d/"&amp;"1IbSCnFOKpZsnFogBHJnL_isstZVaOMnFiIN0fGTPZZw/edit?usp=sharing"",""สงขลา!N421"")+IMPORTRANGE(""https://docs.google.com/spreadsheets/d/1q9nWasZJ-K8bFGvbE9n0qSRuKGA4Toe3Y89cKCiVtCU/edit?usp=sharing"",""สตูล!N421"")+IMPORTRANGE(""https://docs.google.com/sprea"&amp;"dsheets/d/18T20gbkS_WBjdscyTOV05cvq_JqvqQ17C81mpxf7Ncs/edit?usp=sharing"",""สุราษฎร์ธานี!N421"")"),0)</f>
        <v>0</v>
      </c>
      <c r="O421" s="47">
        <f t="shared" ca="1" si="314"/>
        <v>0</v>
      </c>
      <c r="P421" s="47">
        <f t="shared" ca="1" si="315"/>
        <v>0</v>
      </c>
      <c r="Q421" s="47">
        <f ca="1">IFERROR(__xludf.DUMMYFUNCTION("IMPORTRANGE(""https://docs.google.com/spreadsheets/d/1kKUcYdkIfrgTSj8iHHHB2MD2FAtwyyocFgqGQn6ADyI/edit?usp=sharing"",""กระบี่!Q421"")+IMPORTRANGE(""https://docs.google.com/spreadsheets/d/1GwtLaSlNZkLk7iDqcyZz22giiy40b_usZZBXYciEN1U/edit?usp=sharing"",""ชุ"&amp;"มพร!Q421"")+IMPORTRANGE(""https://docs.google.com/spreadsheets/d/16pAz3pOhQEZBhvFNMa5KGgZS6iKWpsKX0pg6tQmwFpo/edit?usp=sharing"",""ตรัง!Q421"")+IMPORTRANGE(""https://docs.google.com/spreadsheets/d/1Dj4jcHCTV9JXKCaMoheSXS52JE63kDKyG7bPXnFogHk/edit?usp=shar"&amp;"ing"",""นครศรีธรรมราช!Q421"")+IMPORTRANGE(""https://docs.google.com/spreadsheets/d/1iodCdmuK2GR3jzUwk8tpccY2JHQQA-87DLOtJP-ooyU/edit?usp=sharing"",""นราธิวาส!Q421"")+IMPORTRANGE(""https://docs.google.com/spreadsheets/d/1SDNX3JhDdYRuIOsj0Wh2M-Qa_eaXl0NbWmh"&amp;"AOTbfQAs/edit?usp=sharing"",""ปัตตานี!Q421"")+IMPORTRANGE(""https://docs.google.com/spreadsheets/d/16JDLGguT8s5DsGCND1KcwHP_AWR_zDMTqLHPLJUKhaU/edit?usp=sharing"",""พังงา!Q421"")+IMPORTRANGE(""https://docs.google.com/spreadsheets/d/17ht0gPKzzT3PObBL1XJkeR"&amp;"mntBXI7wGjpLV7QorqlTk/edit?usp=sharing"",""พัทลุง!Q421"")+IMPORTRANGE(""https://docs.google.com/spreadsheets/d/1rd4qoM1q_hsgaolqNGfrim9gbsoLxQsda4-vOz5x_BM/edit?usp=sharing"",""ภูเก็ต!Q421"")+IMPORTRANGE(""https://docs.google.com/spreadsheets/d/1woKwKjgoL"&amp;"ssDvPcPeVyezB5izizAn4X1JDrys69n6xI/edit?usp=sharing"",""ยะลา!Q421"")+IMPORTRANGE(""https://docs.google.com/spreadsheets/d/1qfrKjzMhm2HJfxQ-qVlJlJQ25Hne1d0khsySbZyGtPA/edit?usp=sharing"",""ระนอง!Q421"")+IMPORTRANGE(""https://docs.google.com/spreadsheets/d/"&amp;"1IbSCnFOKpZsnFogBHJnL_isstZVaOMnFiIN0fGTPZZw/edit?usp=sharing"",""สงขลา!Q421"")+IMPORTRANGE(""https://docs.google.com/spreadsheets/d/1q9nWasZJ-K8bFGvbE9n0qSRuKGA4Toe3Y89cKCiVtCU/edit?usp=sharing"",""สตูล!Q421"")+IMPORTRANGE(""https://docs.google.com/sprea"&amp;"dsheets/d/18T20gbkS_WBjdscyTOV05cvq_JqvqQ17C81mpxf7Ncs/edit?usp=sharing"",""สุราษฎร์ธานี!Q421"")"),0)</f>
        <v>0</v>
      </c>
      <c r="R421" s="47">
        <f ca="1">IFERROR(__xludf.DUMMYFUNCTION("IMPORTRANGE(""https://docs.google.com/spreadsheets/d/1kKUcYdkIfrgTSj8iHHHB2MD2FAtwyyocFgqGQn6ADyI/edit?usp=sharing"",""กระบี่!R421"")+IMPORTRANGE(""https://docs.google.com/spreadsheets/d/1GwtLaSlNZkLk7iDqcyZz22giiy40b_usZZBXYciEN1U/edit?usp=sharing"",""ชุ"&amp;"มพร!R421"")+IMPORTRANGE(""https://docs.google.com/spreadsheets/d/16pAz3pOhQEZBhvFNMa5KGgZS6iKWpsKX0pg6tQmwFpo/edit?usp=sharing"",""ตรัง!R421"")+IMPORTRANGE(""https://docs.google.com/spreadsheets/d/1Dj4jcHCTV9JXKCaMoheSXS52JE63kDKyG7bPXnFogHk/edit?usp=shar"&amp;"ing"",""นครศรีธรรมราช!R421"")+IMPORTRANGE(""https://docs.google.com/spreadsheets/d/1iodCdmuK2GR3jzUwk8tpccY2JHQQA-87DLOtJP-ooyU/edit?usp=sharing"",""นราธิวาส!R421"")+IMPORTRANGE(""https://docs.google.com/spreadsheets/d/1SDNX3JhDdYRuIOsj0Wh2M-Qa_eaXl0NbWmh"&amp;"AOTbfQAs/edit?usp=sharing"",""ปัตตานี!R421"")+IMPORTRANGE(""https://docs.google.com/spreadsheets/d/16JDLGguT8s5DsGCND1KcwHP_AWR_zDMTqLHPLJUKhaU/edit?usp=sharing"",""พังงา!R421"")+IMPORTRANGE(""https://docs.google.com/spreadsheets/d/17ht0gPKzzT3PObBL1XJkeR"&amp;"mntBXI7wGjpLV7QorqlTk/edit?usp=sharing"",""พัทลุง!R421"")+IMPORTRANGE(""https://docs.google.com/spreadsheets/d/1rd4qoM1q_hsgaolqNGfrim9gbsoLxQsda4-vOz5x_BM/edit?usp=sharing"",""ภูเก็ต!R421"")+IMPORTRANGE(""https://docs.google.com/spreadsheets/d/1woKwKjgoL"&amp;"ssDvPcPeVyezB5izizAn4X1JDrys69n6xI/edit?usp=sharing"",""ยะลา!R421"")+IMPORTRANGE(""https://docs.google.com/spreadsheets/d/1qfrKjzMhm2HJfxQ-qVlJlJQ25Hne1d0khsySbZyGtPA/edit?usp=sharing"",""ระนอง!R421"")+IMPORTRANGE(""https://docs.google.com/spreadsheets/d/"&amp;"1IbSCnFOKpZsnFogBHJnL_isstZVaOMnFiIN0fGTPZZw/edit?usp=sharing"",""สงขลา!R421"")+IMPORTRANGE(""https://docs.google.com/spreadsheets/d/1q9nWasZJ-K8bFGvbE9n0qSRuKGA4Toe3Y89cKCiVtCU/edit?usp=sharing"",""สตูล!R421"")+IMPORTRANGE(""https://docs.google.com/sprea"&amp;"dsheets/d/18T20gbkS_WBjdscyTOV05cvq_JqvqQ17C81mpxf7Ncs/edit?usp=sharing"",""สุราษฎร์ธานี!R421"")"),0)</f>
        <v>0</v>
      </c>
      <c r="S421" s="47">
        <f ca="1">IFERROR(__xludf.DUMMYFUNCTION("IMPORTRANGE(""https://docs.google.com/spreadsheets/d/1kKUcYdkIfrgTSj8iHHHB2MD2FAtwyyocFgqGQn6ADyI/edit?usp=sharing"",""กระบี่!S421"")+IMPORTRANGE(""https://docs.google.com/spreadsheets/d/1GwtLaSlNZkLk7iDqcyZz22giiy40b_usZZBXYciEN1U/edit?usp=sharing"",""ชุ"&amp;"มพร!S421"")+IMPORTRANGE(""https://docs.google.com/spreadsheets/d/16pAz3pOhQEZBhvFNMa5KGgZS6iKWpsKX0pg6tQmwFpo/edit?usp=sharing"",""ตรัง!S421"")+IMPORTRANGE(""https://docs.google.com/spreadsheets/d/1Dj4jcHCTV9JXKCaMoheSXS52JE63kDKyG7bPXnFogHk/edit?usp=shar"&amp;"ing"",""นครศรีธรรมราช!S421"")+IMPORTRANGE(""https://docs.google.com/spreadsheets/d/1iodCdmuK2GR3jzUwk8tpccY2JHQQA-87DLOtJP-ooyU/edit?usp=sharing"",""นราธิวาส!S421"")+IMPORTRANGE(""https://docs.google.com/spreadsheets/d/1SDNX3JhDdYRuIOsj0Wh2M-Qa_eaXl0NbWmh"&amp;"AOTbfQAs/edit?usp=sharing"",""ปัตตานี!S421"")+IMPORTRANGE(""https://docs.google.com/spreadsheets/d/16JDLGguT8s5DsGCND1KcwHP_AWR_zDMTqLHPLJUKhaU/edit?usp=sharing"",""พังงา!S421"")+IMPORTRANGE(""https://docs.google.com/spreadsheets/d/17ht0gPKzzT3PObBL1XJkeR"&amp;"mntBXI7wGjpLV7QorqlTk/edit?usp=sharing"",""พัทลุง!S421"")+IMPORTRANGE(""https://docs.google.com/spreadsheets/d/1rd4qoM1q_hsgaolqNGfrim9gbsoLxQsda4-vOz5x_BM/edit?usp=sharing"",""ภูเก็ต!S421"")+IMPORTRANGE(""https://docs.google.com/spreadsheets/d/1woKwKjgoL"&amp;"ssDvPcPeVyezB5izizAn4X1JDrys69n6xI/edit?usp=sharing"",""ยะลา!S421"")+IMPORTRANGE(""https://docs.google.com/spreadsheets/d/1qfrKjzMhm2HJfxQ-qVlJlJQ25Hne1d0khsySbZyGtPA/edit?usp=sharing"",""ระนอง!S421"")+IMPORTRANGE(""https://docs.google.com/spreadsheets/d/"&amp;"1IbSCnFOKpZsnFogBHJnL_isstZVaOMnFiIN0fGTPZZw/edit?usp=sharing"",""สงขลา!S421"")+IMPORTRANGE(""https://docs.google.com/spreadsheets/d/1q9nWasZJ-K8bFGvbE9n0qSRuKGA4Toe3Y89cKCiVtCU/edit?usp=sharing"",""สตูล!S421"")+IMPORTRANGE(""https://docs.google.com/sprea"&amp;"dsheets/d/18T20gbkS_WBjdscyTOV05cvq_JqvqQ17C81mpxf7Ncs/edit?usp=sharing"",""สุราษฎร์ธานี!S421"")"),0)</f>
        <v>0</v>
      </c>
      <c r="T421" s="47">
        <f t="shared" ca="1" si="317"/>
        <v>0</v>
      </c>
      <c r="U421" s="47">
        <f t="shared" ca="1" si="318"/>
        <v>0</v>
      </c>
    </row>
    <row r="422" spans="1:21" ht="19.5" x14ac:dyDescent="0.3">
      <c r="A422" s="217"/>
      <c r="B422" s="159"/>
      <c r="C422" s="340" t="s">
        <v>18</v>
      </c>
      <c r="D422" s="346" t="s">
        <v>38</v>
      </c>
      <c r="E422" s="159"/>
      <c r="F422" s="159"/>
      <c r="G422" s="191"/>
      <c r="H422" s="191"/>
      <c r="I422" s="45"/>
      <c r="J422" s="45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t="shared" ref="I423:J423" ca="1" si="327">I440</f>
        <v>216167</v>
      </c>
      <c r="J423" s="147">
        <f t="shared" ca="1" si="327"/>
        <v>0</v>
      </c>
      <c r="K423" s="132">
        <f t="shared" ref="K423:K425" ca="1" si="328">IF(I423&gt;0,J423*100/I423,0)</f>
        <v>0</v>
      </c>
      <c r="L423" s="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kKUcYdkIfrgTSj8iHHHB2MD2FAtwyyocFgqGQn6ADyI/edit?usp=sharing"",""กระบี่!I424"")+IMPORTRANGE(""https://docs.google.com/spreadsheets/d/1GwtLaSlNZkLk7iDqcyZz22giiy40b_usZZBXYciEN1U/edit?usp=sharing"",""ชุ"&amp;"มพร!I424"")+IMPORTRANGE(""https://docs.google.com/spreadsheets/d/16pAz3pOhQEZBhvFNMa5KGgZS6iKWpsKX0pg6tQmwFpo/edit?usp=sharing"",""ตรัง!I424"")+IMPORTRANGE(""https://docs.google.com/spreadsheets/d/1Dj4jcHCTV9JXKCaMoheSXS52JE63kDKyG7bPXnFogHk/edit?usp=shar"&amp;"ing"",""นครศรีธรรมราช!I424"")+IMPORTRANGE(""https://docs.google.com/spreadsheets/d/1iodCdmuK2GR3jzUwk8tpccY2JHQQA-87DLOtJP-ooyU/edit?usp=sharing"",""นราธิวาส!I424"")+IMPORTRANGE(""https://docs.google.com/spreadsheets/d/1SDNX3JhDdYRuIOsj0Wh2M-Qa_eaXl0NbWmh"&amp;"AOTbfQAs/edit?usp=sharing"",""ปัตตานี!I424"")+IMPORTRANGE(""https://docs.google.com/spreadsheets/d/16JDLGguT8s5DsGCND1KcwHP_AWR_zDMTqLHPLJUKhaU/edit?usp=sharing"",""พังงา!I424"")+IMPORTRANGE(""https://docs.google.com/spreadsheets/d/17ht0gPKzzT3PObBL1XJkeR"&amp;"mntBXI7wGjpLV7QorqlTk/edit?usp=sharing"",""พัทลุง!I424"")+IMPORTRANGE(""https://docs.google.com/spreadsheets/d/1rd4qoM1q_hsgaolqNGfrim9gbsoLxQsda4-vOz5x_BM/edit?usp=sharing"",""ภูเก็ต!I424"")+IMPORTRANGE(""https://docs.google.com/spreadsheets/d/1woKwKjgoL"&amp;"ssDvPcPeVyezB5izizAn4X1JDrys69n6xI/edit?usp=sharing"",""ยะลา!I424"")+IMPORTRANGE(""https://docs.google.com/spreadsheets/d/1qfrKjzMhm2HJfxQ-qVlJlJQ25Hne1d0khsySbZyGtPA/edit?usp=sharing"",""ระนอง!I424"")+IMPORTRANGE(""https://docs.google.com/spreadsheets/d/"&amp;"1IbSCnFOKpZsnFogBHJnL_isstZVaOMnFiIN0fGTPZZw/edit?usp=sharing"",""สงขลา!I424"")+IMPORTRANGE(""https://docs.google.com/spreadsheets/d/1q9nWasZJ-K8bFGvbE9n0qSRuKGA4Toe3Y89cKCiVtCU/edit?usp=sharing"",""สตูล!I424"")+IMPORTRANGE(""https://docs.google.com/sprea"&amp;"dsheets/d/18T20gbkS_WBjdscyTOV05cvq_JqvqQ17C81mpxf7Ncs/edit?usp=sharing"",""สุราษฎร์ธานี!I424"")"),216167)</f>
        <v>216167</v>
      </c>
      <c r="J424" s="147">
        <f t="shared" ref="J424:J425" ca="1" si="329">J426+J428+J430</f>
        <v>0</v>
      </c>
      <c r="K424" s="132">
        <f t="shared" ca="1" si="328"/>
        <v>0</v>
      </c>
      <c r="L424" s="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kKUcYdkIfrgTSj8iHHHB2MD2FAtwyyocFgqGQn6ADyI/edit?usp=sharing"",""กระบี่!I425"")+IMPORTRANGE(""https://docs.google.com/spreadsheets/d/1GwtLaSlNZkLk7iDqcyZz22giiy40b_usZZBXYciEN1U/edit?usp=sharing"",""ชุ"&amp;"มพร!I425"")+IMPORTRANGE(""https://docs.google.com/spreadsheets/d/16pAz3pOhQEZBhvFNMa5KGgZS6iKWpsKX0pg6tQmwFpo/edit?usp=sharing"",""ตรัง!I425"")+IMPORTRANGE(""https://docs.google.com/spreadsheets/d/1Dj4jcHCTV9JXKCaMoheSXS52JE63kDKyG7bPXnFogHk/edit?usp=shar"&amp;"ing"",""นครศรีธรรมราช!I425"")+IMPORTRANGE(""https://docs.google.com/spreadsheets/d/1iodCdmuK2GR3jzUwk8tpccY2JHQQA-87DLOtJP-ooyU/edit?usp=sharing"",""นราธิวาส!I425"")+IMPORTRANGE(""https://docs.google.com/spreadsheets/d/1SDNX3JhDdYRuIOsj0Wh2M-Qa_eaXl0NbWmh"&amp;"AOTbfQAs/edit?usp=sharing"",""ปัตตานี!I425"")+IMPORTRANGE(""https://docs.google.com/spreadsheets/d/16JDLGguT8s5DsGCND1KcwHP_AWR_zDMTqLHPLJUKhaU/edit?usp=sharing"",""พังงา!I425"")+IMPORTRANGE(""https://docs.google.com/spreadsheets/d/17ht0gPKzzT3PObBL1XJkeR"&amp;"mntBXI7wGjpLV7QorqlTk/edit?usp=sharing"",""พัทลุง!I425"")+IMPORTRANGE(""https://docs.google.com/spreadsheets/d/1rd4qoM1q_hsgaolqNGfrim9gbsoLxQsda4-vOz5x_BM/edit?usp=sharing"",""ภูเก็ต!I425"")+IMPORTRANGE(""https://docs.google.com/spreadsheets/d/1woKwKjgoL"&amp;"ssDvPcPeVyezB5izizAn4X1JDrys69n6xI/edit?usp=sharing"",""ยะลา!I425"")+IMPORTRANGE(""https://docs.google.com/spreadsheets/d/1qfrKjzMhm2HJfxQ-qVlJlJQ25Hne1d0khsySbZyGtPA/edit?usp=sharing"",""ระนอง!I425"")+IMPORTRANGE(""https://docs.google.com/spreadsheets/d/"&amp;"1IbSCnFOKpZsnFogBHJnL_isstZVaOMnFiIN0fGTPZZw/edit?usp=sharing"",""สงขลา!I425"")+IMPORTRANGE(""https://docs.google.com/spreadsheets/d/1q9nWasZJ-K8bFGvbE9n0qSRuKGA4Toe3Y89cKCiVtCU/edit?usp=sharing"",""สตูล!I425"")+IMPORTRANGE(""https://docs.google.com/sprea"&amp;"dsheets/d/18T20gbkS_WBjdscyTOV05cvq_JqvqQ17C81mpxf7Ncs/edit?usp=sharing"",""สุราษฎร์ธานี!I425"")"),20200)</f>
        <v>20200</v>
      </c>
      <c r="J425" s="147">
        <f t="shared" ca="1" si="329"/>
        <v>0</v>
      </c>
      <c r="K425" s="132">
        <f t="shared" ca="1" si="328"/>
        <v>0</v>
      </c>
      <c r="L425" s="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152">
        <f ca="1">IFERROR(__xludf.DUMMYFUNCTION("IMPORTRANGE(""https://docs.google.com/spreadsheets/d/1kKUcYdkIfrgTSj8iHHHB2MD2FAtwyyocFgqGQn6ADyI/edit?usp=sharing"",""กระบี่!J426"")+IMPORTRANGE(""https://docs.google.com/spreadsheets/d/1GwtLaSlNZkLk7iDqcyZz22giiy40b_usZZBXYciEN1U/edit?usp=sharing"",""ชุ"&amp;"มพร!J426"")+IMPORTRANGE(""https://docs.google.com/spreadsheets/d/16pAz3pOhQEZBhvFNMa5KGgZS6iKWpsKX0pg6tQmwFpo/edit?usp=sharing"",""ตรัง!J426"")+IMPORTRANGE(""https://docs.google.com/spreadsheets/d/1Dj4jcHCTV9JXKCaMoheSXS52JE63kDKyG7bPXnFogHk/edit?usp=shar"&amp;"ing"",""นครศรีธรรมราช!J426"")+IMPORTRANGE(""https://docs.google.com/spreadsheets/d/1iodCdmuK2GR3jzUwk8tpccY2JHQQA-87DLOtJP-ooyU/edit?usp=sharing"",""นราธิวาส!J426"")+IMPORTRANGE(""https://docs.google.com/spreadsheets/d/1SDNX3JhDdYRuIOsj0Wh2M-Qa_eaXl0NbWmh"&amp;"AOTbfQAs/edit?usp=sharing"",""ปัตตานี!J426"")+IMPORTRANGE(""https://docs.google.com/spreadsheets/d/16JDLGguT8s5DsGCND1KcwHP_AWR_zDMTqLHPLJUKhaU/edit?usp=sharing"",""พังงา!J426"")+IMPORTRANGE(""https://docs.google.com/spreadsheets/d/17ht0gPKzzT3PObBL1XJkeR"&amp;"mntBXI7wGjpLV7QorqlTk/edit?usp=sharing"",""พัทลุง!J426"")+IMPORTRANGE(""https://docs.google.com/spreadsheets/d/1rd4qoM1q_hsgaolqNGfrim9gbsoLxQsda4-vOz5x_BM/edit?usp=sharing"",""ภูเก็ต!J426"")+IMPORTRANGE(""https://docs.google.com/spreadsheets/d/1woKwKjgoL"&amp;"ssDvPcPeVyezB5izizAn4X1JDrys69n6xI/edit?usp=sharing"",""ยะลา!J426"")+IMPORTRANGE(""https://docs.google.com/spreadsheets/d/1qfrKjzMhm2HJfxQ-qVlJlJQ25Hne1d0khsySbZyGtPA/edit?usp=sharing"",""ระนอง!J426"")+IMPORTRANGE(""https://docs.google.com/spreadsheets/d/"&amp;"1IbSCnFOKpZsnFogBHJnL_isstZVaOMnFiIN0fGTPZZw/edit?usp=sharing"",""สงขลา!J426"")+IMPORTRANGE(""https://docs.google.com/spreadsheets/d/1q9nWasZJ-K8bFGvbE9n0qSRuKGA4Toe3Y89cKCiVtCU/edit?usp=sharing"",""สตูล!J426"")+IMPORTRANGE(""https://docs.google.com/sprea"&amp;"dsheets/d/18T20gbkS_WBjdscyTOV05cvq_JqvqQ17C81mpxf7Ncs/edit?usp=sharing"",""สุราษฎร์ธานี!J426"")"),0)</f>
        <v>0</v>
      </c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152">
        <f ca="1">IFERROR(__xludf.DUMMYFUNCTION("IMPORTRANGE(""https://docs.google.com/spreadsheets/d/1kKUcYdkIfrgTSj8iHHHB2MD2FAtwyyocFgqGQn6ADyI/edit?usp=sharing"",""กระบี่!J427"")+IMPORTRANGE(""https://docs.google.com/spreadsheets/d/1GwtLaSlNZkLk7iDqcyZz22giiy40b_usZZBXYciEN1U/edit?usp=sharing"",""ชุ"&amp;"มพร!J427"")+IMPORTRANGE(""https://docs.google.com/spreadsheets/d/16pAz3pOhQEZBhvFNMa5KGgZS6iKWpsKX0pg6tQmwFpo/edit?usp=sharing"",""ตรัง!J427"")+IMPORTRANGE(""https://docs.google.com/spreadsheets/d/1Dj4jcHCTV9JXKCaMoheSXS52JE63kDKyG7bPXnFogHk/edit?usp=shar"&amp;"ing"",""นครศรีธรรมราช!J427"")+IMPORTRANGE(""https://docs.google.com/spreadsheets/d/1iodCdmuK2GR3jzUwk8tpccY2JHQQA-87DLOtJP-ooyU/edit?usp=sharing"",""นราธิวาส!J427"")+IMPORTRANGE(""https://docs.google.com/spreadsheets/d/1SDNX3JhDdYRuIOsj0Wh2M-Qa_eaXl0NbWmh"&amp;"AOTbfQAs/edit?usp=sharing"",""ปัตตานี!J427"")+IMPORTRANGE(""https://docs.google.com/spreadsheets/d/16JDLGguT8s5DsGCND1KcwHP_AWR_zDMTqLHPLJUKhaU/edit?usp=sharing"",""พังงา!J427"")+IMPORTRANGE(""https://docs.google.com/spreadsheets/d/17ht0gPKzzT3PObBL1XJkeR"&amp;"mntBXI7wGjpLV7QorqlTk/edit?usp=sharing"",""พัทลุง!J427"")+IMPORTRANGE(""https://docs.google.com/spreadsheets/d/1rd4qoM1q_hsgaolqNGfrim9gbsoLxQsda4-vOz5x_BM/edit?usp=sharing"",""ภูเก็ต!J427"")+IMPORTRANGE(""https://docs.google.com/spreadsheets/d/1woKwKjgoL"&amp;"ssDvPcPeVyezB5izizAn4X1JDrys69n6xI/edit?usp=sharing"",""ยะลา!J427"")+IMPORTRANGE(""https://docs.google.com/spreadsheets/d/1qfrKjzMhm2HJfxQ-qVlJlJQ25Hne1d0khsySbZyGtPA/edit?usp=sharing"",""ระนอง!J427"")+IMPORTRANGE(""https://docs.google.com/spreadsheets/d/"&amp;"1IbSCnFOKpZsnFogBHJnL_isstZVaOMnFiIN0fGTPZZw/edit?usp=sharing"",""สงขลา!J427"")+IMPORTRANGE(""https://docs.google.com/spreadsheets/d/1q9nWasZJ-K8bFGvbE9n0qSRuKGA4Toe3Y89cKCiVtCU/edit?usp=sharing"",""สตูล!J427"")+IMPORTRANGE(""https://docs.google.com/sprea"&amp;"dsheets/d/18T20gbkS_WBjdscyTOV05cvq_JqvqQ17C81mpxf7Ncs/edit?usp=sharing"",""สุราษฎร์ธานี!J427"")"),0)</f>
        <v>0</v>
      </c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152">
        <f ca="1">IFERROR(__xludf.DUMMYFUNCTION("IMPORTRANGE(""https://docs.google.com/spreadsheets/d/1kKUcYdkIfrgTSj8iHHHB2MD2FAtwyyocFgqGQn6ADyI/edit?usp=sharing"",""กระบี่!J428"")+IMPORTRANGE(""https://docs.google.com/spreadsheets/d/1GwtLaSlNZkLk7iDqcyZz22giiy40b_usZZBXYciEN1U/edit?usp=sharing"",""ชุ"&amp;"มพร!J428"")+IMPORTRANGE(""https://docs.google.com/spreadsheets/d/16pAz3pOhQEZBhvFNMa5KGgZS6iKWpsKX0pg6tQmwFpo/edit?usp=sharing"",""ตรัง!J428"")+IMPORTRANGE(""https://docs.google.com/spreadsheets/d/1Dj4jcHCTV9JXKCaMoheSXS52JE63kDKyG7bPXnFogHk/edit?usp=shar"&amp;"ing"",""นครศรีธรรมราช!J428"")+IMPORTRANGE(""https://docs.google.com/spreadsheets/d/1iodCdmuK2GR3jzUwk8tpccY2JHQQA-87DLOtJP-ooyU/edit?usp=sharing"",""นราธิวาส!J428"")+IMPORTRANGE(""https://docs.google.com/spreadsheets/d/1SDNX3JhDdYRuIOsj0Wh2M-Qa_eaXl0NbWmh"&amp;"AOTbfQAs/edit?usp=sharing"",""ปัตตานี!J428"")+IMPORTRANGE(""https://docs.google.com/spreadsheets/d/16JDLGguT8s5DsGCND1KcwHP_AWR_zDMTqLHPLJUKhaU/edit?usp=sharing"",""พังงา!J428"")+IMPORTRANGE(""https://docs.google.com/spreadsheets/d/17ht0gPKzzT3PObBL1XJkeR"&amp;"mntBXI7wGjpLV7QorqlTk/edit?usp=sharing"",""พัทลุง!J428"")+IMPORTRANGE(""https://docs.google.com/spreadsheets/d/1rd4qoM1q_hsgaolqNGfrim9gbsoLxQsda4-vOz5x_BM/edit?usp=sharing"",""ภูเก็ต!J428"")+IMPORTRANGE(""https://docs.google.com/spreadsheets/d/1woKwKjgoL"&amp;"ssDvPcPeVyezB5izizAn4X1JDrys69n6xI/edit?usp=sharing"",""ยะลา!J428"")+IMPORTRANGE(""https://docs.google.com/spreadsheets/d/1qfrKjzMhm2HJfxQ-qVlJlJQ25Hne1d0khsySbZyGtPA/edit?usp=sharing"",""ระนอง!J428"")+IMPORTRANGE(""https://docs.google.com/spreadsheets/d/"&amp;"1IbSCnFOKpZsnFogBHJnL_isstZVaOMnFiIN0fGTPZZw/edit?usp=sharing"",""สงขลา!J428"")+IMPORTRANGE(""https://docs.google.com/spreadsheets/d/1q9nWasZJ-K8bFGvbE9n0qSRuKGA4Toe3Y89cKCiVtCU/edit?usp=sharing"",""สตูล!J428"")+IMPORTRANGE(""https://docs.google.com/sprea"&amp;"dsheets/d/18T20gbkS_WBjdscyTOV05cvq_JqvqQ17C81mpxf7Ncs/edit?usp=sharing"",""สุราษฎร์ธานี!J428"")"),0)</f>
        <v>0</v>
      </c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152">
        <f ca="1">IFERROR(__xludf.DUMMYFUNCTION("IMPORTRANGE(""https://docs.google.com/spreadsheets/d/1kKUcYdkIfrgTSj8iHHHB2MD2FAtwyyocFgqGQn6ADyI/edit?usp=sharing"",""กระบี่!J429"")+IMPORTRANGE(""https://docs.google.com/spreadsheets/d/1GwtLaSlNZkLk7iDqcyZz22giiy40b_usZZBXYciEN1U/edit?usp=sharing"",""ชุ"&amp;"มพร!J429"")+IMPORTRANGE(""https://docs.google.com/spreadsheets/d/16pAz3pOhQEZBhvFNMa5KGgZS6iKWpsKX0pg6tQmwFpo/edit?usp=sharing"",""ตรัง!J429"")+IMPORTRANGE(""https://docs.google.com/spreadsheets/d/1Dj4jcHCTV9JXKCaMoheSXS52JE63kDKyG7bPXnFogHk/edit?usp=shar"&amp;"ing"",""นครศรีธรรมราช!J429"")+IMPORTRANGE(""https://docs.google.com/spreadsheets/d/1iodCdmuK2GR3jzUwk8tpccY2JHQQA-87DLOtJP-ooyU/edit?usp=sharing"",""นราธิวาส!J429"")+IMPORTRANGE(""https://docs.google.com/spreadsheets/d/1SDNX3JhDdYRuIOsj0Wh2M-Qa_eaXl0NbWmh"&amp;"AOTbfQAs/edit?usp=sharing"",""ปัตตานี!J429"")+IMPORTRANGE(""https://docs.google.com/spreadsheets/d/16JDLGguT8s5DsGCND1KcwHP_AWR_zDMTqLHPLJUKhaU/edit?usp=sharing"",""พังงา!J429"")+IMPORTRANGE(""https://docs.google.com/spreadsheets/d/17ht0gPKzzT3PObBL1XJkeR"&amp;"mntBXI7wGjpLV7QorqlTk/edit?usp=sharing"",""พัทลุง!J429"")+IMPORTRANGE(""https://docs.google.com/spreadsheets/d/1rd4qoM1q_hsgaolqNGfrim9gbsoLxQsda4-vOz5x_BM/edit?usp=sharing"",""ภูเก็ต!J429"")+IMPORTRANGE(""https://docs.google.com/spreadsheets/d/1woKwKjgoL"&amp;"ssDvPcPeVyezB5izizAn4X1JDrys69n6xI/edit?usp=sharing"",""ยะลา!J429"")+IMPORTRANGE(""https://docs.google.com/spreadsheets/d/1qfrKjzMhm2HJfxQ-qVlJlJQ25Hne1d0khsySbZyGtPA/edit?usp=sharing"",""ระนอง!J429"")+IMPORTRANGE(""https://docs.google.com/spreadsheets/d/"&amp;"1IbSCnFOKpZsnFogBHJnL_isstZVaOMnFiIN0fGTPZZw/edit?usp=sharing"",""สงขลา!J429"")+IMPORTRANGE(""https://docs.google.com/spreadsheets/d/1q9nWasZJ-K8bFGvbE9n0qSRuKGA4Toe3Y89cKCiVtCU/edit?usp=sharing"",""สตูล!J429"")+IMPORTRANGE(""https://docs.google.com/sprea"&amp;"dsheets/d/18T20gbkS_WBjdscyTOV05cvq_JqvqQ17C81mpxf7Ncs/edit?usp=sharing"",""สุราษฎร์ธานี!J429"")"),0)</f>
        <v>0</v>
      </c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152">
        <f ca="1">IFERROR(__xludf.DUMMYFUNCTION("IMPORTRANGE(""https://docs.google.com/spreadsheets/d/1kKUcYdkIfrgTSj8iHHHB2MD2FAtwyyocFgqGQn6ADyI/edit?usp=sharing"",""กระบี่!J430"")+IMPORTRANGE(""https://docs.google.com/spreadsheets/d/1GwtLaSlNZkLk7iDqcyZz22giiy40b_usZZBXYciEN1U/edit?usp=sharing"",""ชุ"&amp;"มพร!J430"")+IMPORTRANGE(""https://docs.google.com/spreadsheets/d/16pAz3pOhQEZBhvFNMa5KGgZS6iKWpsKX0pg6tQmwFpo/edit?usp=sharing"",""ตรัง!J430"")+IMPORTRANGE(""https://docs.google.com/spreadsheets/d/1Dj4jcHCTV9JXKCaMoheSXS52JE63kDKyG7bPXnFogHk/edit?usp=shar"&amp;"ing"",""นครศรีธรรมราช!J430"")+IMPORTRANGE(""https://docs.google.com/spreadsheets/d/1iodCdmuK2GR3jzUwk8tpccY2JHQQA-87DLOtJP-ooyU/edit?usp=sharing"",""นราธิวาส!J430"")+IMPORTRANGE(""https://docs.google.com/spreadsheets/d/1SDNX3JhDdYRuIOsj0Wh2M-Qa_eaXl0NbWmh"&amp;"AOTbfQAs/edit?usp=sharing"",""ปัตตานี!J430"")+IMPORTRANGE(""https://docs.google.com/spreadsheets/d/16JDLGguT8s5DsGCND1KcwHP_AWR_zDMTqLHPLJUKhaU/edit?usp=sharing"",""พังงา!J430"")+IMPORTRANGE(""https://docs.google.com/spreadsheets/d/17ht0gPKzzT3PObBL1XJkeR"&amp;"mntBXI7wGjpLV7QorqlTk/edit?usp=sharing"",""พัทลุง!J430"")+IMPORTRANGE(""https://docs.google.com/spreadsheets/d/1rd4qoM1q_hsgaolqNGfrim9gbsoLxQsda4-vOz5x_BM/edit?usp=sharing"",""ภูเก็ต!J430"")+IMPORTRANGE(""https://docs.google.com/spreadsheets/d/1woKwKjgoL"&amp;"ssDvPcPeVyezB5izizAn4X1JDrys69n6xI/edit?usp=sharing"",""ยะลา!J430"")+IMPORTRANGE(""https://docs.google.com/spreadsheets/d/1qfrKjzMhm2HJfxQ-qVlJlJQ25Hne1d0khsySbZyGtPA/edit?usp=sharing"",""ระนอง!J430"")+IMPORTRANGE(""https://docs.google.com/spreadsheets/d/"&amp;"1IbSCnFOKpZsnFogBHJnL_isstZVaOMnFiIN0fGTPZZw/edit?usp=sharing"",""สงขลา!J430"")+IMPORTRANGE(""https://docs.google.com/spreadsheets/d/1q9nWasZJ-K8bFGvbE9n0qSRuKGA4Toe3Y89cKCiVtCU/edit?usp=sharing"",""สตูล!J430"")+IMPORTRANGE(""https://docs.google.com/sprea"&amp;"dsheets/d/18T20gbkS_WBjdscyTOV05cvq_JqvqQ17C81mpxf7Ncs/edit?usp=sharing"",""สุราษฎร์ธานี!J430"")"),0)</f>
        <v>0</v>
      </c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152">
        <f ca="1">IFERROR(__xludf.DUMMYFUNCTION("IMPORTRANGE(""https://docs.google.com/spreadsheets/d/1kKUcYdkIfrgTSj8iHHHB2MD2FAtwyyocFgqGQn6ADyI/edit?usp=sharing"",""กระบี่!J431"")+IMPORTRANGE(""https://docs.google.com/spreadsheets/d/1GwtLaSlNZkLk7iDqcyZz22giiy40b_usZZBXYciEN1U/edit?usp=sharing"",""ชุ"&amp;"มพร!J431"")+IMPORTRANGE(""https://docs.google.com/spreadsheets/d/16pAz3pOhQEZBhvFNMa5KGgZS6iKWpsKX0pg6tQmwFpo/edit?usp=sharing"",""ตรัง!J431"")+IMPORTRANGE(""https://docs.google.com/spreadsheets/d/1Dj4jcHCTV9JXKCaMoheSXS52JE63kDKyG7bPXnFogHk/edit?usp=shar"&amp;"ing"",""นครศรีธรรมราช!J431"")+IMPORTRANGE(""https://docs.google.com/spreadsheets/d/1iodCdmuK2GR3jzUwk8tpccY2JHQQA-87DLOtJP-ooyU/edit?usp=sharing"",""นราธิวาส!J431"")+IMPORTRANGE(""https://docs.google.com/spreadsheets/d/1SDNX3JhDdYRuIOsj0Wh2M-Qa_eaXl0NbWmh"&amp;"AOTbfQAs/edit?usp=sharing"",""ปัตตานี!J431"")+IMPORTRANGE(""https://docs.google.com/spreadsheets/d/16JDLGguT8s5DsGCND1KcwHP_AWR_zDMTqLHPLJUKhaU/edit?usp=sharing"",""พังงา!J431"")+IMPORTRANGE(""https://docs.google.com/spreadsheets/d/17ht0gPKzzT3PObBL1XJkeR"&amp;"mntBXI7wGjpLV7QorqlTk/edit?usp=sharing"",""พัทลุง!J431"")+IMPORTRANGE(""https://docs.google.com/spreadsheets/d/1rd4qoM1q_hsgaolqNGfrim9gbsoLxQsda4-vOz5x_BM/edit?usp=sharing"",""ภูเก็ต!J431"")+IMPORTRANGE(""https://docs.google.com/spreadsheets/d/1woKwKjgoL"&amp;"ssDvPcPeVyezB5izizAn4X1JDrys69n6xI/edit?usp=sharing"",""ยะลา!J431"")+IMPORTRANGE(""https://docs.google.com/spreadsheets/d/1qfrKjzMhm2HJfxQ-qVlJlJQ25Hne1d0khsySbZyGtPA/edit?usp=sharing"",""ระนอง!J431"")+IMPORTRANGE(""https://docs.google.com/spreadsheets/d/"&amp;"1IbSCnFOKpZsnFogBHJnL_isstZVaOMnFiIN0fGTPZZw/edit?usp=sharing"",""สงขลา!J431"")+IMPORTRANGE(""https://docs.google.com/spreadsheets/d/1q9nWasZJ-K8bFGvbE9n0qSRuKGA4Toe3Y89cKCiVtCU/edit?usp=sharing"",""สตูล!J431"")+IMPORTRANGE(""https://docs.google.com/sprea"&amp;"dsheets/d/18T20gbkS_WBjdscyTOV05cvq_JqvqQ17C81mpxf7Ncs/edit?usp=sharing"",""สุราษฎร์ธานี!J431"")"),0)</f>
        <v>0</v>
      </c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kKUcYdkIfrgTSj8iHHHB2MD2FAtwyyocFgqGQn6ADyI/edit?usp=sharing"",""กระบี่!I432"")+IMPORTRANGE(""https://docs.google.com/spreadsheets/d/1GwtLaSlNZkLk7iDqcyZz22giiy40b_usZZBXYciEN1U/edit?usp=sharing"",""ชุ"&amp;"มพร!I432"")+IMPORTRANGE(""https://docs.google.com/spreadsheets/d/16pAz3pOhQEZBhvFNMa5KGgZS6iKWpsKX0pg6tQmwFpo/edit?usp=sharing"",""ตรัง!I432"")+IMPORTRANGE(""https://docs.google.com/spreadsheets/d/1Dj4jcHCTV9JXKCaMoheSXS52JE63kDKyG7bPXnFogHk/edit?usp=shar"&amp;"ing"",""นครศรีธรรมราช!I432"")+IMPORTRANGE(""https://docs.google.com/spreadsheets/d/1iodCdmuK2GR3jzUwk8tpccY2JHQQA-87DLOtJP-ooyU/edit?usp=sharing"",""นราธิวาส!I432"")+IMPORTRANGE(""https://docs.google.com/spreadsheets/d/1SDNX3JhDdYRuIOsj0Wh2M-Qa_eaXl0NbWmh"&amp;"AOTbfQAs/edit?usp=sharing"",""ปัตตานี!I432"")+IMPORTRANGE(""https://docs.google.com/spreadsheets/d/16JDLGguT8s5DsGCND1KcwHP_AWR_zDMTqLHPLJUKhaU/edit?usp=sharing"",""พังงา!I432"")+IMPORTRANGE(""https://docs.google.com/spreadsheets/d/17ht0gPKzzT3PObBL1XJkeR"&amp;"mntBXI7wGjpLV7QorqlTk/edit?usp=sharing"",""พัทลุง!I432"")+IMPORTRANGE(""https://docs.google.com/spreadsheets/d/1rd4qoM1q_hsgaolqNGfrim9gbsoLxQsda4-vOz5x_BM/edit?usp=sharing"",""ภูเก็ต!I432"")+IMPORTRANGE(""https://docs.google.com/spreadsheets/d/1woKwKjgoL"&amp;"ssDvPcPeVyezB5izizAn4X1JDrys69n6xI/edit?usp=sharing"",""ยะลา!I432"")+IMPORTRANGE(""https://docs.google.com/spreadsheets/d/1qfrKjzMhm2HJfxQ-qVlJlJQ25Hne1d0khsySbZyGtPA/edit?usp=sharing"",""ระนอง!I432"")+IMPORTRANGE(""https://docs.google.com/spreadsheets/d/"&amp;"1IbSCnFOKpZsnFogBHJnL_isstZVaOMnFiIN0fGTPZZw/edit?usp=sharing"",""สงขลา!I432"")+IMPORTRANGE(""https://docs.google.com/spreadsheets/d/1q9nWasZJ-K8bFGvbE9n0qSRuKGA4Toe3Y89cKCiVtCU/edit?usp=sharing"",""สตูล!I432"")+IMPORTRANGE(""https://docs.google.com/sprea"&amp;"dsheets/d/18T20gbkS_WBjdscyTOV05cvq_JqvqQ17C81mpxf7Ncs/edit?usp=sharing"",""สุราษฎร์ธานี!I432"")"),216167)</f>
        <v>216167</v>
      </c>
      <c r="J432" s="147">
        <f t="shared" ref="J432:J433" ca="1" si="330">J434+J436+J438</f>
        <v>0</v>
      </c>
      <c r="K432" s="132">
        <f t="shared" ref="K432:K433" ca="1" si="331">IF(I432&gt;0,J432*100/I432,0)</f>
        <v>0</v>
      </c>
      <c r="L432" s="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kKUcYdkIfrgTSj8iHHHB2MD2FAtwyyocFgqGQn6ADyI/edit?usp=sharing"",""กระบี่!I433"")+IMPORTRANGE(""https://docs.google.com/spreadsheets/d/1GwtLaSlNZkLk7iDqcyZz22giiy40b_usZZBXYciEN1U/edit?usp=sharing"",""ชุ"&amp;"มพร!I433"")+IMPORTRANGE(""https://docs.google.com/spreadsheets/d/16pAz3pOhQEZBhvFNMa5KGgZS6iKWpsKX0pg6tQmwFpo/edit?usp=sharing"",""ตรัง!I433"")+IMPORTRANGE(""https://docs.google.com/spreadsheets/d/1Dj4jcHCTV9JXKCaMoheSXS52JE63kDKyG7bPXnFogHk/edit?usp=shar"&amp;"ing"",""นครศรีธรรมราช!I433"")+IMPORTRANGE(""https://docs.google.com/spreadsheets/d/1iodCdmuK2GR3jzUwk8tpccY2JHQQA-87DLOtJP-ooyU/edit?usp=sharing"",""นราธิวาส!I433"")+IMPORTRANGE(""https://docs.google.com/spreadsheets/d/1SDNX3JhDdYRuIOsj0Wh2M-Qa_eaXl0NbWmh"&amp;"AOTbfQAs/edit?usp=sharing"",""ปัตตานี!I433"")+IMPORTRANGE(""https://docs.google.com/spreadsheets/d/16JDLGguT8s5DsGCND1KcwHP_AWR_zDMTqLHPLJUKhaU/edit?usp=sharing"",""พังงา!I433"")+IMPORTRANGE(""https://docs.google.com/spreadsheets/d/17ht0gPKzzT3PObBL1XJkeR"&amp;"mntBXI7wGjpLV7QorqlTk/edit?usp=sharing"",""พัทลุง!I433"")+IMPORTRANGE(""https://docs.google.com/spreadsheets/d/1rd4qoM1q_hsgaolqNGfrim9gbsoLxQsda4-vOz5x_BM/edit?usp=sharing"",""ภูเก็ต!I433"")+IMPORTRANGE(""https://docs.google.com/spreadsheets/d/1woKwKjgoL"&amp;"ssDvPcPeVyezB5izizAn4X1JDrys69n6xI/edit?usp=sharing"",""ยะลา!I433"")+IMPORTRANGE(""https://docs.google.com/spreadsheets/d/1qfrKjzMhm2HJfxQ-qVlJlJQ25Hne1d0khsySbZyGtPA/edit?usp=sharing"",""ระนอง!I433"")+IMPORTRANGE(""https://docs.google.com/spreadsheets/d/"&amp;"1IbSCnFOKpZsnFogBHJnL_isstZVaOMnFiIN0fGTPZZw/edit?usp=sharing"",""สงขลา!I433"")+IMPORTRANGE(""https://docs.google.com/spreadsheets/d/1q9nWasZJ-K8bFGvbE9n0qSRuKGA4Toe3Y89cKCiVtCU/edit?usp=sharing"",""สตูล!I433"")+IMPORTRANGE(""https://docs.google.com/sprea"&amp;"dsheets/d/18T20gbkS_WBjdscyTOV05cvq_JqvqQ17C81mpxf7Ncs/edit?usp=sharing"",""สุราษฎร์ธานี!I433"")"),20200)</f>
        <v>20200</v>
      </c>
      <c r="J433" s="147">
        <f t="shared" ca="1" si="330"/>
        <v>0</v>
      </c>
      <c r="K433" s="132">
        <f t="shared" ca="1" si="331"/>
        <v>0</v>
      </c>
      <c r="L433" s="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152">
        <f ca="1">IFERROR(__xludf.DUMMYFUNCTION("IMPORTRANGE(""https://docs.google.com/spreadsheets/d/1kKUcYdkIfrgTSj8iHHHB2MD2FAtwyyocFgqGQn6ADyI/edit?usp=sharing"",""กระบี่!J434"")+IMPORTRANGE(""https://docs.google.com/spreadsheets/d/1GwtLaSlNZkLk7iDqcyZz22giiy40b_usZZBXYciEN1U/edit?usp=sharing"",""ชุ"&amp;"มพร!J434"")+IMPORTRANGE(""https://docs.google.com/spreadsheets/d/16pAz3pOhQEZBhvFNMa5KGgZS6iKWpsKX0pg6tQmwFpo/edit?usp=sharing"",""ตรัง!J434"")+IMPORTRANGE(""https://docs.google.com/spreadsheets/d/1Dj4jcHCTV9JXKCaMoheSXS52JE63kDKyG7bPXnFogHk/edit?usp=shar"&amp;"ing"",""นครศรีธรรมราช!J434"")+IMPORTRANGE(""https://docs.google.com/spreadsheets/d/1iodCdmuK2GR3jzUwk8tpccY2JHQQA-87DLOtJP-ooyU/edit?usp=sharing"",""นราธิวาส!J434"")+IMPORTRANGE(""https://docs.google.com/spreadsheets/d/1SDNX3JhDdYRuIOsj0Wh2M-Qa_eaXl0NbWmh"&amp;"AOTbfQAs/edit?usp=sharing"",""ปัตตานี!J434"")+IMPORTRANGE(""https://docs.google.com/spreadsheets/d/16JDLGguT8s5DsGCND1KcwHP_AWR_zDMTqLHPLJUKhaU/edit?usp=sharing"",""พังงา!J434"")+IMPORTRANGE(""https://docs.google.com/spreadsheets/d/17ht0gPKzzT3PObBL1XJkeR"&amp;"mntBXI7wGjpLV7QorqlTk/edit?usp=sharing"",""พัทลุง!J434"")+IMPORTRANGE(""https://docs.google.com/spreadsheets/d/1rd4qoM1q_hsgaolqNGfrim9gbsoLxQsda4-vOz5x_BM/edit?usp=sharing"",""ภูเก็ต!J434"")+IMPORTRANGE(""https://docs.google.com/spreadsheets/d/1woKwKjgoL"&amp;"ssDvPcPeVyezB5izizAn4X1JDrys69n6xI/edit?usp=sharing"",""ยะลา!J434"")+IMPORTRANGE(""https://docs.google.com/spreadsheets/d/1qfrKjzMhm2HJfxQ-qVlJlJQ25Hne1d0khsySbZyGtPA/edit?usp=sharing"",""ระนอง!J434"")+IMPORTRANGE(""https://docs.google.com/spreadsheets/d/"&amp;"1IbSCnFOKpZsnFogBHJnL_isstZVaOMnFiIN0fGTPZZw/edit?usp=sharing"",""สงขลา!J434"")+IMPORTRANGE(""https://docs.google.com/spreadsheets/d/1q9nWasZJ-K8bFGvbE9n0qSRuKGA4Toe3Y89cKCiVtCU/edit?usp=sharing"",""สตูล!J434"")+IMPORTRANGE(""https://docs.google.com/sprea"&amp;"dsheets/d/18T20gbkS_WBjdscyTOV05cvq_JqvqQ17C81mpxf7Ncs/edit?usp=sharing"",""สุราษฎร์ธานี!J434"")"),0)</f>
        <v>0</v>
      </c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152">
        <f ca="1">IFERROR(__xludf.DUMMYFUNCTION("IMPORTRANGE(""https://docs.google.com/spreadsheets/d/1kKUcYdkIfrgTSj8iHHHB2MD2FAtwyyocFgqGQn6ADyI/edit?usp=sharing"",""กระบี่!J435"")+IMPORTRANGE(""https://docs.google.com/spreadsheets/d/1GwtLaSlNZkLk7iDqcyZz22giiy40b_usZZBXYciEN1U/edit?usp=sharing"",""ชุ"&amp;"มพร!J435"")+IMPORTRANGE(""https://docs.google.com/spreadsheets/d/16pAz3pOhQEZBhvFNMa5KGgZS6iKWpsKX0pg6tQmwFpo/edit?usp=sharing"",""ตรัง!J435"")+IMPORTRANGE(""https://docs.google.com/spreadsheets/d/1Dj4jcHCTV9JXKCaMoheSXS52JE63kDKyG7bPXnFogHk/edit?usp=shar"&amp;"ing"",""นครศรีธรรมราช!J435"")+IMPORTRANGE(""https://docs.google.com/spreadsheets/d/1iodCdmuK2GR3jzUwk8tpccY2JHQQA-87DLOtJP-ooyU/edit?usp=sharing"",""นราธิวาส!J435"")+IMPORTRANGE(""https://docs.google.com/spreadsheets/d/1SDNX3JhDdYRuIOsj0Wh2M-Qa_eaXl0NbWmh"&amp;"AOTbfQAs/edit?usp=sharing"",""ปัตตานี!J435"")+IMPORTRANGE(""https://docs.google.com/spreadsheets/d/16JDLGguT8s5DsGCND1KcwHP_AWR_zDMTqLHPLJUKhaU/edit?usp=sharing"",""พังงา!J435"")+IMPORTRANGE(""https://docs.google.com/spreadsheets/d/17ht0gPKzzT3PObBL1XJkeR"&amp;"mntBXI7wGjpLV7QorqlTk/edit?usp=sharing"",""พัทลุง!J435"")+IMPORTRANGE(""https://docs.google.com/spreadsheets/d/1rd4qoM1q_hsgaolqNGfrim9gbsoLxQsda4-vOz5x_BM/edit?usp=sharing"",""ภูเก็ต!J435"")+IMPORTRANGE(""https://docs.google.com/spreadsheets/d/1woKwKjgoL"&amp;"ssDvPcPeVyezB5izizAn4X1JDrys69n6xI/edit?usp=sharing"",""ยะลา!J435"")+IMPORTRANGE(""https://docs.google.com/spreadsheets/d/1qfrKjzMhm2HJfxQ-qVlJlJQ25Hne1d0khsySbZyGtPA/edit?usp=sharing"",""ระนอง!J435"")+IMPORTRANGE(""https://docs.google.com/spreadsheets/d/"&amp;"1IbSCnFOKpZsnFogBHJnL_isstZVaOMnFiIN0fGTPZZw/edit?usp=sharing"",""สงขลา!J435"")+IMPORTRANGE(""https://docs.google.com/spreadsheets/d/1q9nWasZJ-K8bFGvbE9n0qSRuKGA4Toe3Y89cKCiVtCU/edit?usp=sharing"",""สตูล!J435"")+IMPORTRANGE(""https://docs.google.com/sprea"&amp;"dsheets/d/18T20gbkS_WBjdscyTOV05cvq_JqvqQ17C81mpxf7Ncs/edit?usp=sharing"",""สุราษฎร์ธานี!J435"")"),0)</f>
        <v>0</v>
      </c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152">
        <f ca="1">IFERROR(__xludf.DUMMYFUNCTION("IMPORTRANGE(""https://docs.google.com/spreadsheets/d/1kKUcYdkIfrgTSj8iHHHB2MD2FAtwyyocFgqGQn6ADyI/edit?usp=sharing"",""กระบี่!J436"")+IMPORTRANGE(""https://docs.google.com/spreadsheets/d/1GwtLaSlNZkLk7iDqcyZz22giiy40b_usZZBXYciEN1U/edit?usp=sharing"",""ชุ"&amp;"มพร!J436"")+IMPORTRANGE(""https://docs.google.com/spreadsheets/d/16pAz3pOhQEZBhvFNMa5KGgZS6iKWpsKX0pg6tQmwFpo/edit?usp=sharing"",""ตรัง!J436"")+IMPORTRANGE(""https://docs.google.com/spreadsheets/d/1Dj4jcHCTV9JXKCaMoheSXS52JE63kDKyG7bPXnFogHk/edit?usp=shar"&amp;"ing"",""นครศรีธรรมราช!J436"")+IMPORTRANGE(""https://docs.google.com/spreadsheets/d/1iodCdmuK2GR3jzUwk8tpccY2JHQQA-87DLOtJP-ooyU/edit?usp=sharing"",""นราธิวาส!J436"")+IMPORTRANGE(""https://docs.google.com/spreadsheets/d/1SDNX3JhDdYRuIOsj0Wh2M-Qa_eaXl0NbWmh"&amp;"AOTbfQAs/edit?usp=sharing"",""ปัตตานี!J436"")+IMPORTRANGE(""https://docs.google.com/spreadsheets/d/16JDLGguT8s5DsGCND1KcwHP_AWR_zDMTqLHPLJUKhaU/edit?usp=sharing"",""พังงา!J436"")+IMPORTRANGE(""https://docs.google.com/spreadsheets/d/17ht0gPKzzT3PObBL1XJkeR"&amp;"mntBXI7wGjpLV7QorqlTk/edit?usp=sharing"",""พัทลุง!J436"")+IMPORTRANGE(""https://docs.google.com/spreadsheets/d/1rd4qoM1q_hsgaolqNGfrim9gbsoLxQsda4-vOz5x_BM/edit?usp=sharing"",""ภูเก็ต!J436"")+IMPORTRANGE(""https://docs.google.com/spreadsheets/d/1woKwKjgoL"&amp;"ssDvPcPeVyezB5izizAn4X1JDrys69n6xI/edit?usp=sharing"",""ยะลา!J436"")+IMPORTRANGE(""https://docs.google.com/spreadsheets/d/1qfrKjzMhm2HJfxQ-qVlJlJQ25Hne1d0khsySbZyGtPA/edit?usp=sharing"",""ระนอง!J436"")+IMPORTRANGE(""https://docs.google.com/spreadsheets/d/"&amp;"1IbSCnFOKpZsnFogBHJnL_isstZVaOMnFiIN0fGTPZZw/edit?usp=sharing"",""สงขลา!J436"")+IMPORTRANGE(""https://docs.google.com/spreadsheets/d/1q9nWasZJ-K8bFGvbE9n0qSRuKGA4Toe3Y89cKCiVtCU/edit?usp=sharing"",""สตูล!J436"")+IMPORTRANGE(""https://docs.google.com/sprea"&amp;"dsheets/d/18T20gbkS_WBjdscyTOV05cvq_JqvqQ17C81mpxf7Ncs/edit?usp=sharing"",""สุราษฎร์ธานี!J436"")"),0)</f>
        <v>0</v>
      </c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152">
        <f ca="1">IFERROR(__xludf.DUMMYFUNCTION("IMPORTRANGE(""https://docs.google.com/spreadsheets/d/1kKUcYdkIfrgTSj8iHHHB2MD2FAtwyyocFgqGQn6ADyI/edit?usp=sharing"",""กระบี่!J437"")+IMPORTRANGE(""https://docs.google.com/spreadsheets/d/1GwtLaSlNZkLk7iDqcyZz22giiy40b_usZZBXYciEN1U/edit?usp=sharing"",""ชุ"&amp;"มพร!J437"")+IMPORTRANGE(""https://docs.google.com/spreadsheets/d/16pAz3pOhQEZBhvFNMa5KGgZS6iKWpsKX0pg6tQmwFpo/edit?usp=sharing"",""ตรัง!J437"")+IMPORTRANGE(""https://docs.google.com/spreadsheets/d/1Dj4jcHCTV9JXKCaMoheSXS52JE63kDKyG7bPXnFogHk/edit?usp=shar"&amp;"ing"",""นครศรีธรรมราช!J437"")+IMPORTRANGE(""https://docs.google.com/spreadsheets/d/1iodCdmuK2GR3jzUwk8tpccY2JHQQA-87DLOtJP-ooyU/edit?usp=sharing"",""นราธิวาส!J437"")+IMPORTRANGE(""https://docs.google.com/spreadsheets/d/1SDNX3JhDdYRuIOsj0Wh2M-Qa_eaXl0NbWmh"&amp;"AOTbfQAs/edit?usp=sharing"",""ปัตตานี!J437"")+IMPORTRANGE(""https://docs.google.com/spreadsheets/d/16JDLGguT8s5DsGCND1KcwHP_AWR_zDMTqLHPLJUKhaU/edit?usp=sharing"",""พังงา!J437"")+IMPORTRANGE(""https://docs.google.com/spreadsheets/d/17ht0gPKzzT3PObBL1XJkeR"&amp;"mntBXI7wGjpLV7QorqlTk/edit?usp=sharing"",""พัทลุง!J437"")+IMPORTRANGE(""https://docs.google.com/spreadsheets/d/1rd4qoM1q_hsgaolqNGfrim9gbsoLxQsda4-vOz5x_BM/edit?usp=sharing"",""ภูเก็ต!J437"")+IMPORTRANGE(""https://docs.google.com/spreadsheets/d/1woKwKjgoL"&amp;"ssDvPcPeVyezB5izizAn4X1JDrys69n6xI/edit?usp=sharing"",""ยะลา!J437"")+IMPORTRANGE(""https://docs.google.com/spreadsheets/d/1qfrKjzMhm2HJfxQ-qVlJlJQ25Hne1d0khsySbZyGtPA/edit?usp=sharing"",""ระนอง!J437"")+IMPORTRANGE(""https://docs.google.com/spreadsheets/d/"&amp;"1IbSCnFOKpZsnFogBHJnL_isstZVaOMnFiIN0fGTPZZw/edit?usp=sharing"",""สงขลา!J437"")+IMPORTRANGE(""https://docs.google.com/spreadsheets/d/1q9nWasZJ-K8bFGvbE9n0qSRuKGA4Toe3Y89cKCiVtCU/edit?usp=sharing"",""สตูล!J437"")+IMPORTRANGE(""https://docs.google.com/sprea"&amp;"dsheets/d/18T20gbkS_WBjdscyTOV05cvq_JqvqQ17C81mpxf7Ncs/edit?usp=sharing"",""สุราษฎร์ธานี!J437"")"),0)</f>
        <v>0</v>
      </c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152">
        <f ca="1">IFERROR(__xludf.DUMMYFUNCTION("IMPORTRANGE(""https://docs.google.com/spreadsheets/d/1kKUcYdkIfrgTSj8iHHHB2MD2FAtwyyocFgqGQn6ADyI/edit?usp=sharing"",""กระบี่!J438"")+IMPORTRANGE(""https://docs.google.com/spreadsheets/d/1GwtLaSlNZkLk7iDqcyZz22giiy40b_usZZBXYciEN1U/edit?usp=sharing"",""ชุ"&amp;"มพร!J438"")+IMPORTRANGE(""https://docs.google.com/spreadsheets/d/16pAz3pOhQEZBhvFNMa5KGgZS6iKWpsKX0pg6tQmwFpo/edit?usp=sharing"",""ตรัง!J438"")+IMPORTRANGE(""https://docs.google.com/spreadsheets/d/1Dj4jcHCTV9JXKCaMoheSXS52JE63kDKyG7bPXnFogHk/edit?usp=shar"&amp;"ing"",""นครศรีธรรมราช!J438"")+IMPORTRANGE(""https://docs.google.com/spreadsheets/d/1iodCdmuK2GR3jzUwk8tpccY2JHQQA-87DLOtJP-ooyU/edit?usp=sharing"",""นราธิวาส!J438"")+IMPORTRANGE(""https://docs.google.com/spreadsheets/d/1SDNX3JhDdYRuIOsj0Wh2M-Qa_eaXl0NbWmh"&amp;"AOTbfQAs/edit?usp=sharing"",""ปัตตานี!J438"")+IMPORTRANGE(""https://docs.google.com/spreadsheets/d/16JDLGguT8s5DsGCND1KcwHP_AWR_zDMTqLHPLJUKhaU/edit?usp=sharing"",""พังงา!J438"")+IMPORTRANGE(""https://docs.google.com/spreadsheets/d/17ht0gPKzzT3PObBL1XJkeR"&amp;"mntBXI7wGjpLV7QorqlTk/edit?usp=sharing"",""พัทลุง!J438"")+IMPORTRANGE(""https://docs.google.com/spreadsheets/d/1rd4qoM1q_hsgaolqNGfrim9gbsoLxQsda4-vOz5x_BM/edit?usp=sharing"",""ภูเก็ต!J438"")+IMPORTRANGE(""https://docs.google.com/spreadsheets/d/1woKwKjgoL"&amp;"ssDvPcPeVyezB5izizAn4X1JDrys69n6xI/edit?usp=sharing"",""ยะลา!J438"")+IMPORTRANGE(""https://docs.google.com/spreadsheets/d/1qfrKjzMhm2HJfxQ-qVlJlJQ25Hne1d0khsySbZyGtPA/edit?usp=sharing"",""ระนอง!J438"")+IMPORTRANGE(""https://docs.google.com/spreadsheets/d/"&amp;"1IbSCnFOKpZsnFogBHJnL_isstZVaOMnFiIN0fGTPZZw/edit?usp=sharing"",""สงขลา!J438"")+IMPORTRANGE(""https://docs.google.com/spreadsheets/d/1q9nWasZJ-K8bFGvbE9n0qSRuKGA4Toe3Y89cKCiVtCU/edit?usp=sharing"",""สตูล!J438"")+IMPORTRANGE(""https://docs.google.com/sprea"&amp;"dsheets/d/18T20gbkS_WBjdscyTOV05cvq_JqvqQ17C81mpxf7Ncs/edit?usp=sharing"",""สุราษฎร์ธานี!J438"")"),0)</f>
        <v>0</v>
      </c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152">
        <f ca="1">IFERROR(__xludf.DUMMYFUNCTION("IMPORTRANGE(""https://docs.google.com/spreadsheets/d/1kKUcYdkIfrgTSj8iHHHB2MD2FAtwyyocFgqGQn6ADyI/edit?usp=sharing"",""กระบี่!J439"")+IMPORTRANGE(""https://docs.google.com/spreadsheets/d/1GwtLaSlNZkLk7iDqcyZz22giiy40b_usZZBXYciEN1U/edit?usp=sharing"",""ชุ"&amp;"มพร!J439"")+IMPORTRANGE(""https://docs.google.com/spreadsheets/d/16pAz3pOhQEZBhvFNMa5KGgZS6iKWpsKX0pg6tQmwFpo/edit?usp=sharing"",""ตรัง!J439"")+IMPORTRANGE(""https://docs.google.com/spreadsheets/d/1Dj4jcHCTV9JXKCaMoheSXS52JE63kDKyG7bPXnFogHk/edit?usp=shar"&amp;"ing"",""นครศรีธรรมราช!J439"")+IMPORTRANGE(""https://docs.google.com/spreadsheets/d/1iodCdmuK2GR3jzUwk8tpccY2JHQQA-87DLOtJP-ooyU/edit?usp=sharing"",""นราธิวาส!J439"")+IMPORTRANGE(""https://docs.google.com/spreadsheets/d/1SDNX3JhDdYRuIOsj0Wh2M-Qa_eaXl0NbWmh"&amp;"AOTbfQAs/edit?usp=sharing"",""ปัตตานี!J439"")+IMPORTRANGE(""https://docs.google.com/spreadsheets/d/16JDLGguT8s5DsGCND1KcwHP_AWR_zDMTqLHPLJUKhaU/edit?usp=sharing"",""พังงา!J439"")+IMPORTRANGE(""https://docs.google.com/spreadsheets/d/17ht0gPKzzT3PObBL1XJkeR"&amp;"mntBXI7wGjpLV7QorqlTk/edit?usp=sharing"",""พัทลุง!J439"")+IMPORTRANGE(""https://docs.google.com/spreadsheets/d/1rd4qoM1q_hsgaolqNGfrim9gbsoLxQsda4-vOz5x_BM/edit?usp=sharing"",""ภูเก็ต!J439"")+IMPORTRANGE(""https://docs.google.com/spreadsheets/d/1woKwKjgoL"&amp;"ssDvPcPeVyezB5izizAn4X1JDrys69n6xI/edit?usp=sharing"",""ยะลา!J439"")+IMPORTRANGE(""https://docs.google.com/spreadsheets/d/1qfrKjzMhm2HJfxQ-qVlJlJQ25Hne1d0khsySbZyGtPA/edit?usp=sharing"",""ระนอง!J439"")+IMPORTRANGE(""https://docs.google.com/spreadsheets/d/"&amp;"1IbSCnFOKpZsnFogBHJnL_isstZVaOMnFiIN0fGTPZZw/edit?usp=sharing"",""สงขลา!J439"")+IMPORTRANGE(""https://docs.google.com/spreadsheets/d/1q9nWasZJ-K8bFGvbE9n0qSRuKGA4Toe3Y89cKCiVtCU/edit?usp=sharing"",""สตูล!J439"")+IMPORTRANGE(""https://docs.google.com/sprea"&amp;"dsheets/d/18T20gbkS_WBjdscyTOV05cvq_JqvqQ17C81mpxf7Ncs/edit?usp=sharing"",""สุราษฎร์ธานี!J439"")"),0)</f>
        <v>0</v>
      </c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kKUcYdkIfrgTSj8iHHHB2MD2FAtwyyocFgqGQn6ADyI/edit?usp=sharing"",""กระบี่!I440"")+IMPORTRANGE(""https://docs.google.com/spreadsheets/d/1GwtLaSlNZkLk7iDqcyZz22giiy40b_usZZBXYciEN1U/edit?usp=sharing"",""ชุ"&amp;"มพร!I440"")+IMPORTRANGE(""https://docs.google.com/spreadsheets/d/16pAz3pOhQEZBhvFNMa5KGgZS6iKWpsKX0pg6tQmwFpo/edit?usp=sharing"",""ตรัง!I440"")+IMPORTRANGE(""https://docs.google.com/spreadsheets/d/1Dj4jcHCTV9JXKCaMoheSXS52JE63kDKyG7bPXnFogHk/edit?usp=shar"&amp;"ing"",""นครศรีธรรมราช!I440"")+IMPORTRANGE(""https://docs.google.com/spreadsheets/d/1iodCdmuK2GR3jzUwk8tpccY2JHQQA-87DLOtJP-ooyU/edit?usp=sharing"",""นราธิวาส!I440"")+IMPORTRANGE(""https://docs.google.com/spreadsheets/d/1SDNX3JhDdYRuIOsj0Wh2M-Qa_eaXl0NbWmh"&amp;"AOTbfQAs/edit?usp=sharing"",""ปัตตานี!I440"")+IMPORTRANGE(""https://docs.google.com/spreadsheets/d/16JDLGguT8s5DsGCND1KcwHP_AWR_zDMTqLHPLJUKhaU/edit?usp=sharing"",""พังงา!I440"")+IMPORTRANGE(""https://docs.google.com/spreadsheets/d/17ht0gPKzzT3PObBL1XJkeR"&amp;"mntBXI7wGjpLV7QorqlTk/edit?usp=sharing"",""พัทลุง!I440"")+IMPORTRANGE(""https://docs.google.com/spreadsheets/d/1rd4qoM1q_hsgaolqNGfrim9gbsoLxQsda4-vOz5x_BM/edit?usp=sharing"",""ภูเก็ต!I440"")+IMPORTRANGE(""https://docs.google.com/spreadsheets/d/1woKwKjgoL"&amp;"ssDvPcPeVyezB5izizAn4X1JDrys69n6xI/edit?usp=sharing"",""ยะลา!I440"")+IMPORTRANGE(""https://docs.google.com/spreadsheets/d/1qfrKjzMhm2HJfxQ-qVlJlJQ25Hne1d0khsySbZyGtPA/edit?usp=sharing"",""ระนอง!I440"")+IMPORTRANGE(""https://docs.google.com/spreadsheets/d/"&amp;"1IbSCnFOKpZsnFogBHJnL_isstZVaOMnFiIN0fGTPZZw/edit?usp=sharing"",""สงขลา!I440"")+IMPORTRANGE(""https://docs.google.com/spreadsheets/d/1q9nWasZJ-K8bFGvbE9n0qSRuKGA4Toe3Y89cKCiVtCU/edit?usp=sharing"",""สตูล!I440"")+IMPORTRANGE(""https://docs.google.com/sprea"&amp;"dsheets/d/18T20gbkS_WBjdscyTOV05cvq_JqvqQ17C81mpxf7Ncs/edit?usp=sharing"",""สุราษฎร์ธานี!I440"")"),216167)</f>
        <v>216167</v>
      </c>
      <c r="J440" s="147">
        <f t="shared" ref="J440:J441" ca="1" si="332">J442+J444+J446+J452+J454</f>
        <v>0</v>
      </c>
      <c r="K440" s="132">
        <f t="shared" ref="K440:K441" ca="1" si="333">IF(I440&gt;0,J440*100/I440,0)</f>
        <v>0</v>
      </c>
      <c r="L440" s="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kKUcYdkIfrgTSj8iHHHB2MD2FAtwyyocFgqGQn6ADyI/edit?usp=sharing"",""กระบี่!I441"")+IMPORTRANGE(""https://docs.google.com/spreadsheets/d/1GwtLaSlNZkLk7iDqcyZz22giiy40b_usZZBXYciEN1U/edit?usp=sharing"",""ชุ"&amp;"มพร!I441"")+IMPORTRANGE(""https://docs.google.com/spreadsheets/d/16pAz3pOhQEZBhvFNMa5KGgZS6iKWpsKX0pg6tQmwFpo/edit?usp=sharing"",""ตรัง!I441"")+IMPORTRANGE(""https://docs.google.com/spreadsheets/d/1Dj4jcHCTV9JXKCaMoheSXS52JE63kDKyG7bPXnFogHk/edit?usp=shar"&amp;"ing"",""นครศรีธรรมราช!I441"")+IMPORTRANGE(""https://docs.google.com/spreadsheets/d/1iodCdmuK2GR3jzUwk8tpccY2JHQQA-87DLOtJP-ooyU/edit?usp=sharing"",""นราธิวาส!I441"")+IMPORTRANGE(""https://docs.google.com/spreadsheets/d/1SDNX3JhDdYRuIOsj0Wh2M-Qa_eaXl0NbWmh"&amp;"AOTbfQAs/edit?usp=sharing"",""ปัตตานี!I441"")+IMPORTRANGE(""https://docs.google.com/spreadsheets/d/16JDLGguT8s5DsGCND1KcwHP_AWR_zDMTqLHPLJUKhaU/edit?usp=sharing"",""พังงา!I441"")+IMPORTRANGE(""https://docs.google.com/spreadsheets/d/17ht0gPKzzT3PObBL1XJkeR"&amp;"mntBXI7wGjpLV7QorqlTk/edit?usp=sharing"",""พัทลุง!I441"")+IMPORTRANGE(""https://docs.google.com/spreadsheets/d/1rd4qoM1q_hsgaolqNGfrim9gbsoLxQsda4-vOz5x_BM/edit?usp=sharing"",""ภูเก็ต!I441"")+IMPORTRANGE(""https://docs.google.com/spreadsheets/d/1woKwKjgoL"&amp;"ssDvPcPeVyezB5izizAn4X1JDrys69n6xI/edit?usp=sharing"",""ยะลา!I441"")+IMPORTRANGE(""https://docs.google.com/spreadsheets/d/1qfrKjzMhm2HJfxQ-qVlJlJQ25Hne1d0khsySbZyGtPA/edit?usp=sharing"",""ระนอง!I441"")+IMPORTRANGE(""https://docs.google.com/spreadsheets/d/"&amp;"1IbSCnFOKpZsnFogBHJnL_isstZVaOMnFiIN0fGTPZZw/edit?usp=sharing"",""สงขลา!I441"")+IMPORTRANGE(""https://docs.google.com/spreadsheets/d/1q9nWasZJ-K8bFGvbE9n0qSRuKGA4Toe3Y89cKCiVtCU/edit?usp=sharing"",""สตูล!I441"")+IMPORTRANGE(""https://docs.google.com/sprea"&amp;"dsheets/d/18T20gbkS_WBjdscyTOV05cvq_JqvqQ17C81mpxf7Ncs/edit?usp=sharing"",""สุราษฎร์ธานี!I441"")"),20200)</f>
        <v>20200</v>
      </c>
      <c r="J441" s="147">
        <f t="shared" ca="1" si="332"/>
        <v>0</v>
      </c>
      <c r="K441" s="132">
        <f t="shared" ca="1" si="333"/>
        <v>0</v>
      </c>
      <c r="L441" s="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152">
        <f ca="1">IFERROR(__xludf.DUMMYFUNCTION("IMPORTRANGE(""https://docs.google.com/spreadsheets/d/1kKUcYdkIfrgTSj8iHHHB2MD2FAtwyyocFgqGQn6ADyI/edit?usp=sharing"",""กระบี่!J442"")+IMPORTRANGE(""https://docs.google.com/spreadsheets/d/1GwtLaSlNZkLk7iDqcyZz22giiy40b_usZZBXYciEN1U/edit?usp=sharing"",""ชุ"&amp;"มพร!J442"")+IMPORTRANGE(""https://docs.google.com/spreadsheets/d/16pAz3pOhQEZBhvFNMa5KGgZS6iKWpsKX0pg6tQmwFpo/edit?usp=sharing"",""ตรัง!J442"")+IMPORTRANGE(""https://docs.google.com/spreadsheets/d/1Dj4jcHCTV9JXKCaMoheSXS52JE63kDKyG7bPXnFogHk/edit?usp=shar"&amp;"ing"",""นครศรีธรรมราช!J442"")+IMPORTRANGE(""https://docs.google.com/spreadsheets/d/1iodCdmuK2GR3jzUwk8tpccY2JHQQA-87DLOtJP-ooyU/edit?usp=sharing"",""นราธิวาส!J442"")+IMPORTRANGE(""https://docs.google.com/spreadsheets/d/1SDNX3JhDdYRuIOsj0Wh2M-Qa_eaXl0NbWmh"&amp;"AOTbfQAs/edit?usp=sharing"",""ปัตตานี!J442"")+IMPORTRANGE(""https://docs.google.com/spreadsheets/d/16JDLGguT8s5DsGCND1KcwHP_AWR_zDMTqLHPLJUKhaU/edit?usp=sharing"",""พังงา!J442"")+IMPORTRANGE(""https://docs.google.com/spreadsheets/d/17ht0gPKzzT3PObBL1XJkeR"&amp;"mntBXI7wGjpLV7QorqlTk/edit?usp=sharing"",""พัทลุง!J442"")+IMPORTRANGE(""https://docs.google.com/spreadsheets/d/1rd4qoM1q_hsgaolqNGfrim9gbsoLxQsda4-vOz5x_BM/edit?usp=sharing"",""ภูเก็ต!J442"")+IMPORTRANGE(""https://docs.google.com/spreadsheets/d/1woKwKjgoL"&amp;"ssDvPcPeVyezB5izizAn4X1JDrys69n6xI/edit?usp=sharing"",""ยะลา!J442"")+IMPORTRANGE(""https://docs.google.com/spreadsheets/d/1qfrKjzMhm2HJfxQ-qVlJlJQ25Hne1d0khsySbZyGtPA/edit?usp=sharing"",""ระนอง!J442"")+IMPORTRANGE(""https://docs.google.com/spreadsheets/d/"&amp;"1IbSCnFOKpZsnFogBHJnL_isstZVaOMnFiIN0fGTPZZw/edit?usp=sharing"",""สงขลา!J442"")+IMPORTRANGE(""https://docs.google.com/spreadsheets/d/1q9nWasZJ-K8bFGvbE9n0qSRuKGA4Toe3Y89cKCiVtCU/edit?usp=sharing"",""สตูล!J442"")+IMPORTRANGE(""https://docs.google.com/sprea"&amp;"dsheets/d/18T20gbkS_WBjdscyTOV05cvq_JqvqQ17C81mpxf7Ncs/edit?usp=sharing"",""สุราษฎร์ธานี!J442"")"),0)</f>
        <v>0</v>
      </c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152">
        <f ca="1">IFERROR(__xludf.DUMMYFUNCTION("IMPORTRANGE(""https://docs.google.com/spreadsheets/d/1kKUcYdkIfrgTSj8iHHHB2MD2FAtwyyocFgqGQn6ADyI/edit?usp=sharing"",""กระบี่!J443"")+IMPORTRANGE(""https://docs.google.com/spreadsheets/d/1GwtLaSlNZkLk7iDqcyZz22giiy40b_usZZBXYciEN1U/edit?usp=sharing"",""ชุ"&amp;"มพร!J443"")+IMPORTRANGE(""https://docs.google.com/spreadsheets/d/16pAz3pOhQEZBhvFNMa5KGgZS6iKWpsKX0pg6tQmwFpo/edit?usp=sharing"",""ตรัง!J443"")+IMPORTRANGE(""https://docs.google.com/spreadsheets/d/1Dj4jcHCTV9JXKCaMoheSXS52JE63kDKyG7bPXnFogHk/edit?usp=shar"&amp;"ing"",""นครศรีธรรมราช!J443"")+IMPORTRANGE(""https://docs.google.com/spreadsheets/d/1iodCdmuK2GR3jzUwk8tpccY2JHQQA-87DLOtJP-ooyU/edit?usp=sharing"",""นราธิวาส!J443"")+IMPORTRANGE(""https://docs.google.com/spreadsheets/d/1SDNX3JhDdYRuIOsj0Wh2M-Qa_eaXl0NbWmh"&amp;"AOTbfQAs/edit?usp=sharing"",""ปัตตานี!J443"")+IMPORTRANGE(""https://docs.google.com/spreadsheets/d/16JDLGguT8s5DsGCND1KcwHP_AWR_zDMTqLHPLJUKhaU/edit?usp=sharing"",""พังงา!J443"")+IMPORTRANGE(""https://docs.google.com/spreadsheets/d/17ht0gPKzzT3PObBL1XJkeR"&amp;"mntBXI7wGjpLV7QorqlTk/edit?usp=sharing"",""พัทลุง!J443"")+IMPORTRANGE(""https://docs.google.com/spreadsheets/d/1rd4qoM1q_hsgaolqNGfrim9gbsoLxQsda4-vOz5x_BM/edit?usp=sharing"",""ภูเก็ต!J443"")+IMPORTRANGE(""https://docs.google.com/spreadsheets/d/1woKwKjgoL"&amp;"ssDvPcPeVyezB5izizAn4X1JDrys69n6xI/edit?usp=sharing"",""ยะลา!J443"")+IMPORTRANGE(""https://docs.google.com/spreadsheets/d/1qfrKjzMhm2HJfxQ-qVlJlJQ25Hne1d0khsySbZyGtPA/edit?usp=sharing"",""ระนอง!J443"")+IMPORTRANGE(""https://docs.google.com/spreadsheets/d/"&amp;"1IbSCnFOKpZsnFogBHJnL_isstZVaOMnFiIN0fGTPZZw/edit?usp=sharing"",""สงขลา!J443"")+IMPORTRANGE(""https://docs.google.com/spreadsheets/d/1q9nWasZJ-K8bFGvbE9n0qSRuKGA4Toe3Y89cKCiVtCU/edit?usp=sharing"",""สตูล!J443"")+IMPORTRANGE(""https://docs.google.com/sprea"&amp;"dsheets/d/18T20gbkS_WBjdscyTOV05cvq_JqvqQ17C81mpxf7Ncs/edit?usp=sharing"",""สุราษฎร์ธานี!J443"")"),0)</f>
        <v>0</v>
      </c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152">
        <f ca="1">IFERROR(__xludf.DUMMYFUNCTION("IMPORTRANGE(""https://docs.google.com/spreadsheets/d/1kKUcYdkIfrgTSj8iHHHB2MD2FAtwyyocFgqGQn6ADyI/edit?usp=sharing"",""กระบี่!J444"")+IMPORTRANGE(""https://docs.google.com/spreadsheets/d/1GwtLaSlNZkLk7iDqcyZz22giiy40b_usZZBXYciEN1U/edit?usp=sharing"",""ชุ"&amp;"มพร!J444"")+IMPORTRANGE(""https://docs.google.com/spreadsheets/d/16pAz3pOhQEZBhvFNMa5KGgZS6iKWpsKX0pg6tQmwFpo/edit?usp=sharing"",""ตรัง!J444"")+IMPORTRANGE(""https://docs.google.com/spreadsheets/d/1Dj4jcHCTV9JXKCaMoheSXS52JE63kDKyG7bPXnFogHk/edit?usp=shar"&amp;"ing"",""นครศรีธรรมราช!J444"")+IMPORTRANGE(""https://docs.google.com/spreadsheets/d/1iodCdmuK2GR3jzUwk8tpccY2JHQQA-87DLOtJP-ooyU/edit?usp=sharing"",""นราธิวาส!J444"")+IMPORTRANGE(""https://docs.google.com/spreadsheets/d/1SDNX3JhDdYRuIOsj0Wh2M-Qa_eaXl0NbWmh"&amp;"AOTbfQAs/edit?usp=sharing"",""ปัตตานี!J444"")+IMPORTRANGE(""https://docs.google.com/spreadsheets/d/16JDLGguT8s5DsGCND1KcwHP_AWR_zDMTqLHPLJUKhaU/edit?usp=sharing"",""พังงา!J444"")+IMPORTRANGE(""https://docs.google.com/spreadsheets/d/17ht0gPKzzT3PObBL1XJkeR"&amp;"mntBXI7wGjpLV7QorqlTk/edit?usp=sharing"",""พัทลุง!J444"")+IMPORTRANGE(""https://docs.google.com/spreadsheets/d/1rd4qoM1q_hsgaolqNGfrim9gbsoLxQsda4-vOz5x_BM/edit?usp=sharing"",""ภูเก็ต!J444"")+IMPORTRANGE(""https://docs.google.com/spreadsheets/d/1woKwKjgoL"&amp;"ssDvPcPeVyezB5izizAn4X1JDrys69n6xI/edit?usp=sharing"",""ยะลา!J444"")+IMPORTRANGE(""https://docs.google.com/spreadsheets/d/1qfrKjzMhm2HJfxQ-qVlJlJQ25Hne1d0khsySbZyGtPA/edit?usp=sharing"",""ระนอง!J444"")+IMPORTRANGE(""https://docs.google.com/spreadsheets/d/"&amp;"1IbSCnFOKpZsnFogBHJnL_isstZVaOMnFiIN0fGTPZZw/edit?usp=sharing"",""สงขลา!J444"")+IMPORTRANGE(""https://docs.google.com/spreadsheets/d/1q9nWasZJ-K8bFGvbE9n0qSRuKGA4Toe3Y89cKCiVtCU/edit?usp=sharing"",""สตูล!J444"")+IMPORTRANGE(""https://docs.google.com/sprea"&amp;"dsheets/d/18T20gbkS_WBjdscyTOV05cvq_JqvqQ17C81mpxf7Ncs/edit?usp=sharing"",""สุราษฎร์ธานี!J444"")"),0)</f>
        <v>0</v>
      </c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152">
        <f ca="1">IFERROR(__xludf.DUMMYFUNCTION("IMPORTRANGE(""https://docs.google.com/spreadsheets/d/1kKUcYdkIfrgTSj8iHHHB2MD2FAtwyyocFgqGQn6ADyI/edit?usp=sharing"",""กระบี่!J445"")+IMPORTRANGE(""https://docs.google.com/spreadsheets/d/1GwtLaSlNZkLk7iDqcyZz22giiy40b_usZZBXYciEN1U/edit?usp=sharing"",""ชุ"&amp;"มพร!J445"")+IMPORTRANGE(""https://docs.google.com/spreadsheets/d/16pAz3pOhQEZBhvFNMa5KGgZS6iKWpsKX0pg6tQmwFpo/edit?usp=sharing"",""ตรัง!J445"")+IMPORTRANGE(""https://docs.google.com/spreadsheets/d/1Dj4jcHCTV9JXKCaMoheSXS52JE63kDKyG7bPXnFogHk/edit?usp=shar"&amp;"ing"",""นครศรีธรรมราช!J445"")+IMPORTRANGE(""https://docs.google.com/spreadsheets/d/1iodCdmuK2GR3jzUwk8tpccY2JHQQA-87DLOtJP-ooyU/edit?usp=sharing"",""นราธิวาส!J445"")+IMPORTRANGE(""https://docs.google.com/spreadsheets/d/1SDNX3JhDdYRuIOsj0Wh2M-Qa_eaXl0NbWmh"&amp;"AOTbfQAs/edit?usp=sharing"",""ปัตตานี!J445"")+IMPORTRANGE(""https://docs.google.com/spreadsheets/d/16JDLGguT8s5DsGCND1KcwHP_AWR_zDMTqLHPLJUKhaU/edit?usp=sharing"",""พังงา!J445"")+IMPORTRANGE(""https://docs.google.com/spreadsheets/d/17ht0gPKzzT3PObBL1XJkeR"&amp;"mntBXI7wGjpLV7QorqlTk/edit?usp=sharing"",""พัทลุง!J445"")+IMPORTRANGE(""https://docs.google.com/spreadsheets/d/1rd4qoM1q_hsgaolqNGfrim9gbsoLxQsda4-vOz5x_BM/edit?usp=sharing"",""ภูเก็ต!J445"")+IMPORTRANGE(""https://docs.google.com/spreadsheets/d/1woKwKjgoL"&amp;"ssDvPcPeVyezB5izizAn4X1JDrys69n6xI/edit?usp=sharing"",""ยะลา!J445"")+IMPORTRANGE(""https://docs.google.com/spreadsheets/d/1qfrKjzMhm2HJfxQ-qVlJlJQ25Hne1d0khsySbZyGtPA/edit?usp=sharing"",""ระนอง!J445"")+IMPORTRANGE(""https://docs.google.com/spreadsheets/d/"&amp;"1IbSCnFOKpZsnFogBHJnL_isstZVaOMnFiIN0fGTPZZw/edit?usp=sharing"",""สงขลา!J445"")+IMPORTRANGE(""https://docs.google.com/spreadsheets/d/1q9nWasZJ-K8bFGvbE9n0qSRuKGA4Toe3Y89cKCiVtCU/edit?usp=sharing"",""สตูล!J445"")+IMPORTRANGE(""https://docs.google.com/sprea"&amp;"dsheets/d/18T20gbkS_WBjdscyTOV05cvq_JqvqQ17C81mpxf7Ncs/edit?usp=sharing"",""สุราษฎร์ธานี!J445"")"),0)</f>
        <v>0</v>
      </c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147">
        <f t="shared" ref="J446:J447" ca="1" si="334">J448+J450</f>
        <v>0</v>
      </c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147">
        <f t="shared" ca="1" si="334"/>
        <v>0</v>
      </c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152">
        <f ca="1">IFERROR(__xludf.DUMMYFUNCTION("IMPORTRANGE(""https://docs.google.com/spreadsheets/d/1kKUcYdkIfrgTSj8iHHHB2MD2FAtwyyocFgqGQn6ADyI/edit?usp=sharing"",""กระบี่!J448"")+IMPORTRANGE(""https://docs.google.com/spreadsheets/d/1GwtLaSlNZkLk7iDqcyZz22giiy40b_usZZBXYciEN1U/edit?usp=sharing"",""ชุ"&amp;"มพร!J448"")+IMPORTRANGE(""https://docs.google.com/spreadsheets/d/16pAz3pOhQEZBhvFNMa5KGgZS6iKWpsKX0pg6tQmwFpo/edit?usp=sharing"",""ตรัง!J448"")+IMPORTRANGE(""https://docs.google.com/spreadsheets/d/1Dj4jcHCTV9JXKCaMoheSXS52JE63kDKyG7bPXnFogHk/edit?usp=shar"&amp;"ing"",""นครศรีธรรมราช!J448"")+IMPORTRANGE(""https://docs.google.com/spreadsheets/d/1iodCdmuK2GR3jzUwk8tpccY2JHQQA-87DLOtJP-ooyU/edit?usp=sharing"",""นราธิวาส!J448"")+IMPORTRANGE(""https://docs.google.com/spreadsheets/d/1SDNX3JhDdYRuIOsj0Wh2M-Qa_eaXl0NbWmh"&amp;"AOTbfQAs/edit?usp=sharing"",""ปัตตานี!J448"")+IMPORTRANGE(""https://docs.google.com/spreadsheets/d/16JDLGguT8s5DsGCND1KcwHP_AWR_zDMTqLHPLJUKhaU/edit?usp=sharing"",""พังงา!J448"")+IMPORTRANGE(""https://docs.google.com/spreadsheets/d/17ht0gPKzzT3PObBL1XJkeR"&amp;"mntBXI7wGjpLV7QorqlTk/edit?usp=sharing"",""พัทลุง!J448"")+IMPORTRANGE(""https://docs.google.com/spreadsheets/d/1rd4qoM1q_hsgaolqNGfrim9gbsoLxQsda4-vOz5x_BM/edit?usp=sharing"",""ภูเก็ต!J448"")+IMPORTRANGE(""https://docs.google.com/spreadsheets/d/1woKwKjgoL"&amp;"ssDvPcPeVyezB5izizAn4X1JDrys69n6xI/edit?usp=sharing"",""ยะลา!J448"")+IMPORTRANGE(""https://docs.google.com/spreadsheets/d/1qfrKjzMhm2HJfxQ-qVlJlJQ25Hne1d0khsySbZyGtPA/edit?usp=sharing"",""ระนอง!J448"")+IMPORTRANGE(""https://docs.google.com/spreadsheets/d/"&amp;"1IbSCnFOKpZsnFogBHJnL_isstZVaOMnFiIN0fGTPZZw/edit?usp=sharing"",""สงขลา!J448"")+IMPORTRANGE(""https://docs.google.com/spreadsheets/d/1q9nWasZJ-K8bFGvbE9n0qSRuKGA4Toe3Y89cKCiVtCU/edit?usp=sharing"",""สตูล!J448"")+IMPORTRANGE(""https://docs.google.com/sprea"&amp;"dsheets/d/18T20gbkS_WBjdscyTOV05cvq_JqvqQ17C81mpxf7Ncs/edit?usp=sharing"",""สุราษฎร์ธานี!J448"")"),0)</f>
        <v>0</v>
      </c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152">
        <f ca="1">IFERROR(__xludf.DUMMYFUNCTION("IMPORTRANGE(""https://docs.google.com/spreadsheets/d/1kKUcYdkIfrgTSj8iHHHB2MD2FAtwyyocFgqGQn6ADyI/edit?usp=sharing"",""กระบี่!J449"")+IMPORTRANGE(""https://docs.google.com/spreadsheets/d/1GwtLaSlNZkLk7iDqcyZz22giiy40b_usZZBXYciEN1U/edit?usp=sharing"",""ชุ"&amp;"มพร!J449"")+IMPORTRANGE(""https://docs.google.com/spreadsheets/d/16pAz3pOhQEZBhvFNMa5KGgZS6iKWpsKX0pg6tQmwFpo/edit?usp=sharing"",""ตรัง!J449"")+IMPORTRANGE(""https://docs.google.com/spreadsheets/d/1Dj4jcHCTV9JXKCaMoheSXS52JE63kDKyG7bPXnFogHk/edit?usp=shar"&amp;"ing"",""นครศรีธรรมราช!J449"")+IMPORTRANGE(""https://docs.google.com/spreadsheets/d/1iodCdmuK2GR3jzUwk8tpccY2JHQQA-87DLOtJP-ooyU/edit?usp=sharing"",""นราธิวาส!J449"")+IMPORTRANGE(""https://docs.google.com/spreadsheets/d/1SDNX3JhDdYRuIOsj0Wh2M-Qa_eaXl0NbWmh"&amp;"AOTbfQAs/edit?usp=sharing"",""ปัตตานี!J449"")+IMPORTRANGE(""https://docs.google.com/spreadsheets/d/16JDLGguT8s5DsGCND1KcwHP_AWR_zDMTqLHPLJUKhaU/edit?usp=sharing"",""พังงา!J449"")+IMPORTRANGE(""https://docs.google.com/spreadsheets/d/17ht0gPKzzT3PObBL1XJkeR"&amp;"mntBXI7wGjpLV7QorqlTk/edit?usp=sharing"",""พัทลุง!J449"")+IMPORTRANGE(""https://docs.google.com/spreadsheets/d/1rd4qoM1q_hsgaolqNGfrim9gbsoLxQsda4-vOz5x_BM/edit?usp=sharing"",""ภูเก็ต!J449"")+IMPORTRANGE(""https://docs.google.com/spreadsheets/d/1woKwKjgoL"&amp;"ssDvPcPeVyezB5izizAn4X1JDrys69n6xI/edit?usp=sharing"",""ยะลา!J449"")+IMPORTRANGE(""https://docs.google.com/spreadsheets/d/1qfrKjzMhm2HJfxQ-qVlJlJQ25Hne1d0khsySbZyGtPA/edit?usp=sharing"",""ระนอง!J449"")+IMPORTRANGE(""https://docs.google.com/spreadsheets/d/"&amp;"1IbSCnFOKpZsnFogBHJnL_isstZVaOMnFiIN0fGTPZZw/edit?usp=sharing"",""สงขลา!J449"")+IMPORTRANGE(""https://docs.google.com/spreadsheets/d/1q9nWasZJ-K8bFGvbE9n0qSRuKGA4Toe3Y89cKCiVtCU/edit?usp=sharing"",""สตูล!J449"")+IMPORTRANGE(""https://docs.google.com/sprea"&amp;"dsheets/d/18T20gbkS_WBjdscyTOV05cvq_JqvqQ17C81mpxf7Ncs/edit?usp=sharing"",""สุราษฎร์ธานี!J449"")"),0)</f>
        <v>0</v>
      </c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152">
        <f ca="1">IFERROR(__xludf.DUMMYFUNCTION("IMPORTRANGE(""https://docs.google.com/spreadsheets/d/1kKUcYdkIfrgTSj8iHHHB2MD2FAtwyyocFgqGQn6ADyI/edit?usp=sharing"",""กระบี่!J450"")+IMPORTRANGE(""https://docs.google.com/spreadsheets/d/1GwtLaSlNZkLk7iDqcyZz22giiy40b_usZZBXYciEN1U/edit?usp=sharing"",""ชุ"&amp;"มพร!J450"")+IMPORTRANGE(""https://docs.google.com/spreadsheets/d/16pAz3pOhQEZBhvFNMa5KGgZS6iKWpsKX0pg6tQmwFpo/edit?usp=sharing"",""ตรัง!J450"")+IMPORTRANGE(""https://docs.google.com/spreadsheets/d/1Dj4jcHCTV9JXKCaMoheSXS52JE63kDKyG7bPXnFogHk/edit?usp=shar"&amp;"ing"",""นครศรีธรรมราช!J450"")+IMPORTRANGE(""https://docs.google.com/spreadsheets/d/1iodCdmuK2GR3jzUwk8tpccY2JHQQA-87DLOtJP-ooyU/edit?usp=sharing"",""นราธิวาส!J450"")+IMPORTRANGE(""https://docs.google.com/spreadsheets/d/1SDNX3JhDdYRuIOsj0Wh2M-Qa_eaXl0NbWmh"&amp;"AOTbfQAs/edit?usp=sharing"",""ปัตตานี!J450"")+IMPORTRANGE(""https://docs.google.com/spreadsheets/d/16JDLGguT8s5DsGCND1KcwHP_AWR_zDMTqLHPLJUKhaU/edit?usp=sharing"",""พังงา!J450"")+IMPORTRANGE(""https://docs.google.com/spreadsheets/d/17ht0gPKzzT3PObBL1XJkeR"&amp;"mntBXI7wGjpLV7QorqlTk/edit?usp=sharing"",""พัทลุง!J450"")+IMPORTRANGE(""https://docs.google.com/spreadsheets/d/1rd4qoM1q_hsgaolqNGfrim9gbsoLxQsda4-vOz5x_BM/edit?usp=sharing"",""ภูเก็ต!J450"")+IMPORTRANGE(""https://docs.google.com/spreadsheets/d/1woKwKjgoL"&amp;"ssDvPcPeVyezB5izizAn4X1JDrys69n6xI/edit?usp=sharing"",""ยะลา!J450"")+IMPORTRANGE(""https://docs.google.com/spreadsheets/d/1qfrKjzMhm2HJfxQ-qVlJlJQ25Hne1d0khsySbZyGtPA/edit?usp=sharing"",""ระนอง!J450"")+IMPORTRANGE(""https://docs.google.com/spreadsheets/d/"&amp;"1IbSCnFOKpZsnFogBHJnL_isstZVaOMnFiIN0fGTPZZw/edit?usp=sharing"",""สงขลา!J450"")+IMPORTRANGE(""https://docs.google.com/spreadsheets/d/1q9nWasZJ-K8bFGvbE9n0qSRuKGA4Toe3Y89cKCiVtCU/edit?usp=sharing"",""สตูล!J450"")+IMPORTRANGE(""https://docs.google.com/sprea"&amp;"dsheets/d/18T20gbkS_WBjdscyTOV05cvq_JqvqQ17C81mpxf7Ncs/edit?usp=sharing"",""สุราษฎร์ธานี!J450"")"),0)</f>
        <v>0</v>
      </c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152">
        <f ca="1">IFERROR(__xludf.DUMMYFUNCTION("IMPORTRANGE(""https://docs.google.com/spreadsheets/d/1kKUcYdkIfrgTSj8iHHHB2MD2FAtwyyocFgqGQn6ADyI/edit?usp=sharing"",""กระบี่!J451"")+IMPORTRANGE(""https://docs.google.com/spreadsheets/d/1GwtLaSlNZkLk7iDqcyZz22giiy40b_usZZBXYciEN1U/edit?usp=sharing"",""ชุ"&amp;"มพร!J451"")+IMPORTRANGE(""https://docs.google.com/spreadsheets/d/16pAz3pOhQEZBhvFNMa5KGgZS6iKWpsKX0pg6tQmwFpo/edit?usp=sharing"",""ตรัง!J451"")+IMPORTRANGE(""https://docs.google.com/spreadsheets/d/1Dj4jcHCTV9JXKCaMoheSXS52JE63kDKyG7bPXnFogHk/edit?usp=shar"&amp;"ing"",""นครศรีธรรมราช!J451"")+IMPORTRANGE(""https://docs.google.com/spreadsheets/d/1iodCdmuK2GR3jzUwk8tpccY2JHQQA-87DLOtJP-ooyU/edit?usp=sharing"",""นราธิวาส!J451"")+IMPORTRANGE(""https://docs.google.com/spreadsheets/d/1SDNX3JhDdYRuIOsj0Wh2M-Qa_eaXl0NbWmh"&amp;"AOTbfQAs/edit?usp=sharing"",""ปัตตานี!J451"")+IMPORTRANGE(""https://docs.google.com/spreadsheets/d/16JDLGguT8s5DsGCND1KcwHP_AWR_zDMTqLHPLJUKhaU/edit?usp=sharing"",""พังงา!J451"")+IMPORTRANGE(""https://docs.google.com/spreadsheets/d/17ht0gPKzzT3PObBL1XJkeR"&amp;"mntBXI7wGjpLV7QorqlTk/edit?usp=sharing"",""พัทลุง!J451"")+IMPORTRANGE(""https://docs.google.com/spreadsheets/d/1rd4qoM1q_hsgaolqNGfrim9gbsoLxQsda4-vOz5x_BM/edit?usp=sharing"",""ภูเก็ต!J451"")+IMPORTRANGE(""https://docs.google.com/spreadsheets/d/1woKwKjgoL"&amp;"ssDvPcPeVyezB5izizAn4X1JDrys69n6xI/edit?usp=sharing"",""ยะลา!J451"")+IMPORTRANGE(""https://docs.google.com/spreadsheets/d/1qfrKjzMhm2HJfxQ-qVlJlJQ25Hne1d0khsySbZyGtPA/edit?usp=sharing"",""ระนอง!J451"")+IMPORTRANGE(""https://docs.google.com/spreadsheets/d/"&amp;"1IbSCnFOKpZsnFogBHJnL_isstZVaOMnFiIN0fGTPZZw/edit?usp=sharing"",""สงขลา!J451"")+IMPORTRANGE(""https://docs.google.com/spreadsheets/d/1q9nWasZJ-K8bFGvbE9n0qSRuKGA4Toe3Y89cKCiVtCU/edit?usp=sharing"",""สตูล!J451"")+IMPORTRANGE(""https://docs.google.com/sprea"&amp;"dsheets/d/18T20gbkS_WBjdscyTOV05cvq_JqvqQ17C81mpxf7Ncs/edit?usp=sharing"",""สุราษฎร์ธานี!J451"")"),0)</f>
        <v>0</v>
      </c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152">
        <f ca="1">IFERROR(__xludf.DUMMYFUNCTION("IMPORTRANGE(""https://docs.google.com/spreadsheets/d/1kKUcYdkIfrgTSj8iHHHB2MD2FAtwyyocFgqGQn6ADyI/edit?usp=sharing"",""กระบี่!J452"")+IMPORTRANGE(""https://docs.google.com/spreadsheets/d/1GwtLaSlNZkLk7iDqcyZz22giiy40b_usZZBXYciEN1U/edit?usp=sharing"",""ชุ"&amp;"มพร!J452"")+IMPORTRANGE(""https://docs.google.com/spreadsheets/d/16pAz3pOhQEZBhvFNMa5KGgZS6iKWpsKX0pg6tQmwFpo/edit?usp=sharing"",""ตรัง!J452"")+IMPORTRANGE(""https://docs.google.com/spreadsheets/d/1Dj4jcHCTV9JXKCaMoheSXS52JE63kDKyG7bPXnFogHk/edit?usp=shar"&amp;"ing"",""นครศรีธรรมราช!J452"")+IMPORTRANGE(""https://docs.google.com/spreadsheets/d/1iodCdmuK2GR3jzUwk8tpccY2JHQQA-87DLOtJP-ooyU/edit?usp=sharing"",""นราธิวาส!J452"")+IMPORTRANGE(""https://docs.google.com/spreadsheets/d/1SDNX3JhDdYRuIOsj0Wh2M-Qa_eaXl0NbWmh"&amp;"AOTbfQAs/edit?usp=sharing"",""ปัตตานี!J452"")+IMPORTRANGE(""https://docs.google.com/spreadsheets/d/16JDLGguT8s5DsGCND1KcwHP_AWR_zDMTqLHPLJUKhaU/edit?usp=sharing"",""พังงา!J452"")+IMPORTRANGE(""https://docs.google.com/spreadsheets/d/17ht0gPKzzT3PObBL1XJkeR"&amp;"mntBXI7wGjpLV7QorqlTk/edit?usp=sharing"",""พัทลุง!J452"")+IMPORTRANGE(""https://docs.google.com/spreadsheets/d/1rd4qoM1q_hsgaolqNGfrim9gbsoLxQsda4-vOz5x_BM/edit?usp=sharing"",""ภูเก็ต!J452"")+IMPORTRANGE(""https://docs.google.com/spreadsheets/d/1woKwKjgoL"&amp;"ssDvPcPeVyezB5izizAn4X1JDrys69n6xI/edit?usp=sharing"",""ยะลา!J452"")+IMPORTRANGE(""https://docs.google.com/spreadsheets/d/1qfrKjzMhm2HJfxQ-qVlJlJQ25Hne1d0khsySbZyGtPA/edit?usp=sharing"",""ระนอง!J452"")+IMPORTRANGE(""https://docs.google.com/spreadsheets/d/"&amp;"1IbSCnFOKpZsnFogBHJnL_isstZVaOMnFiIN0fGTPZZw/edit?usp=sharing"",""สงขลา!J452"")+IMPORTRANGE(""https://docs.google.com/spreadsheets/d/1q9nWasZJ-K8bFGvbE9n0qSRuKGA4Toe3Y89cKCiVtCU/edit?usp=sharing"",""สตูล!J452"")+IMPORTRANGE(""https://docs.google.com/sprea"&amp;"dsheets/d/18T20gbkS_WBjdscyTOV05cvq_JqvqQ17C81mpxf7Ncs/edit?usp=sharing"",""สุราษฎร์ธานี!J452"")"),0)</f>
        <v>0</v>
      </c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152">
        <f ca="1">IFERROR(__xludf.DUMMYFUNCTION("IMPORTRANGE(""https://docs.google.com/spreadsheets/d/1kKUcYdkIfrgTSj8iHHHB2MD2FAtwyyocFgqGQn6ADyI/edit?usp=sharing"",""กระบี่!J453"")+IMPORTRANGE(""https://docs.google.com/spreadsheets/d/1GwtLaSlNZkLk7iDqcyZz22giiy40b_usZZBXYciEN1U/edit?usp=sharing"",""ชุ"&amp;"มพร!J453"")+IMPORTRANGE(""https://docs.google.com/spreadsheets/d/16pAz3pOhQEZBhvFNMa5KGgZS6iKWpsKX0pg6tQmwFpo/edit?usp=sharing"",""ตรัง!J453"")+IMPORTRANGE(""https://docs.google.com/spreadsheets/d/1Dj4jcHCTV9JXKCaMoheSXS52JE63kDKyG7bPXnFogHk/edit?usp=shar"&amp;"ing"",""นครศรีธรรมราช!J453"")+IMPORTRANGE(""https://docs.google.com/spreadsheets/d/1iodCdmuK2GR3jzUwk8tpccY2JHQQA-87DLOtJP-ooyU/edit?usp=sharing"",""นราธิวาส!J453"")+IMPORTRANGE(""https://docs.google.com/spreadsheets/d/1SDNX3JhDdYRuIOsj0Wh2M-Qa_eaXl0NbWmh"&amp;"AOTbfQAs/edit?usp=sharing"",""ปัตตานี!J453"")+IMPORTRANGE(""https://docs.google.com/spreadsheets/d/16JDLGguT8s5DsGCND1KcwHP_AWR_zDMTqLHPLJUKhaU/edit?usp=sharing"",""พังงา!J453"")+IMPORTRANGE(""https://docs.google.com/spreadsheets/d/17ht0gPKzzT3PObBL1XJkeR"&amp;"mntBXI7wGjpLV7QorqlTk/edit?usp=sharing"",""พัทลุง!J453"")+IMPORTRANGE(""https://docs.google.com/spreadsheets/d/1rd4qoM1q_hsgaolqNGfrim9gbsoLxQsda4-vOz5x_BM/edit?usp=sharing"",""ภูเก็ต!J453"")+IMPORTRANGE(""https://docs.google.com/spreadsheets/d/1woKwKjgoL"&amp;"ssDvPcPeVyezB5izizAn4X1JDrys69n6xI/edit?usp=sharing"",""ยะลา!J453"")+IMPORTRANGE(""https://docs.google.com/spreadsheets/d/1qfrKjzMhm2HJfxQ-qVlJlJQ25Hne1d0khsySbZyGtPA/edit?usp=sharing"",""ระนอง!J453"")+IMPORTRANGE(""https://docs.google.com/spreadsheets/d/"&amp;"1IbSCnFOKpZsnFogBHJnL_isstZVaOMnFiIN0fGTPZZw/edit?usp=sharing"",""สงขลา!J453"")+IMPORTRANGE(""https://docs.google.com/spreadsheets/d/1q9nWasZJ-K8bFGvbE9n0qSRuKGA4Toe3Y89cKCiVtCU/edit?usp=sharing"",""สตูล!J453"")+IMPORTRANGE(""https://docs.google.com/sprea"&amp;"dsheets/d/18T20gbkS_WBjdscyTOV05cvq_JqvqQ17C81mpxf7Ncs/edit?usp=sharing"",""สุราษฎร์ธานี!J453"")"),0)</f>
        <v>0</v>
      </c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347">
        <f ca="1">IFERROR(__xludf.DUMMYFUNCTION("IMPORTRANGE(""https://docs.google.com/spreadsheets/d/1kKUcYdkIfrgTSj8iHHHB2MD2FAtwyyocFgqGQn6ADyI/edit?usp=sharing"",""กระบี่!J454"")+IMPORTRANGE(""https://docs.google.com/spreadsheets/d/1GwtLaSlNZkLk7iDqcyZz22giiy40b_usZZBXYciEN1U/edit?usp=sharing"",""ชุ"&amp;"มพร!J454"")+IMPORTRANGE(""https://docs.google.com/spreadsheets/d/16pAz3pOhQEZBhvFNMa5KGgZS6iKWpsKX0pg6tQmwFpo/edit?usp=sharing"",""ตรัง!J454"")+IMPORTRANGE(""https://docs.google.com/spreadsheets/d/1Dj4jcHCTV9JXKCaMoheSXS52JE63kDKyG7bPXnFogHk/edit?usp=shar"&amp;"ing"",""นครศรีธรรมราช!J454"")+IMPORTRANGE(""https://docs.google.com/spreadsheets/d/1iodCdmuK2GR3jzUwk8tpccY2JHQQA-87DLOtJP-ooyU/edit?usp=sharing"",""นราธิวาส!J454"")+IMPORTRANGE(""https://docs.google.com/spreadsheets/d/1SDNX3JhDdYRuIOsj0Wh2M-Qa_eaXl0NbWmh"&amp;"AOTbfQAs/edit?usp=sharing"",""ปัตตานี!J454"")+IMPORTRANGE(""https://docs.google.com/spreadsheets/d/16JDLGguT8s5DsGCND1KcwHP_AWR_zDMTqLHPLJUKhaU/edit?usp=sharing"",""พังงา!J454"")+IMPORTRANGE(""https://docs.google.com/spreadsheets/d/17ht0gPKzzT3PObBL1XJkeR"&amp;"mntBXI7wGjpLV7QorqlTk/edit?usp=sharing"",""พัทลุง!J454"")+IMPORTRANGE(""https://docs.google.com/spreadsheets/d/1rd4qoM1q_hsgaolqNGfrim9gbsoLxQsda4-vOz5x_BM/edit?usp=sharing"",""ภูเก็ต!J454"")+IMPORTRANGE(""https://docs.google.com/spreadsheets/d/1woKwKjgoL"&amp;"ssDvPcPeVyezB5izizAn4X1JDrys69n6xI/edit?usp=sharing"",""ยะลา!J454"")+IMPORTRANGE(""https://docs.google.com/spreadsheets/d/1qfrKjzMhm2HJfxQ-qVlJlJQ25Hne1d0khsySbZyGtPA/edit?usp=sharing"",""ระนอง!J454"")+IMPORTRANGE(""https://docs.google.com/spreadsheets/d/"&amp;"1IbSCnFOKpZsnFogBHJnL_isstZVaOMnFiIN0fGTPZZw/edit?usp=sharing"",""สงขลา!J454"")+IMPORTRANGE(""https://docs.google.com/spreadsheets/d/1q9nWasZJ-K8bFGvbE9n0qSRuKGA4Toe3Y89cKCiVtCU/edit?usp=sharing"",""สตูล!J454"")+IMPORTRANGE(""https://docs.google.com/sprea"&amp;"dsheets/d/18T20gbkS_WBjdscyTOV05cvq_JqvqQ17C81mpxf7Ncs/edit?usp=sharing"",""สุราษฎร์ธานี!J454"")"),0)</f>
        <v>0</v>
      </c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152">
        <f ca="1">IFERROR(__xludf.DUMMYFUNCTION("IMPORTRANGE(""https://docs.google.com/spreadsheets/d/1kKUcYdkIfrgTSj8iHHHB2MD2FAtwyyocFgqGQn6ADyI/edit?usp=sharing"",""กระบี่!J455"")+IMPORTRANGE(""https://docs.google.com/spreadsheets/d/1GwtLaSlNZkLk7iDqcyZz22giiy40b_usZZBXYciEN1U/edit?usp=sharing"",""ชุ"&amp;"มพร!J455"")+IMPORTRANGE(""https://docs.google.com/spreadsheets/d/16pAz3pOhQEZBhvFNMa5KGgZS6iKWpsKX0pg6tQmwFpo/edit?usp=sharing"",""ตรัง!J455"")+IMPORTRANGE(""https://docs.google.com/spreadsheets/d/1Dj4jcHCTV9JXKCaMoheSXS52JE63kDKyG7bPXnFogHk/edit?usp=shar"&amp;"ing"",""นครศรีธรรมราช!J455"")+IMPORTRANGE(""https://docs.google.com/spreadsheets/d/1iodCdmuK2GR3jzUwk8tpccY2JHQQA-87DLOtJP-ooyU/edit?usp=sharing"",""นราธิวาส!J455"")+IMPORTRANGE(""https://docs.google.com/spreadsheets/d/1SDNX3JhDdYRuIOsj0Wh2M-Qa_eaXl0NbWmh"&amp;"AOTbfQAs/edit?usp=sharing"",""ปัตตานี!J455"")+IMPORTRANGE(""https://docs.google.com/spreadsheets/d/16JDLGguT8s5DsGCND1KcwHP_AWR_zDMTqLHPLJUKhaU/edit?usp=sharing"",""พังงา!J455"")+IMPORTRANGE(""https://docs.google.com/spreadsheets/d/17ht0gPKzzT3PObBL1XJkeR"&amp;"mntBXI7wGjpLV7QorqlTk/edit?usp=sharing"",""พัทลุง!J455"")+IMPORTRANGE(""https://docs.google.com/spreadsheets/d/1rd4qoM1q_hsgaolqNGfrim9gbsoLxQsda4-vOz5x_BM/edit?usp=sharing"",""ภูเก็ต!J455"")+IMPORTRANGE(""https://docs.google.com/spreadsheets/d/1woKwKjgoL"&amp;"ssDvPcPeVyezB5izizAn4X1JDrys69n6xI/edit?usp=sharing"",""ยะลา!J455"")+IMPORTRANGE(""https://docs.google.com/spreadsheets/d/1qfrKjzMhm2HJfxQ-qVlJlJQ25Hne1d0khsySbZyGtPA/edit?usp=sharing"",""ระนอง!J455"")+IMPORTRANGE(""https://docs.google.com/spreadsheets/d/"&amp;"1IbSCnFOKpZsnFogBHJnL_isstZVaOMnFiIN0fGTPZZw/edit?usp=sharing"",""สงขลา!J455"")+IMPORTRANGE(""https://docs.google.com/spreadsheets/d/1q9nWasZJ-K8bFGvbE9n0qSRuKGA4Toe3Y89cKCiVtCU/edit?usp=sharing"",""สตูล!J455"")+IMPORTRANGE(""https://docs.google.com/sprea"&amp;"dsheets/d/18T20gbkS_WBjdscyTOV05cvq_JqvqQ17C81mpxf7Ncs/edit?usp=sharing"",""สุราษฎร์ธานี!J455"")"),0)</f>
        <v>0</v>
      </c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t="shared" ref="I456:J456" ca="1" si="335">I457</f>
        <v>1815</v>
      </c>
      <c r="J456" s="147">
        <f t="shared" ca="1" si="335"/>
        <v>0</v>
      </c>
      <c r="K456" s="132">
        <f t="shared" ref="K456:K458" ca="1" si="336">IF(I456&gt;0,J456*100/I456,0)</f>
        <v>0</v>
      </c>
      <c r="L456" s="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kKUcYdkIfrgTSj8iHHHB2MD2FAtwyyocFgqGQn6ADyI/edit?usp=sharing"",""กระบี่!I457"")+IMPORTRANGE(""https://docs.google.com/spreadsheets/d/1GwtLaSlNZkLk7iDqcyZz22giiy40b_usZZBXYciEN1U/edit?usp=sharing"",""ชุ"&amp;"มพร!I457"")+IMPORTRANGE(""https://docs.google.com/spreadsheets/d/16pAz3pOhQEZBhvFNMa5KGgZS6iKWpsKX0pg6tQmwFpo/edit?usp=sharing"",""ตรัง!I457"")+IMPORTRANGE(""https://docs.google.com/spreadsheets/d/1Dj4jcHCTV9JXKCaMoheSXS52JE63kDKyG7bPXnFogHk/edit?usp=shar"&amp;"ing"",""นครศรีธรรมราช!I457"")+IMPORTRANGE(""https://docs.google.com/spreadsheets/d/1iodCdmuK2GR3jzUwk8tpccY2JHQQA-87DLOtJP-ooyU/edit?usp=sharing"",""นราธิวาส!I457"")+IMPORTRANGE(""https://docs.google.com/spreadsheets/d/1SDNX3JhDdYRuIOsj0Wh2M-Qa_eaXl0NbWmh"&amp;"AOTbfQAs/edit?usp=sharing"",""ปัตตานี!I457"")+IMPORTRANGE(""https://docs.google.com/spreadsheets/d/16JDLGguT8s5DsGCND1KcwHP_AWR_zDMTqLHPLJUKhaU/edit?usp=sharing"",""พังงา!I457"")+IMPORTRANGE(""https://docs.google.com/spreadsheets/d/17ht0gPKzzT3PObBL1XJkeR"&amp;"mntBXI7wGjpLV7QorqlTk/edit?usp=sharing"",""พัทลุง!I457"")+IMPORTRANGE(""https://docs.google.com/spreadsheets/d/1rd4qoM1q_hsgaolqNGfrim9gbsoLxQsda4-vOz5x_BM/edit?usp=sharing"",""ภูเก็ต!I457"")+IMPORTRANGE(""https://docs.google.com/spreadsheets/d/1woKwKjgoL"&amp;"ssDvPcPeVyezB5izizAn4X1JDrys69n6xI/edit?usp=sharing"",""ยะลา!I457"")+IMPORTRANGE(""https://docs.google.com/spreadsheets/d/1qfrKjzMhm2HJfxQ-qVlJlJQ25Hne1d0khsySbZyGtPA/edit?usp=sharing"",""ระนอง!I457"")+IMPORTRANGE(""https://docs.google.com/spreadsheets/d/"&amp;"1IbSCnFOKpZsnFogBHJnL_isstZVaOMnFiIN0fGTPZZw/edit?usp=sharing"",""สงขลา!I457"")+IMPORTRANGE(""https://docs.google.com/spreadsheets/d/1q9nWasZJ-K8bFGvbE9n0qSRuKGA4Toe3Y89cKCiVtCU/edit?usp=sharing"",""สตูล!I457"")+IMPORTRANGE(""https://docs.google.com/sprea"&amp;"dsheets/d/18T20gbkS_WBjdscyTOV05cvq_JqvqQ17C81mpxf7Ncs/edit?usp=sharing"",""สุราษฎร์ธานี!I457"")"),1815)</f>
        <v>1815</v>
      </c>
      <c r="J457" s="147">
        <f t="shared" ref="J457:J458" ca="1" si="337">J459+J467+J473</f>
        <v>0</v>
      </c>
      <c r="K457" s="132">
        <f t="shared" ca="1" si="336"/>
        <v>0</v>
      </c>
      <c r="L457" s="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kKUcYdkIfrgTSj8iHHHB2MD2FAtwyyocFgqGQn6ADyI/edit?usp=sharing"",""กระบี่!I458"")+IMPORTRANGE(""https://docs.google.com/spreadsheets/d/1GwtLaSlNZkLk7iDqcyZz22giiy40b_usZZBXYciEN1U/edit?usp=sharing"",""ชุ"&amp;"มพร!I458"")+IMPORTRANGE(""https://docs.google.com/spreadsheets/d/16pAz3pOhQEZBhvFNMa5KGgZS6iKWpsKX0pg6tQmwFpo/edit?usp=sharing"",""ตรัง!I458"")+IMPORTRANGE(""https://docs.google.com/spreadsheets/d/1Dj4jcHCTV9JXKCaMoheSXS52JE63kDKyG7bPXnFogHk/edit?usp=shar"&amp;"ing"",""นครศรีธรรมราช!I458"")+IMPORTRANGE(""https://docs.google.com/spreadsheets/d/1iodCdmuK2GR3jzUwk8tpccY2JHQQA-87DLOtJP-ooyU/edit?usp=sharing"",""นราธิวาส!I458"")+IMPORTRANGE(""https://docs.google.com/spreadsheets/d/1SDNX3JhDdYRuIOsj0Wh2M-Qa_eaXl0NbWmh"&amp;"AOTbfQAs/edit?usp=sharing"",""ปัตตานี!I458"")+IMPORTRANGE(""https://docs.google.com/spreadsheets/d/16JDLGguT8s5DsGCND1KcwHP_AWR_zDMTqLHPLJUKhaU/edit?usp=sharing"",""พังงา!I458"")+IMPORTRANGE(""https://docs.google.com/spreadsheets/d/17ht0gPKzzT3PObBL1XJkeR"&amp;"mntBXI7wGjpLV7QorqlTk/edit?usp=sharing"",""พัทลุง!I458"")+IMPORTRANGE(""https://docs.google.com/spreadsheets/d/1rd4qoM1q_hsgaolqNGfrim9gbsoLxQsda4-vOz5x_BM/edit?usp=sharing"",""ภูเก็ต!I458"")+IMPORTRANGE(""https://docs.google.com/spreadsheets/d/1woKwKjgoL"&amp;"ssDvPcPeVyezB5izizAn4X1JDrys69n6xI/edit?usp=sharing"",""ยะลา!I458"")+IMPORTRANGE(""https://docs.google.com/spreadsheets/d/1qfrKjzMhm2HJfxQ-qVlJlJQ25Hne1d0khsySbZyGtPA/edit?usp=sharing"",""ระนอง!I458"")+IMPORTRANGE(""https://docs.google.com/spreadsheets/d/"&amp;"1IbSCnFOKpZsnFogBHJnL_isstZVaOMnFiIN0fGTPZZw/edit?usp=sharing"",""สงขลา!I458"")+IMPORTRANGE(""https://docs.google.com/spreadsheets/d/1q9nWasZJ-K8bFGvbE9n0qSRuKGA4Toe3Y89cKCiVtCU/edit?usp=sharing"",""สตูล!I458"")+IMPORTRANGE(""https://docs.google.com/sprea"&amp;"dsheets/d/18T20gbkS_WBjdscyTOV05cvq_JqvqQ17C81mpxf7Ncs/edit?usp=sharing"",""สุราษฎร์ธานี!I458"")"),0)</f>
        <v>0</v>
      </c>
      <c r="J458" s="147">
        <f t="shared" ca="1" si="337"/>
        <v>0</v>
      </c>
      <c r="K458" s="132">
        <f t="shared" ca="1" si="336"/>
        <v>0</v>
      </c>
      <c r="L458" s="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152">
        <f t="shared" ref="J459:J460" ca="1" si="338">J461+J463</f>
        <v>0</v>
      </c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152">
        <f t="shared" ca="1" si="338"/>
        <v>0</v>
      </c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152">
        <f ca="1">IFERROR(__xludf.DUMMYFUNCTION("IMPORTRANGE(""https://docs.google.com/spreadsheets/d/1kKUcYdkIfrgTSj8iHHHB2MD2FAtwyyocFgqGQn6ADyI/edit?usp=sharing"",""กระบี่!J461"")+IMPORTRANGE(""https://docs.google.com/spreadsheets/d/1GwtLaSlNZkLk7iDqcyZz22giiy40b_usZZBXYciEN1U/edit?usp=sharing"",""ชุ"&amp;"มพร!J461"")+IMPORTRANGE(""https://docs.google.com/spreadsheets/d/16pAz3pOhQEZBhvFNMa5KGgZS6iKWpsKX0pg6tQmwFpo/edit?usp=sharing"",""ตรัง!J461"")+IMPORTRANGE(""https://docs.google.com/spreadsheets/d/1Dj4jcHCTV9JXKCaMoheSXS52JE63kDKyG7bPXnFogHk/edit?usp=shar"&amp;"ing"",""นครศรีธรรมราช!J461"")+IMPORTRANGE(""https://docs.google.com/spreadsheets/d/1iodCdmuK2GR3jzUwk8tpccY2JHQQA-87DLOtJP-ooyU/edit?usp=sharing"",""นราธิวาส!J461"")+IMPORTRANGE(""https://docs.google.com/spreadsheets/d/1SDNX3JhDdYRuIOsj0Wh2M-Qa_eaXl0NbWmh"&amp;"AOTbfQAs/edit?usp=sharing"",""ปัตตานี!J461"")+IMPORTRANGE(""https://docs.google.com/spreadsheets/d/16JDLGguT8s5DsGCND1KcwHP_AWR_zDMTqLHPLJUKhaU/edit?usp=sharing"",""พังงา!J461"")+IMPORTRANGE(""https://docs.google.com/spreadsheets/d/17ht0gPKzzT3PObBL1XJkeR"&amp;"mntBXI7wGjpLV7QorqlTk/edit?usp=sharing"",""พัทลุง!J461"")+IMPORTRANGE(""https://docs.google.com/spreadsheets/d/1rd4qoM1q_hsgaolqNGfrim9gbsoLxQsda4-vOz5x_BM/edit?usp=sharing"",""ภูเก็ต!J461"")+IMPORTRANGE(""https://docs.google.com/spreadsheets/d/1woKwKjgoL"&amp;"ssDvPcPeVyezB5izizAn4X1JDrys69n6xI/edit?usp=sharing"",""ยะลา!J461"")+IMPORTRANGE(""https://docs.google.com/spreadsheets/d/1qfrKjzMhm2HJfxQ-qVlJlJQ25Hne1d0khsySbZyGtPA/edit?usp=sharing"",""ระนอง!J461"")+IMPORTRANGE(""https://docs.google.com/spreadsheets/d/"&amp;"1IbSCnFOKpZsnFogBHJnL_isstZVaOMnFiIN0fGTPZZw/edit?usp=sharing"",""สงขลา!J461"")+IMPORTRANGE(""https://docs.google.com/spreadsheets/d/1q9nWasZJ-K8bFGvbE9n0qSRuKGA4Toe3Y89cKCiVtCU/edit?usp=sharing"",""สตูล!J461"")+IMPORTRANGE(""https://docs.google.com/sprea"&amp;"dsheets/d/18T20gbkS_WBjdscyTOV05cvq_JqvqQ17C81mpxf7Ncs/edit?usp=sharing"",""สุราษฎร์ธานี!J461"")"),0)</f>
        <v>0</v>
      </c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152">
        <f ca="1">IFERROR(__xludf.DUMMYFUNCTION("IMPORTRANGE(""https://docs.google.com/spreadsheets/d/1kKUcYdkIfrgTSj8iHHHB2MD2FAtwyyocFgqGQn6ADyI/edit?usp=sharing"",""กระบี่!J462"")+IMPORTRANGE(""https://docs.google.com/spreadsheets/d/1GwtLaSlNZkLk7iDqcyZz22giiy40b_usZZBXYciEN1U/edit?usp=sharing"",""ชุ"&amp;"มพร!J462"")+IMPORTRANGE(""https://docs.google.com/spreadsheets/d/16pAz3pOhQEZBhvFNMa5KGgZS6iKWpsKX0pg6tQmwFpo/edit?usp=sharing"",""ตรัง!J462"")+IMPORTRANGE(""https://docs.google.com/spreadsheets/d/1Dj4jcHCTV9JXKCaMoheSXS52JE63kDKyG7bPXnFogHk/edit?usp=shar"&amp;"ing"",""นครศรีธรรมราช!J462"")+IMPORTRANGE(""https://docs.google.com/spreadsheets/d/1iodCdmuK2GR3jzUwk8tpccY2JHQQA-87DLOtJP-ooyU/edit?usp=sharing"",""นราธิวาส!J462"")+IMPORTRANGE(""https://docs.google.com/spreadsheets/d/1SDNX3JhDdYRuIOsj0Wh2M-Qa_eaXl0NbWmh"&amp;"AOTbfQAs/edit?usp=sharing"",""ปัตตานี!J462"")+IMPORTRANGE(""https://docs.google.com/spreadsheets/d/16JDLGguT8s5DsGCND1KcwHP_AWR_zDMTqLHPLJUKhaU/edit?usp=sharing"",""พังงา!J462"")+IMPORTRANGE(""https://docs.google.com/spreadsheets/d/17ht0gPKzzT3PObBL1XJkeR"&amp;"mntBXI7wGjpLV7QorqlTk/edit?usp=sharing"",""พัทลุง!J462"")+IMPORTRANGE(""https://docs.google.com/spreadsheets/d/1rd4qoM1q_hsgaolqNGfrim9gbsoLxQsda4-vOz5x_BM/edit?usp=sharing"",""ภูเก็ต!J462"")+IMPORTRANGE(""https://docs.google.com/spreadsheets/d/1woKwKjgoL"&amp;"ssDvPcPeVyezB5izizAn4X1JDrys69n6xI/edit?usp=sharing"",""ยะลา!J462"")+IMPORTRANGE(""https://docs.google.com/spreadsheets/d/1qfrKjzMhm2HJfxQ-qVlJlJQ25Hne1d0khsySbZyGtPA/edit?usp=sharing"",""ระนอง!J462"")+IMPORTRANGE(""https://docs.google.com/spreadsheets/d/"&amp;"1IbSCnFOKpZsnFogBHJnL_isstZVaOMnFiIN0fGTPZZw/edit?usp=sharing"",""สงขลา!J462"")+IMPORTRANGE(""https://docs.google.com/spreadsheets/d/1q9nWasZJ-K8bFGvbE9n0qSRuKGA4Toe3Y89cKCiVtCU/edit?usp=sharing"",""สตูล!J462"")+IMPORTRANGE(""https://docs.google.com/sprea"&amp;"dsheets/d/18T20gbkS_WBjdscyTOV05cvq_JqvqQ17C81mpxf7Ncs/edit?usp=sharing"",""สุราษฎร์ธานี!J462"")"),0)</f>
        <v>0</v>
      </c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152">
        <f ca="1">IFERROR(__xludf.DUMMYFUNCTION("IMPORTRANGE(""https://docs.google.com/spreadsheets/d/1kKUcYdkIfrgTSj8iHHHB2MD2FAtwyyocFgqGQn6ADyI/edit?usp=sharing"",""กระบี่!J463"")+IMPORTRANGE(""https://docs.google.com/spreadsheets/d/1GwtLaSlNZkLk7iDqcyZz22giiy40b_usZZBXYciEN1U/edit?usp=sharing"",""ชุ"&amp;"มพร!J463"")+IMPORTRANGE(""https://docs.google.com/spreadsheets/d/16pAz3pOhQEZBhvFNMa5KGgZS6iKWpsKX0pg6tQmwFpo/edit?usp=sharing"",""ตรัง!J463"")+IMPORTRANGE(""https://docs.google.com/spreadsheets/d/1Dj4jcHCTV9JXKCaMoheSXS52JE63kDKyG7bPXnFogHk/edit?usp=shar"&amp;"ing"",""นครศรีธรรมราช!J463"")+IMPORTRANGE(""https://docs.google.com/spreadsheets/d/1iodCdmuK2GR3jzUwk8tpccY2JHQQA-87DLOtJP-ooyU/edit?usp=sharing"",""นราธิวาส!J463"")+IMPORTRANGE(""https://docs.google.com/spreadsheets/d/1SDNX3JhDdYRuIOsj0Wh2M-Qa_eaXl0NbWmh"&amp;"AOTbfQAs/edit?usp=sharing"",""ปัตตานี!J463"")+IMPORTRANGE(""https://docs.google.com/spreadsheets/d/16JDLGguT8s5DsGCND1KcwHP_AWR_zDMTqLHPLJUKhaU/edit?usp=sharing"",""พังงา!J463"")+IMPORTRANGE(""https://docs.google.com/spreadsheets/d/17ht0gPKzzT3PObBL1XJkeR"&amp;"mntBXI7wGjpLV7QorqlTk/edit?usp=sharing"",""พัทลุง!J463"")+IMPORTRANGE(""https://docs.google.com/spreadsheets/d/1rd4qoM1q_hsgaolqNGfrim9gbsoLxQsda4-vOz5x_BM/edit?usp=sharing"",""ภูเก็ต!J463"")+IMPORTRANGE(""https://docs.google.com/spreadsheets/d/1woKwKjgoL"&amp;"ssDvPcPeVyezB5izizAn4X1JDrys69n6xI/edit?usp=sharing"",""ยะลา!J463"")+IMPORTRANGE(""https://docs.google.com/spreadsheets/d/1qfrKjzMhm2HJfxQ-qVlJlJQ25Hne1d0khsySbZyGtPA/edit?usp=sharing"",""ระนอง!J463"")+IMPORTRANGE(""https://docs.google.com/spreadsheets/d/"&amp;"1IbSCnFOKpZsnFogBHJnL_isstZVaOMnFiIN0fGTPZZw/edit?usp=sharing"",""สงขลา!J463"")+IMPORTRANGE(""https://docs.google.com/spreadsheets/d/1q9nWasZJ-K8bFGvbE9n0qSRuKGA4Toe3Y89cKCiVtCU/edit?usp=sharing"",""สตูล!J463"")+IMPORTRANGE(""https://docs.google.com/sprea"&amp;"dsheets/d/18T20gbkS_WBjdscyTOV05cvq_JqvqQ17C81mpxf7Ncs/edit?usp=sharing"",""สุราษฎร์ธานี!J463"")"),0)</f>
        <v>0</v>
      </c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152">
        <f ca="1">IFERROR(__xludf.DUMMYFUNCTION("IMPORTRANGE(""https://docs.google.com/spreadsheets/d/1kKUcYdkIfrgTSj8iHHHB2MD2FAtwyyocFgqGQn6ADyI/edit?usp=sharing"",""กระบี่!J464"")+IMPORTRANGE(""https://docs.google.com/spreadsheets/d/1GwtLaSlNZkLk7iDqcyZz22giiy40b_usZZBXYciEN1U/edit?usp=sharing"",""ชุ"&amp;"มพร!J464"")+IMPORTRANGE(""https://docs.google.com/spreadsheets/d/16pAz3pOhQEZBhvFNMa5KGgZS6iKWpsKX0pg6tQmwFpo/edit?usp=sharing"",""ตรัง!J464"")+IMPORTRANGE(""https://docs.google.com/spreadsheets/d/1Dj4jcHCTV9JXKCaMoheSXS52JE63kDKyG7bPXnFogHk/edit?usp=shar"&amp;"ing"",""นครศรีธรรมราช!J464"")+IMPORTRANGE(""https://docs.google.com/spreadsheets/d/1iodCdmuK2GR3jzUwk8tpccY2JHQQA-87DLOtJP-ooyU/edit?usp=sharing"",""นราธิวาส!J464"")+IMPORTRANGE(""https://docs.google.com/spreadsheets/d/1SDNX3JhDdYRuIOsj0Wh2M-Qa_eaXl0NbWmh"&amp;"AOTbfQAs/edit?usp=sharing"",""ปัตตานี!J464"")+IMPORTRANGE(""https://docs.google.com/spreadsheets/d/16JDLGguT8s5DsGCND1KcwHP_AWR_zDMTqLHPLJUKhaU/edit?usp=sharing"",""พังงา!J464"")+IMPORTRANGE(""https://docs.google.com/spreadsheets/d/17ht0gPKzzT3PObBL1XJkeR"&amp;"mntBXI7wGjpLV7QorqlTk/edit?usp=sharing"",""พัทลุง!J464"")+IMPORTRANGE(""https://docs.google.com/spreadsheets/d/1rd4qoM1q_hsgaolqNGfrim9gbsoLxQsda4-vOz5x_BM/edit?usp=sharing"",""ภูเก็ต!J464"")+IMPORTRANGE(""https://docs.google.com/spreadsheets/d/1woKwKjgoL"&amp;"ssDvPcPeVyezB5izizAn4X1JDrys69n6xI/edit?usp=sharing"",""ยะลา!J464"")+IMPORTRANGE(""https://docs.google.com/spreadsheets/d/1qfrKjzMhm2HJfxQ-qVlJlJQ25Hne1d0khsySbZyGtPA/edit?usp=sharing"",""ระนอง!J464"")+IMPORTRANGE(""https://docs.google.com/spreadsheets/d/"&amp;"1IbSCnFOKpZsnFogBHJnL_isstZVaOMnFiIN0fGTPZZw/edit?usp=sharing"",""สงขลา!J464"")+IMPORTRANGE(""https://docs.google.com/spreadsheets/d/1q9nWasZJ-K8bFGvbE9n0qSRuKGA4Toe3Y89cKCiVtCU/edit?usp=sharing"",""สตูล!J464"")+IMPORTRANGE(""https://docs.google.com/sprea"&amp;"dsheets/d/18T20gbkS_WBjdscyTOV05cvq_JqvqQ17C81mpxf7Ncs/edit?usp=sharing"",""สุราษฎร์ธานี!J464"")"),0)</f>
        <v>0</v>
      </c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152">
        <f ca="1">IFERROR(__xludf.DUMMYFUNCTION("IMPORTRANGE(""https://docs.google.com/spreadsheets/d/1kKUcYdkIfrgTSj8iHHHB2MD2FAtwyyocFgqGQn6ADyI/edit?usp=sharing"",""กระบี่!J465"")+IMPORTRANGE(""https://docs.google.com/spreadsheets/d/1GwtLaSlNZkLk7iDqcyZz22giiy40b_usZZBXYciEN1U/edit?usp=sharing"",""ชุ"&amp;"มพร!J465"")+IMPORTRANGE(""https://docs.google.com/spreadsheets/d/16pAz3pOhQEZBhvFNMa5KGgZS6iKWpsKX0pg6tQmwFpo/edit?usp=sharing"",""ตรัง!J465"")+IMPORTRANGE(""https://docs.google.com/spreadsheets/d/1Dj4jcHCTV9JXKCaMoheSXS52JE63kDKyG7bPXnFogHk/edit?usp=shar"&amp;"ing"",""นครศรีธรรมราช!J465"")+IMPORTRANGE(""https://docs.google.com/spreadsheets/d/1iodCdmuK2GR3jzUwk8tpccY2JHQQA-87DLOtJP-ooyU/edit?usp=sharing"",""นราธิวาส!J465"")+IMPORTRANGE(""https://docs.google.com/spreadsheets/d/1SDNX3JhDdYRuIOsj0Wh2M-Qa_eaXl0NbWmh"&amp;"AOTbfQAs/edit?usp=sharing"",""ปัตตานี!J465"")+IMPORTRANGE(""https://docs.google.com/spreadsheets/d/16JDLGguT8s5DsGCND1KcwHP_AWR_zDMTqLHPLJUKhaU/edit?usp=sharing"",""พังงา!J465"")+IMPORTRANGE(""https://docs.google.com/spreadsheets/d/17ht0gPKzzT3PObBL1XJkeR"&amp;"mntBXI7wGjpLV7QorqlTk/edit?usp=sharing"",""พัทลุง!J465"")+IMPORTRANGE(""https://docs.google.com/spreadsheets/d/1rd4qoM1q_hsgaolqNGfrim9gbsoLxQsda4-vOz5x_BM/edit?usp=sharing"",""ภูเก็ต!J465"")+IMPORTRANGE(""https://docs.google.com/spreadsheets/d/1woKwKjgoL"&amp;"ssDvPcPeVyezB5izizAn4X1JDrys69n6xI/edit?usp=sharing"",""ยะลา!J465"")+IMPORTRANGE(""https://docs.google.com/spreadsheets/d/1qfrKjzMhm2HJfxQ-qVlJlJQ25Hne1d0khsySbZyGtPA/edit?usp=sharing"",""ระนอง!J465"")+IMPORTRANGE(""https://docs.google.com/spreadsheets/d/"&amp;"1IbSCnFOKpZsnFogBHJnL_isstZVaOMnFiIN0fGTPZZw/edit?usp=sharing"",""สงขลา!J465"")+IMPORTRANGE(""https://docs.google.com/spreadsheets/d/1q9nWasZJ-K8bFGvbE9n0qSRuKGA4Toe3Y89cKCiVtCU/edit?usp=sharing"",""สตูล!J465"")+IMPORTRANGE(""https://docs.google.com/sprea"&amp;"dsheets/d/18T20gbkS_WBjdscyTOV05cvq_JqvqQ17C81mpxf7Ncs/edit?usp=sharing"",""สุราษฎร์ธานี!J465"")"),0)</f>
        <v>0</v>
      </c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152">
        <f ca="1">IFERROR(__xludf.DUMMYFUNCTION("IMPORTRANGE(""https://docs.google.com/spreadsheets/d/1kKUcYdkIfrgTSj8iHHHB2MD2FAtwyyocFgqGQn6ADyI/edit?usp=sharing"",""กระบี่!J466"")+IMPORTRANGE(""https://docs.google.com/spreadsheets/d/1GwtLaSlNZkLk7iDqcyZz22giiy40b_usZZBXYciEN1U/edit?usp=sharing"",""ชุ"&amp;"มพร!J466"")+IMPORTRANGE(""https://docs.google.com/spreadsheets/d/16pAz3pOhQEZBhvFNMa5KGgZS6iKWpsKX0pg6tQmwFpo/edit?usp=sharing"",""ตรัง!J466"")+IMPORTRANGE(""https://docs.google.com/spreadsheets/d/1Dj4jcHCTV9JXKCaMoheSXS52JE63kDKyG7bPXnFogHk/edit?usp=shar"&amp;"ing"",""นครศรีธรรมราช!J466"")+IMPORTRANGE(""https://docs.google.com/spreadsheets/d/1iodCdmuK2GR3jzUwk8tpccY2JHQQA-87DLOtJP-ooyU/edit?usp=sharing"",""นราธิวาส!J466"")+IMPORTRANGE(""https://docs.google.com/spreadsheets/d/1SDNX3JhDdYRuIOsj0Wh2M-Qa_eaXl0NbWmh"&amp;"AOTbfQAs/edit?usp=sharing"",""ปัตตานี!J466"")+IMPORTRANGE(""https://docs.google.com/spreadsheets/d/16JDLGguT8s5DsGCND1KcwHP_AWR_zDMTqLHPLJUKhaU/edit?usp=sharing"",""พังงา!J466"")+IMPORTRANGE(""https://docs.google.com/spreadsheets/d/17ht0gPKzzT3PObBL1XJkeR"&amp;"mntBXI7wGjpLV7QorqlTk/edit?usp=sharing"",""พัทลุง!J466"")+IMPORTRANGE(""https://docs.google.com/spreadsheets/d/1rd4qoM1q_hsgaolqNGfrim9gbsoLxQsda4-vOz5x_BM/edit?usp=sharing"",""ภูเก็ต!J466"")+IMPORTRANGE(""https://docs.google.com/spreadsheets/d/1woKwKjgoL"&amp;"ssDvPcPeVyezB5izizAn4X1JDrys69n6xI/edit?usp=sharing"",""ยะลา!J466"")+IMPORTRANGE(""https://docs.google.com/spreadsheets/d/1qfrKjzMhm2HJfxQ-qVlJlJQ25Hne1d0khsySbZyGtPA/edit?usp=sharing"",""ระนอง!J466"")+IMPORTRANGE(""https://docs.google.com/spreadsheets/d/"&amp;"1IbSCnFOKpZsnFogBHJnL_isstZVaOMnFiIN0fGTPZZw/edit?usp=sharing"",""สงขลา!J466"")+IMPORTRANGE(""https://docs.google.com/spreadsheets/d/1q9nWasZJ-K8bFGvbE9n0qSRuKGA4Toe3Y89cKCiVtCU/edit?usp=sharing"",""สตูล!J466"")+IMPORTRANGE(""https://docs.google.com/sprea"&amp;"dsheets/d/18T20gbkS_WBjdscyTOV05cvq_JqvqQ17C81mpxf7Ncs/edit?usp=sharing"",""สุราษฎร์ธานี!J466"")"),0)</f>
        <v>0</v>
      </c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152">
        <f t="shared" ref="J467:J468" ca="1" si="339">J469+J471</f>
        <v>0</v>
      </c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152">
        <f t="shared" ca="1" si="339"/>
        <v>0</v>
      </c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152">
        <f ca="1">IFERROR(__xludf.DUMMYFUNCTION("IMPORTRANGE(""https://docs.google.com/spreadsheets/d/1kKUcYdkIfrgTSj8iHHHB2MD2FAtwyyocFgqGQn6ADyI/edit?usp=sharing"",""กระบี่!J469"")+IMPORTRANGE(""https://docs.google.com/spreadsheets/d/1GwtLaSlNZkLk7iDqcyZz22giiy40b_usZZBXYciEN1U/edit?usp=sharing"",""ชุ"&amp;"มพร!J469"")+IMPORTRANGE(""https://docs.google.com/spreadsheets/d/16pAz3pOhQEZBhvFNMa5KGgZS6iKWpsKX0pg6tQmwFpo/edit?usp=sharing"",""ตรัง!J469"")+IMPORTRANGE(""https://docs.google.com/spreadsheets/d/1Dj4jcHCTV9JXKCaMoheSXS52JE63kDKyG7bPXnFogHk/edit?usp=shar"&amp;"ing"",""นครศรีธรรมราช!J469"")+IMPORTRANGE(""https://docs.google.com/spreadsheets/d/1iodCdmuK2GR3jzUwk8tpccY2JHQQA-87DLOtJP-ooyU/edit?usp=sharing"",""นราธิวาส!J469"")+IMPORTRANGE(""https://docs.google.com/spreadsheets/d/1SDNX3JhDdYRuIOsj0Wh2M-Qa_eaXl0NbWmh"&amp;"AOTbfQAs/edit?usp=sharing"",""ปัตตานี!J469"")+IMPORTRANGE(""https://docs.google.com/spreadsheets/d/16JDLGguT8s5DsGCND1KcwHP_AWR_zDMTqLHPLJUKhaU/edit?usp=sharing"",""พังงา!J469"")+IMPORTRANGE(""https://docs.google.com/spreadsheets/d/17ht0gPKzzT3PObBL1XJkeR"&amp;"mntBXI7wGjpLV7QorqlTk/edit?usp=sharing"",""พัทลุง!J469"")+IMPORTRANGE(""https://docs.google.com/spreadsheets/d/1rd4qoM1q_hsgaolqNGfrim9gbsoLxQsda4-vOz5x_BM/edit?usp=sharing"",""ภูเก็ต!J469"")+IMPORTRANGE(""https://docs.google.com/spreadsheets/d/1woKwKjgoL"&amp;"ssDvPcPeVyezB5izizAn4X1JDrys69n6xI/edit?usp=sharing"",""ยะลา!J469"")+IMPORTRANGE(""https://docs.google.com/spreadsheets/d/1qfrKjzMhm2HJfxQ-qVlJlJQ25Hne1d0khsySbZyGtPA/edit?usp=sharing"",""ระนอง!J469"")+IMPORTRANGE(""https://docs.google.com/spreadsheets/d/"&amp;"1IbSCnFOKpZsnFogBHJnL_isstZVaOMnFiIN0fGTPZZw/edit?usp=sharing"",""สงขลา!J469"")+IMPORTRANGE(""https://docs.google.com/spreadsheets/d/1q9nWasZJ-K8bFGvbE9n0qSRuKGA4Toe3Y89cKCiVtCU/edit?usp=sharing"",""สตูล!J469"")+IMPORTRANGE(""https://docs.google.com/sprea"&amp;"dsheets/d/18T20gbkS_WBjdscyTOV05cvq_JqvqQ17C81mpxf7Ncs/edit?usp=sharing"",""สุราษฎร์ธานี!J469"")"),0)</f>
        <v>0</v>
      </c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152">
        <f ca="1">IFERROR(__xludf.DUMMYFUNCTION("IMPORTRANGE(""https://docs.google.com/spreadsheets/d/1kKUcYdkIfrgTSj8iHHHB2MD2FAtwyyocFgqGQn6ADyI/edit?usp=sharing"",""กระบี่!J470"")+IMPORTRANGE(""https://docs.google.com/spreadsheets/d/1GwtLaSlNZkLk7iDqcyZz22giiy40b_usZZBXYciEN1U/edit?usp=sharing"",""ชุ"&amp;"มพร!J470"")+IMPORTRANGE(""https://docs.google.com/spreadsheets/d/16pAz3pOhQEZBhvFNMa5KGgZS6iKWpsKX0pg6tQmwFpo/edit?usp=sharing"",""ตรัง!J470"")+IMPORTRANGE(""https://docs.google.com/spreadsheets/d/1Dj4jcHCTV9JXKCaMoheSXS52JE63kDKyG7bPXnFogHk/edit?usp=shar"&amp;"ing"",""นครศรีธรรมราช!J470"")+IMPORTRANGE(""https://docs.google.com/spreadsheets/d/1iodCdmuK2GR3jzUwk8tpccY2JHQQA-87DLOtJP-ooyU/edit?usp=sharing"",""นราธิวาส!J470"")+IMPORTRANGE(""https://docs.google.com/spreadsheets/d/1SDNX3JhDdYRuIOsj0Wh2M-Qa_eaXl0NbWmh"&amp;"AOTbfQAs/edit?usp=sharing"",""ปัตตานี!J470"")+IMPORTRANGE(""https://docs.google.com/spreadsheets/d/16JDLGguT8s5DsGCND1KcwHP_AWR_zDMTqLHPLJUKhaU/edit?usp=sharing"",""พังงา!J470"")+IMPORTRANGE(""https://docs.google.com/spreadsheets/d/17ht0gPKzzT3PObBL1XJkeR"&amp;"mntBXI7wGjpLV7QorqlTk/edit?usp=sharing"",""พัทลุง!J470"")+IMPORTRANGE(""https://docs.google.com/spreadsheets/d/1rd4qoM1q_hsgaolqNGfrim9gbsoLxQsda4-vOz5x_BM/edit?usp=sharing"",""ภูเก็ต!J470"")+IMPORTRANGE(""https://docs.google.com/spreadsheets/d/1woKwKjgoL"&amp;"ssDvPcPeVyezB5izizAn4X1JDrys69n6xI/edit?usp=sharing"",""ยะลา!J470"")+IMPORTRANGE(""https://docs.google.com/spreadsheets/d/1qfrKjzMhm2HJfxQ-qVlJlJQ25Hne1d0khsySbZyGtPA/edit?usp=sharing"",""ระนอง!J470"")+IMPORTRANGE(""https://docs.google.com/spreadsheets/d/"&amp;"1IbSCnFOKpZsnFogBHJnL_isstZVaOMnFiIN0fGTPZZw/edit?usp=sharing"",""สงขลา!J470"")+IMPORTRANGE(""https://docs.google.com/spreadsheets/d/1q9nWasZJ-K8bFGvbE9n0qSRuKGA4Toe3Y89cKCiVtCU/edit?usp=sharing"",""สตูล!J470"")+IMPORTRANGE(""https://docs.google.com/sprea"&amp;"dsheets/d/18T20gbkS_WBjdscyTOV05cvq_JqvqQ17C81mpxf7Ncs/edit?usp=sharing"",""สุราษฎร์ธานี!J470"")"),0)</f>
        <v>0</v>
      </c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152">
        <f ca="1">IFERROR(__xludf.DUMMYFUNCTION("IMPORTRANGE(""https://docs.google.com/spreadsheets/d/1kKUcYdkIfrgTSj8iHHHB2MD2FAtwyyocFgqGQn6ADyI/edit?usp=sharing"",""กระบี่!J471"")+IMPORTRANGE(""https://docs.google.com/spreadsheets/d/1GwtLaSlNZkLk7iDqcyZz22giiy40b_usZZBXYciEN1U/edit?usp=sharing"",""ชุ"&amp;"มพร!J471"")+IMPORTRANGE(""https://docs.google.com/spreadsheets/d/16pAz3pOhQEZBhvFNMa5KGgZS6iKWpsKX0pg6tQmwFpo/edit?usp=sharing"",""ตรัง!J471"")+IMPORTRANGE(""https://docs.google.com/spreadsheets/d/1Dj4jcHCTV9JXKCaMoheSXS52JE63kDKyG7bPXnFogHk/edit?usp=shar"&amp;"ing"",""นครศรีธรรมราช!J471"")+IMPORTRANGE(""https://docs.google.com/spreadsheets/d/1iodCdmuK2GR3jzUwk8tpccY2JHQQA-87DLOtJP-ooyU/edit?usp=sharing"",""นราธิวาส!J471"")+IMPORTRANGE(""https://docs.google.com/spreadsheets/d/1SDNX3JhDdYRuIOsj0Wh2M-Qa_eaXl0NbWmh"&amp;"AOTbfQAs/edit?usp=sharing"",""ปัตตานี!J471"")+IMPORTRANGE(""https://docs.google.com/spreadsheets/d/16JDLGguT8s5DsGCND1KcwHP_AWR_zDMTqLHPLJUKhaU/edit?usp=sharing"",""พังงา!J471"")+IMPORTRANGE(""https://docs.google.com/spreadsheets/d/17ht0gPKzzT3PObBL1XJkeR"&amp;"mntBXI7wGjpLV7QorqlTk/edit?usp=sharing"",""พัทลุง!J471"")+IMPORTRANGE(""https://docs.google.com/spreadsheets/d/1rd4qoM1q_hsgaolqNGfrim9gbsoLxQsda4-vOz5x_BM/edit?usp=sharing"",""ภูเก็ต!J471"")+IMPORTRANGE(""https://docs.google.com/spreadsheets/d/1woKwKjgoL"&amp;"ssDvPcPeVyezB5izizAn4X1JDrys69n6xI/edit?usp=sharing"",""ยะลา!J471"")+IMPORTRANGE(""https://docs.google.com/spreadsheets/d/1qfrKjzMhm2HJfxQ-qVlJlJQ25Hne1d0khsySbZyGtPA/edit?usp=sharing"",""ระนอง!J471"")+IMPORTRANGE(""https://docs.google.com/spreadsheets/d/"&amp;"1IbSCnFOKpZsnFogBHJnL_isstZVaOMnFiIN0fGTPZZw/edit?usp=sharing"",""สงขลา!J471"")+IMPORTRANGE(""https://docs.google.com/spreadsheets/d/1q9nWasZJ-K8bFGvbE9n0qSRuKGA4Toe3Y89cKCiVtCU/edit?usp=sharing"",""สตูล!J471"")+IMPORTRANGE(""https://docs.google.com/sprea"&amp;"dsheets/d/18T20gbkS_WBjdscyTOV05cvq_JqvqQ17C81mpxf7Ncs/edit?usp=sharing"",""สุราษฎร์ธานี!J471"")"),0)</f>
        <v>0</v>
      </c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152">
        <f ca="1">IFERROR(__xludf.DUMMYFUNCTION("IMPORTRANGE(""https://docs.google.com/spreadsheets/d/1kKUcYdkIfrgTSj8iHHHB2MD2FAtwyyocFgqGQn6ADyI/edit?usp=sharing"",""กระบี่!J472"")+IMPORTRANGE(""https://docs.google.com/spreadsheets/d/1GwtLaSlNZkLk7iDqcyZz22giiy40b_usZZBXYciEN1U/edit?usp=sharing"",""ชุ"&amp;"มพร!J472"")+IMPORTRANGE(""https://docs.google.com/spreadsheets/d/16pAz3pOhQEZBhvFNMa5KGgZS6iKWpsKX0pg6tQmwFpo/edit?usp=sharing"",""ตรัง!J472"")+IMPORTRANGE(""https://docs.google.com/spreadsheets/d/1Dj4jcHCTV9JXKCaMoheSXS52JE63kDKyG7bPXnFogHk/edit?usp=shar"&amp;"ing"",""นครศรีธรรมราช!J472"")+IMPORTRANGE(""https://docs.google.com/spreadsheets/d/1iodCdmuK2GR3jzUwk8tpccY2JHQQA-87DLOtJP-ooyU/edit?usp=sharing"",""นราธิวาส!J472"")+IMPORTRANGE(""https://docs.google.com/spreadsheets/d/1SDNX3JhDdYRuIOsj0Wh2M-Qa_eaXl0NbWmh"&amp;"AOTbfQAs/edit?usp=sharing"",""ปัตตานี!J472"")+IMPORTRANGE(""https://docs.google.com/spreadsheets/d/16JDLGguT8s5DsGCND1KcwHP_AWR_zDMTqLHPLJUKhaU/edit?usp=sharing"",""พังงา!J472"")+IMPORTRANGE(""https://docs.google.com/spreadsheets/d/17ht0gPKzzT3PObBL1XJkeR"&amp;"mntBXI7wGjpLV7QorqlTk/edit?usp=sharing"",""พัทลุง!J472"")+IMPORTRANGE(""https://docs.google.com/spreadsheets/d/1rd4qoM1q_hsgaolqNGfrim9gbsoLxQsda4-vOz5x_BM/edit?usp=sharing"",""ภูเก็ต!J472"")+IMPORTRANGE(""https://docs.google.com/spreadsheets/d/1woKwKjgoL"&amp;"ssDvPcPeVyezB5izizAn4X1JDrys69n6xI/edit?usp=sharing"",""ยะลา!J472"")+IMPORTRANGE(""https://docs.google.com/spreadsheets/d/1qfrKjzMhm2HJfxQ-qVlJlJQ25Hne1d0khsySbZyGtPA/edit?usp=sharing"",""ระนอง!J472"")+IMPORTRANGE(""https://docs.google.com/spreadsheets/d/"&amp;"1IbSCnFOKpZsnFogBHJnL_isstZVaOMnFiIN0fGTPZZw/edit?usp=sharing"",""สงขลา!J472"")+IMPORTRANGE(""https://docs.google.com/spreadsheets/d/1q9nWasZJ-K8bFGvbE9n0qSRuKGA4Toe3Y89cKCiVtCU/edit?usp=sharing"",""สตูล!J472"")+IMPORTRANGE(""https://docs.google.com/sprea"&amp;"dsheets/d/18T20gbkS_WBjdscyTOV05cvq_JqvqQ17C81mpxf7Ncs/edit?usp=sharing"",""สุราษฎร์ธานี!J472"")"),0)</f>
        <v>0</v>
      </c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152">
        <f ca="1">IFERROR(__xludf.DUMMYFUNCTION("IMPORTRANGE(""https://docs.google.com/spreadsheets/d/1kKUcYdkIfrgTSj8iHHHB2MD2FAtwyyocFgqGQn6ADyI/edit?usp=sharing"",""กระบี่!J473"")+IMPORTRANGE(""https://docs.google.com/spreadsheets/d/1GwtLaSlNZkLk7iDqcyZz22giiy40b_usZZBXYciEN1U/edit?usp=sharing"",""ชุ"&amp;"มพร!J473"")+IMPORTRANGE(""https://docs.google.com/spreadsheets/d/16pAz3pOhQEZBhvFNMa5KGgZS6iKWpsKX0pg6tQmwFpo/edit?usp=sharing"",""ตรัง!J473"")+IMPORTRANGE(""https://docs.google.com/spreadsheets/d/1Dj4jcHCTV9JXKCaMoheSXS52JE63kDKyG7bPXnFogHk/edit?usp=shar"&amp;"ing"",""นครศรีธรรมราช!J473"")+IMPORTRANGE(""https://docs.google.com/spreadsheets/d/1iodCdmuK2GR3jzUwk8tpccY2JHQQA-87DLOtJP-ooyU/edit?usp=sharing"",""นราธิวาส!J473"")+IMPORTRANGE(""https://docs.google.com/spreadsheets/d/1SDNX3JhDdYRuIOsj0Wh2M-Qa_eaXl0NbWmh"&amp;"AOTbfQAs/edit?usp=sharing"",""ปัตตานี!J473"")+IMPORTRANGE(""https://docs.google.com/spreadsheets/d/16JDLGguT8s5DsGCND1KcwHP_AWR_zDMTqLHPLJUKhaU/edit?usp=sharing"",""พังงา!J473"")+IMPORTRANGE(""https://docs.google.com/spreadsheets/d/17ht0gPKzzT3PObBL1XJkeR"&amp;"mntBXI7wGjpLV7QorqlTk/edit?usp=sharing"",""พัทลุง!J473"")+IMPORTRANGE(""https://docs.google.com/spreadsheets/d/1rd4qoM1q_hsgaolqNGfrim9gbsoLxQsda4-vOz5x_BM/edit?usp=sharing"",""ภูเก็ต!J473"")+IMPORTRANGE(""https://docs.google.com/spreadsheets/d/1woKwKjgoL"&amp;"ssDvPcPeVyezB5izizAn4X1JDrys69n6xI/edit?usp=sharing"",""ยะลา!J473"")+IMPORTRANGE(""https://docs.google.com/spreadsheets/d/1qfrKjzMhm2HJfxQ-qVlJlJQ25Hne1d0khsySbZyGtPA/edit?usp=sharing"",""ระนอง!J473"")+IMPORTRANGE(""https://docs.google.com/spreadsheets/d/"&amp;"1IbSCnFOKpZsnFogBHJnL_isstZVaOMnFiIN0fGTPZZw/edit?usp=sharing"",""สงขลา!J473"")+IMPORTRANGE(""https://docs.google.com/spreadsheets/d/1q9nWasZJ-K8bFGvbE9n0qSRuKGA4Toe3Y89cKCiVtCU/edit?usp=sharing"",""สตูล!J473"")+IMPORTRANGE(""https://docs.google.com/sprea"&amp;"dsheets/d/18T20gbkS_WBjdscyTOV05cvq_JqvqQ17C81mpxf7Ncs/edit?usp=sharing"",""สุราษฎร์ธานี!J473"")"),0)</f>
        <v>0</v>
      </c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152">
        <f ca="1">IFERROR(__xludf.DUMMYFUNCTION("IMPORTRANGE(""https://docs.google.com/spreadsheets/d/1kKUcYdkIfrgTSj8iHHHB2MD2FAtwyyocFgqGQn6ADyI/edit?usp=sharing"",""กระบี่!J474"")+IMPORTRANGE(""https://docs.google.com/spreadsheets/d/1GwtLaSlNZkLk7iDqcyZz22giiy40b_usZZBXYciEN1U/edit?usp=sharing"",""ชุ"&amp;"มพร!J474"")+IMPORTRANGE(""https://docs.google.com/spreadsheets/d/16pAz3pOhQEZBhvFNMa5KGgZS6iKWpsKX0pg6tQmwFpo/edit?usp=sharing"",""ตรัง!J474"")+IMPORTRANGE(""https://docs.google.com/spreadsheets/d/1Dj4jcHCTV9JXKCaMoheSXS52JE63kDKyG7bPXnFogHk/edit?usp=shar"&amp;"ing"",""นครศรีธรรมราช!J474"")+IMPORTRANGE(""https://docs.google.com/spreadsheets/d/1iodCdmuK2GR3jzUwk8tpccY2JHQQA-87DLOtJP-ooyU/edit?usp=sharing"",""นราธิวาส!J474"")+IMPORTRANGE(""https://docs.google.com/spreadsheets/d/1SDNX3JhDdYRuIOsj0Wh2M-Qa_eaXl0NbWmh"&amp;"AOTbfQAs/edit?usp=sharing"",""ปัตตานี!J474"")+IMPORTRANGE(""https://docs.google.com/spreadsheets/d/16JDLGguT8s5DsGCND1KcwHP_AWR_zDMTqLHPLJUKhaU/edit?usp=sharing"",""พังงา!J474"")+IMPORTRANGE(""https://docs.google.com/spreadsheets/d/17ht0gPKzzT3PObBL1XJkeR"&amp;"mntBXI7wGjpLV7QorqlTk/edit?usp=sharing"",""พัทลุง!J474"")+IMPORTRANGE(""https://docs.google.com/spreadsheets/d/1rd4qoM1q_hsgaolqNGfrim9gbsoLxQsda4-vOz5x_BM/edit?usp=sharing"",""ภูเก็ต!J474"")+IMPORTRANGE(""https://docs.google.com/spreadsheets/d/1woKwKjgoL"&amp;"ssDvPcPeVyezB5izizAn4X1JDrys69n6xI/edit?usp=sharing"",""ยะลา!J474"")+IMPORTRANGE(""https://docs.google.com/spreadsheets/d/1qfrKjzMhm2HJfxQ-qVlJlJQ25Hne1d0khsySbZyGtPA/edit?usp=sharing"",""ระนอง!J474"")+IMPORTRANGE(""https://docs.google.com/spreadsheets/d/"&amp;"1IbSCnFOKpZsnFogBHJnL_isstZVaOMnFiIN0fGTPZZw/edit?usp=sharing"",""สงขลา!J474"")+IMPORTRANGE(""https://docs.google.com/spreadsheets/d/1q9nWasZJ-K8bFGvbE9n0qSRuKGA4Toe3Y89cKCiVtCU/edit?usp=sharing"",""สตูล!J474"")+IMPORTRANGE(""https://docs.google.com/sprea"&amp;"dsheets/d/18T20gbkS_WBjdscyTOV05cvq_JqvqQ17C81mpxf7Ncs/edit?usp=sharing"",""สุราษฎร์ธานี!J474"")"),0)</f>
        <v>0</v>
      </c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147">
        <f ca="1">J478+J480</f>
        <v>0</v>
      </c>
      <c r="K475" s="132">
        <f t="shared" ref="K475:K477" si="340">IF(I475&gt;0,J475*100/I475,0)</f>
        <v>0</v>
      </c>
      <c r="L475" s="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147">
        <f t="shared" ref="J476:J477" ca="1" si="341">J478+J480</f>
        <v>0</v>
      </c>
      <c r="K476" s="132">
        <f t="shared" si="340"/>
        <v>0</v>
      </c>
      <c r="L476" s="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147">
        <f t="shared" ca="1" si="341"/>
        <v>0</v>
      </c>
      <c r="K477" s="132">
        <f t="shared" si="340"/>
        <v>0</v>
      </c>
      <c r="L477" s="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152">
        <f ca="1">IFERROR(__xludf.DUMMYFUNCTION("IMPORTRANGE(""https://docs.google.com/spreadsheets/d/1kKUcYdkIfrgTSj8iHHHB2MD2FAtwyyocFgqGQn6ADyI/edit?usp=sharing"",""กระบี่!J478"")+IMPORTRANGE(""https://docs.google.com/spreadsheets/d/1GwtLaSlNZkLk7iDqcyZz22giiy40b_usZZBXYciEN1U/edit?usp=sharing"",""ชุ"&amp;"มพร!J478"")+IMPORTRANGE(""https://docs.google.com/spreadsheets/d/16pAz3pOhQEZBhvFNMa5KGgZS6iKWpsKX0pg6tQmwFpo/edit?usp=sharing"",""ตรัง!J478"")+IMPORTRANGE(""https://docs.google.com/spreadsheets/d/1Dj4jcHCTV9JXKCaMoheSXS52JE63kDKyG7bPXnFogHk/edit?usp=shar"&amp;"ing"",""นครศรีธรรมราช!J478"")+IMPORTRANGE(""https://docs.google.com/spreadsheets/d/1iodCdmuK2GR3jzUwk8tpccY2JHQQA-87DLOtJP-ooyU/edit?usp=sharing"",""นราธิวาส!J478"")+IMPORTRANGE(""https://docs.google.com/spreadsheets/d/1SDNX3JhDdYRuIOsj0Wh2M-Qa_eaXl0NbWmh"&amp;"AOTbfQAs/edit?usp=sharing"",""ปัตตานี!J478"")+IMPORTRANGE(""https://docs.google.com/spreadsheets/d/16JDLGguT8s5DsGCND1KcwHP_AWR_zDMTqLHPLJUKhaU/edit?usp=sharing"",""พังงา!J478"")+IMPORTRANGE(""https://docs.google.com/spreadsheets/d/17ht0gPKzzT3PObBL1XJkeR"&amp;"mntBXI7wGjpLV7QorqlTk/edit?usp=sharing"",""พัทลุง!J478"")+IMPORTRANGE(""https://docs.google.com/spreadsheets/d/1rd4qoM1q_hsgaolqNGfrim9gbsoLxQsda4-vOz5x_BM/edit?usp=sharing"",""ภูเก็ต!J478"")+IMPORTRANGE(""https://docs.google.com/spreadsheets/d/1woKwKjgoL"&amp;"ssDvPcPeVyezB5izizAn4X1JDrys69n6xI/edit?usp=sharing"",""ยะลา!J478"")+IMPORTRANGE(""https://docs.google.com/spreadsheets/d/1qfrKjzMhm2HJfxQ-qVlJlJQ25Hne1d0khsySbZyGtPA/edit?usp=sharing"",""ระนอง!J478"")+IMPORTRANGE(""https://docs.google.com/spreadsheets/d/"&amp;"1IbSCnFOKpZsnFogBHJnL_isstZVaOMnFiIN0fGTPZZw/edit?usp=sharing"",""สงขลา!J478"")+IMPORTRANGE(""https://docs.google.com/spreadsheets/d/1q9nWasZJ-K8bFGvbE9n0qSRuKGA4Toe3Y89cKCiVtCU/edit?usp=sharing"",""สตูล!J478"")+IMPORTRANGE(""https://docs.google.com/sprea"&amp;"dsheets/d/18T20gbkS_WBjdscyTOV05cvq_JqvqQ17C81mpxf7Ncs/edit?usp=sharing"",""สุราษฎร์ธานี!J478"")"),0)</f>
        <v>0</v>
      </c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152">
        <f ca="1">IFERROR(__xludf.DUMMYFUNCTION("IMPORTRANGE(""https://docs.google.com/spreadsheets/d/1kKUcYdkIfrgTSj8iHHHB2MD2FAtwyyocFgqGQn6ADyI/edit?usp=sharing"",""กระบี่!J479"")+IMPORTRANGE(""https://docs.google.com/spreadsheets/d/1GwtLaSlNZkLk7iDqcyZz22giiy40b_usZZBXYciEN1U/edit?usp=sharing"",""ชุ"&amp;"มพร!J479"")+IMPORTRANGE(""https://docs.google.com/spreadsheets/d/16pAz3pOhQEZBhvFNMa5KGgZS6iKWpsKX0pg6tQmwFpo/edit?usp=sharing"",""ตรัง!J479"")+IMPORTRANGE(""https://docs.google.com/spreadsheets/d/1Dj4jcHCTV9JXKCaMoheSXS52JE63kDKyG7bPXnFogHk/edit?usp=shar"&amp;"ing"",""นครศรีธรรมราช!J479"")+IMPORTRANGE(""https://docs.google.com/spreadsheets/d/1iodCdmuK2GR3jzUwk8tpccY2JHQQA-87DLOtJP-ooyU/edit?usp=sharing"",""นราธิวาส!J479"")+IMPORTRANGE(""https://docs.google.com/spreadsheets/d/1SDNX3JhDdYRuIOsj0Wh2M-Qa_eaXl0NbWmh"&amp;"AOTbfQAs/edit?usp=sharing"",""ปัตตานี!J479"")+IMPORTRANGE(""https://docs.google.com/spreadsheets/d/16JDLGguT8s5DsGCND1KcwHP_AWR_zDMTqLHPLJUKhaU/edit?usp=sharing"",""พังงา!J479"")+IMPORTRANGE(""https://docs.google.com/spreadsheets/d/17ht0gPKzzT3PObBL1XJkeR"&amp;"mntBXI7wGjpLV7QorqlTk/edit?usp=sharing"",""พัทลุง!J479"")+IMPORTRANGE(""https://docs.google.com/spreadsheets/d/1rd4qoM1q_hsgaolqNGfrim9gbsoLxQsda4-vOz5x_BM/edit?usp=sharing"",""ภูเก็ต!J479"")+IMPORTRANGE(""https://docs.google.com/spreadsheets/d/1woKwKjgoL"&amp;"ssDvPcPeVyezB5izizAn4X1JDrys69n6xI/edit?usp=sharing"",""ยะลา!J479"")+IMPORTRANGE(""https://docs.google.com/spreadsheets/d/1qfrKjzMhm2HJfxQ-qVlJlJQ25Hne1d0khsySbZyGtPA/edit?usp=sharing"",""ระนอง!J479"")+IMPORTRANGE(""https://docs.google.com/spreadsheets/d/"&amp;"1IbSCnFOKpZsnFogBHJnL_isstZVaOMnFiIN0fGTPZZw/edit?usp=sharing"",""สงขลา!J479"")+IMPORTRANGE(""https://docs.google.com/spreadsheets/d/1q9nWasZJ-K8bFGvbE9n0qSRuKGA4Toe3Y89cKCiVtCU/edit?usp=sharing"",""สตูล!J479"")+IMPORTRANGE(""https://docs.google.com/sprea"&amp;"dsheets/d/18T20gbkS_WBjdscyTOV05cvq_JqvqQ17C81mpxf7Ncs/edit?usp=sharing"",""สุราษฎร์ธานี!J479"")"),0)</f>
        <v>0</v>
      </c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152">
        <f ca="1">IFERROR(__xludf.DUMMYFUNCTION("IMPORTRANGE(""https://docs.google.com/spreadsheets/d/1kKUcYdkIfrgTSj8iHHHB2MD2FAtwyyocFgqGQn6ADyI/edit?usp=sharing"",""กระบี่!J480"")+IMPORTRANGE(""https://docs.google.com/spreadsheets/d/1GwtLaSlNZkLk7iDqcyZz22giiy40b_usZZBXYciEN1U/edit?usp=sharing"",""ชุ"&amp;"มพร!J480"")+IMPORTRANGE(""https://docs.google.com/spreadsheets/d/16pAz3pOhQEZBhvFNMa5KGgZS6iKWpsKX0pg6tQmwFpo/edit?usp=sharing"",""ตรัง!J480"")+IMPORTRANGE(""https://docs.google.com/spreadsheets/d/1Dj4jcHCTV9JXKCaMoheSXS52JE63kDKyG7bPXnFogHk/edit?usp=shar"&amp;"ing"",""นครศรีธรรมราช!J480"")+IMPORTRANGE(""https://docs.google.com/spreadsheets/d/1iodCdmuK2GR3jzUwk8tpccY2JHQQA-87DLOtJP-ooyU/edit?usp=sharing"",""นราธิวาส!J480"")+IMPORTRANGE(""https://docs.google.com/spreadsheets/d/1SDNX3JhDdYRuIOsj0Wh2M-Qa_eaXl0NbWmh"&amp;"AOTbfQAs/edit?usp=sharing"",""ปัตตานี!J480"")+IMPORTRANGE(""https://docs.google.com/spreadsheets/d/16JDLGguT8s5DsGCND1KcwHP_AWR_zDMTqLHPLJUKhaU/edit?usp=sharing"",""พังงา!J480"")+IMPORTRANGE(""https://docs.google.com/spreadsheets/d/17ht0gPKzzT3PObBL1XJkeR"&amp;"mntBXI7wGjpLV7QorqlTk/edit?usp=sharing"",""พัทลุง!J480"")+IMPORTRANGE(""https://docs.google.com/spreadsheets/d/1rd4qoM1q_hsgaolqNGfrim9gbsoLxQsda4-vOz5x_BM/edit?usp=sharing"",""ภูเก็ต!J480"")+IMPORTRANGE(""https://docs.google.com/spreadsheets/d/1woKwKjgoL"&amp;"ssDvPcPeVyezB5izizAn4X1JDrys69n6xI/edit?usp=sharing"",""ยะลา!J480"")+IMPORTRANGE(""https://docs.google.com/spreadsheets/d/1qfrKjzMhm2HJfxQ-qVlJlJQ25Hne1d0khsySbZyGtPA/edit?usp=sharing"",""ระนอง!J480"")+IMPORTRANGE(""https://docs.google.com/spreadsheets/d/"&amp;"1IbSCnFOKpZsnFogBHJnL_isstZVaOMnFiIN0fGTPZZw/edit?usp=sharing"",""สงขลา!J480"")+IMPORTRANGE(""https://docs.google.com/spreadsheets/d/1q9nWasZJ-K8bFGvbE9n0qSRuKGA4Toe3Y89cKCiVtCU/edit?usp=sharing"",""สตูล!J480"")+IMPORTRANGE(""https://docs.google.com/sprea"&amp;"dsheets/d/18T20gbkS_WBjdscyTOV05cvq_JqvqQ17C81mpxf7Ncs/edit?usp=sharing"",""สุราษฎร์ธานี!J480"")"),0)</f>
        <v>0</v>
      </c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152">
        <f ca="1">IFERROR(__xludf.DUMMYFUNCTION("IMPORTRANGE(""https://docs.google.com/spreadsheets/d/1kKUcYdkIfrgTSj8iHHHB2MD2FAtwyyocFgqGQn6ADyI/edit?usp=sharing"",""กระบี่!J481"")+IMPORTRANGE(""https://docs.google.com/spreadsheets/d/1GwtLaSlNZkLk7iDqcyZz22giiy40b_usZZBXYciEN1U/edit?usp=sharing"",""ชุ"&amp;"มพร!J481"")+IMPORTRANGE(""https://docs.google.com/spreadsheets/d/16pAz3pOhQEZBhvFNMa5KGgZS6iKWpsKX0pg6tQmwFpo/edit?usp=sharing"",""ตรัง!J481"")+IMPORTRANGE(""https://docs.google.com/spreadsheets/d/1Dj4jcHCTV9JXKCaMoheSXS52JE63kDKyG7bPXnFogHk/edit?usp=shar"&amp;"ing"",""นครศรีธรรมราช!J481"")+IMPORTRANGE(""https://docs.google.com/spreadsheets/d/1iodCdmuK2GR3jzUwk8tpccY2JHQQA-87DLOtJP-ooyU/edit?usp=sharing"",""นราธิวาส!J481"")+IMPORTRANGE(""https://docs.google.com/spreadsheets/d/1SDNX3JhDdYRuIOsj0Wh2M-Qa_eaXl0NbWmh"&amp;"AOTbfQAs/edit?usp=sharing"",""ปัตตานี!J481"")+IMPORTRANGE(""https://docs.google.com/spreadsheets/d/16JDLGguT8s5DsGCND1KcwHP_AWR_zDMTqLHPLJUKhaU/edit?usp=sharing"",""พังงา!J481"")+IMPORTRANGE(""https://docs.google.com/spreadsheets/d/17ht0gPKzzT3PObBL1XJkeR"&amp;"mntBXI7wGjpLV7QorqlTk/edit?usp=sharing"",""พัทลุง!J481"")+IMPORTRANGE(""https://docs.google.com/spreadsheets/d/1rd4qoM1q_hsgaolqNGfrim9gbsoLxQsda4-vOz5x_BM/edit?usp=sharing"",""ภูเก็ต!J481"")+IMPORTRANGE(""https://docs.google.com/spreadsheets/d/1woKwKjgoL"&amp;"ssDvPcPeVyezB5izizAn4X1JDrys69n6xI/edit?usp=sharing"",""ยะลา!J481"")+IMPORTRANGE(""https://docs.google.com/spreadsheets/d/1qfrKjzMhm2HJfxQ-qVlJlJQ25Hne1d0khsySbZyGtPA/edit?usp=sharing"",""ระนอง!J481"")+IMPORTRANGE(""https://docs.google.com/spreadsheets/d/"&amp;"1IbSCnFOKpZsnFogBHJnL_isstZVaOMnFiIN0fGTPZZw/edit?usp=sharing"",""สงขลา!J481"")+IMPORTRANGE(""https://docs.google.com/spreadsheets/d/1q9nWasZJ-K8bFGvbE9n0qSRuKGA4Toe3Y89cKCiVtCU/edit?usp=sharing"",""สตูล!J481"")+IMPORTRANGE(""https://docs.google.com/sprea"&amp;"dsheets/d/18T20gbkS_WBjdscyTOV05cvq_JqvqQ17C81mpxf7Ncs/edit?usp=sharing"",""สุราษฎร์ธานี!J481"")"),0)</f>
        <v>0</v>
      </c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152">
        <f ca="1">IFERROR(__xludf.DUMMYFUNCTION("IMPORTRANGE(""https://docs.google.com/spreadsheets/d/1kKUcYdkIfrgTSj8iHHHB2MD2FAtwyyocFgqGQn6ADyI/edit?usp=sharing"",""กระบี่!J482"")+IMPORTRANGE(""https://docs.google.com/spreadsheets/d/1GwtLaSlNZkLk7iDqcyZz22giiy40b_usZZBXYciEN1U/edit?usp=sharing"",""ชุ"&amp;"มพร!J482"")+IMPORTRANGE(""https://docs.google.com/spreadsheets/d/16pAz3pOhQEZBhvFNMa5KGgZS6iKWpsKX0pg6tQmwFpo/edit?usp=sharing"",""ตรัง!J482"")+IMPORTRANGE(""https://docs.google.com/spreadsheets/d/1Dj4jcHCTV9JXKCaMoheSXS52JE63kDKyG7bPXnFogHk/edit?usp=shar"&amp;"ing"",""นครศรีธรรมราช!J482"")+IMPORTRANGE(""https://docs.google.com/spreadsheets/d/1iodCdmuK2GR3jzUwk8tpccY2JHQQA-87DLOtJP-ooyU/edit?usp=sharing"",""นราธิวาส!J482"")+IMPORTRANGE(""https://docs.google.com/spreadsheets/d/1SDNX3JhDdYRuIOsj0Wh2M-Qa_eaXl0NbWmh"&amp;"AOTbfQAs/edit?usp=sharing"",""ปัตตานี!J482"")+IMPORTRANGE(""https://docs.google.com/spreadsheets/d/16JDLGguT8s5DsGCND1KcwHP_AWR_zDMTqLHPLJUKhaU/edit?usp=sharing"",""พังงา!J482"")+IMPORTRANGE(""https://docs.google.com/spreadsheets/d/17ht0gPKzzT3PObBL1XJkeR"&amp;"mntBXI7wGjpLV7QorqlTk/edit?usp=sharing"",""พัทลุง!J482"")+IMPORTRANGE(""https://docs.google.com/spreadsheets/d/1rd4qoM1q_hsgaolqNGfrim9gbsoLxQsda4-vOz5x_BM/edit?usp=sharing"",""ภูเก็ต!J482"")+IMPORTRANGE(""https://docs.google.com/spreadsheets/d/1woKwKjgoL"&amp;"ssDvPcPeVyezB5izizAn4X1JDrys69n6xI/edit?usp=sharing"",""ยะลา!J482"")+IMPORTRANGE(""https://docs.google.com/spreadsheets/d/1qfrKjzMhm2HJfxQ-qVlJlJQ25Hne1d0khsySbZyGtPA/edit?usp=sharing"",""ระนอง!J482"")+IMPORTRANGE(""https://docs.google.com/spreadsheets/d/"&amp;"1IbSCnFOKpZsnFogBHJnL_isstZVaOMnFiIN0fGTPZZw/edit?usp=sharing"",""สงขลา!J482"")+IMPORTRANGE(""https://docs.google.com/spreadsheets/d/1q9nWasZJ-K8bFGvbE9n0qSRuKGA4Toe3Y89cKCiVtCU/edit?usp=sharing"",""สตูล!J482"")+IMPORTRANGE(""https://docs.google.com/sprea"&amp;"dsheets/d/18T20gbkS_WBjdscyTOV05cvq_JqvqQ17C81mpxf7Ncs/edit?usp=sharing"",""สุราษฎร์ธานี!J482"")"),0)</f>
        <v>0</v>
      </c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152">
        <f ca="1">IFERROR(__xludf.DUMMYFUNCTION("IMPORTRANGE(""https://docs.google.com/spreadsheets/d/1kKUcYdkIfrgTSj8iHHHB2MD2FAtwyyocFgqGQn6ADyI/edit?usp=sharing"",""กระบี่!J483"")+IMPORTRANGE(""https://docs.google.com/spreadsheets/d/1GwtLaSlNZkLk7iDqcyZz22giiy40b_usZZBXYciEN1U/edit?usp=sharing"",""ชุ"&amp;"มพร!J483"")+IMPORTRANGE(""https://docs.google.com/spreadsheets/d/16pAz3pOhQEZBhvFNMa5KGgZS6iKWpsKX0pg6tQmwFpo/edit?usp=sharing"",""ตรัง!J483"")+IMPORTRANGE(""https://docs.google.com/spreadsheets/d/1Dj4jcHCTV9JXKCaMoheSXS52JE63kDKyG7bPXnFogHk/edit?usp=shar"&amp;"ing"",""นครศรีธรรมราช!J483"")+IMPORTRANGE(""https://docs.google.com/spreadsheets/d/1iodCdmuK2GR3jzUwk8tpccY2JHQQA-87DLOtJP-ooyU/edit?usp=sharing"",""นราธิวาส!J483"")+IMPORTRANGE(""https://docs.google.com/spreadsheets/d/1SDNX3JhDdYRuIOsj0Wh2M-Qa_eaXl0NbWmh"&amp;"AOTbfQAs/edit?usp=sharing"",""ปัตตานี!J483"")+IMPORTRANGE(""https://docs.google.com/spreadsheets/d/16JDLGguT8s5DsGCND1KcwHP_AWR_zDMTqLHPLJUKhaU/edit?usp=sharing"",""พังงา!J483"")+IMPORTRANGE(""https://docs.google.com/spreadsheets/d/17ht0gPKzzT3PObBL1XJkeR"&amp;"mntBXI7wGjpLV7QorqlTk/edit?usp=sharing"",""พัทลุง!J483"")+IMPORTRANGE(""https://docs.google.com/spreadsheets/d/1rd4qoM1q_hsgaolqNGfrim9gbsoLxQsda4-vOz5x_BM/edit?usp=sharing"",""ภูเก็ต!J483"")+IMPORTRANGE(""https://docs.google.com/spreadsheets/d/1woKwKjgoL"&amp;"ssDvPcPeVyezB5izizAn4X1JDrys69n6xI/edit?usp=sharing"",""ยะลา!J483"")+IMPORTRANGE(""https://docs.google.com/spreadsheets/d/1qfrKjzMhm2HJfxQ-qVlJlJQ25Hne1d0khsySbZyGtPA/edit?usp=sharing"",""ระนอง!J483"")+IMPORTRANGE(""https://docs.google.com/spreadsheets/d/"&amp;"1IbSCnFOKpZsnFogBHJnL_isstZVaOMnFiIN0fGTPZZw/edit?usp=sharing"",""สงขลา!J483"")+IMPORTRANGE(""https://docs.google.com/spreadsheets/d/1q9nWasZJ-K8bFGvbE9n0qSRuKGA4Toe3Y89cKCiVtCU/edit?usp=sharing"",""สตูล!J483"")+IMPORTRANGE(""https://docs.google.com/sprea"&amp;"dsheets/d/18T20gbkS_WBjdscyTOV05cvq_JqvqQ17C81mpxf7Ncs/edit?usp=sharing"",""สุราษฎร์ธานี!J483"")"),0)</f>
        <v>0</v>
      </c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152">
        <f t="shared" ref="I484:I485" ca="1" si="342">J480</f>
        <v>0</v>
      </c>
      <c r="J484" s="147">
        <f t="shared" ref="J484:J485" ca="1" si="343">J486+J488+J490</f>
        <v>0</v>
      </c>
      <c r="K484" s="132">
        <f t="shared" ref="K484:K485" ca="1" si="344">IF(I484&gt;0,J484*100/I484,0)</f>
        <v>0</v>
      </c>
      <c r="L484" s="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152">
        <f t="shared" ca="1" si="342"/>
        <v>0</v>
      </c>
      <c r="J485" s="147">
        <f t="shared" ca="1" si="343"/>
        <v>0</v>
      </c>
      <c r="K485" s="132">
        <f t="shared" ca="1" si="344"/>
        <v>0</v>
      </c>
      <c r="L485" s="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152">
        <f ca="1">IFERROR(__xludf.DUMMYFUNCTION("IMPORTRANGE(""https://docs.google.com/spreadsheets/d/1kKUcYdkIfrgTSj8iHHHB2MD2FAtwyyocFgqGQn6ADyI/edit?usp=sharing"",""กระบี่!J486"")+IMPORTRANGE(""https://docs.google.com/spreadsheets/d/1GwtLaSlNZkLk7iDqcyZz22giiy40b_usZZBXYciEN1U/edit?usp=sharing"",""ชุ"&amp;"มพร!J486"")+IMPORTRANGE(""https://docs.google.com/spreadsheets/d/16pAz3pOhQEZBhvFNMa5KGgZS6iKWpsKX0pg6tQmwFpo/edit?usp=sharing"",""ตรัง!J486"")+IMPORTRANGE(""https://docs.google.com/spreadsheets/d/1Dj4jcHCTV9JXKCaMoheSXS52JE63kDKyG7bPXnFogHk/edit?usp=shar"&amp;"ing"",""นครศรีธรรมราช!J486"")+IMPORTRANGE(""https://docs.google.com/spreadsheets/d/1iodCdmuK2GR3jzUwk8tpccY2JHQQA-87DLOtJP-ooyU/edit?usp=sharing"",""นราธิวาส!J486"")+IMPORTRANGE(""https://docs.google.com/spreadsheets/d/1SDNX3JhDdYRuIOsj0Wh2M-Qa_eaXl0NbWmh"&amp;"AOTbfQAs/edit?usp=sharing"",""ปัตตานี!J486"")+IMPORTRANGE(""https://docs.google.com/spreadsheets/d/16JDLGguT8s5DsGCND1KcwHP_AWR_zDMTqLHPLJUKhaU/edit?usp=sharing"",""พังงา!J486"")+IMPORTRANGE(""https://docs.google.com/spreadsheets/d/17ht0gPKzzT3PObBL1XJkeR"&amp;"mntBXI7wGjpLV7QorqlTk/edit?usp=sharing"",""พัทลุง!J486"")+IMPORTRANGE(""https://docs.google.com/spreadsheets/d/1rd4qoM1q_hsgaolqNGfrim9gbsoLxQsda4-vOz5x_BM/edit?usp=sharing"",""ภูเก็ต!J486"")+IMPORTRANGE(""https://docs.google.com/spreadsheets/d/1woKwKjgoL"&amp;"ssDvPcPeVyezB5izizAn4X1JDrys69n6xI/edit?usp=sharing"",""ยะลา!J486"")+IMPORTRANGE(""https://docs.google.com/spreadsheets/d/1qfrKjzMhm2HJfxQ-qVlJlJQ25Hne1d0khsySbZyGtPA/edit?usp=sharing"",""ระนอง!J486"")+IMPORTRANGE(""https://docs.google.com/spreadsheets/d/"&amp;"1IbSCnFOKpZsnFogBHJnL_isstZVaOMnFiIN0fGTPZZw/edit?usp=sharing"",""สงขลา!J486"")+IMPORTRANGE(""https://docs.google.com/spreadsheets/d/1q9nWasZJ-K8bFGvbE9n0qSRuKGA4Toe3Y89cKCiVtCU/edit?usp=sharing"",""สตูล!J486"")+IMPORTRANGE(""https://docs.google.com/sprea"&amp;"dsheets/d/18T20gbkS_WBjdscyTOV05cvq_JqvqQ17C81mpxf7Ncs/edit?usp=sharing"",""สุราษฎร์ธานี!J486"")"),0)</f>
        <v>0</v>
      </c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152">
        <f ca="1">IFERROR(__xludf.DUMMYFUNCTION("IMPORTRANGE(""https://docs.google.com/spreadsheets/d/1kKUcYdkIfrgTSj8iHHHB2MD2FAtwyyocFgqGQn6ADyI/edit?usp=sharing"",""กระบี่!J487"")+IMPORTRANGE(""https://docs.google.com/spreadsheets/d/1GwtLaSlNZkLk7iDqcyZz22giiy40b_usZZBXYciEN1U/edit?usp=sharing"",""ชุ"&amp;"มพร!J487"")+IMPORTRANGE(""https://docs.google.com/spreadsheets/d/16pAz3pOhQEZBhvFNMa5KGgZS6iKWpsKX0pg6tQmwFpo/edit?usp=sharing"",""ตรัง!J487"")+IMPORTRANGE(""https://docs.google.com/spreadsheets/d/1Dj4jcHCTV9JXKCaMoheSXS52JE63kDKyG7bPXnFogHk/edit?usp=shar"&amp;"ing"",""นครศรีธรรมราช!J487"")+IMPORTRANGE(""https://docs.google.com/spreadsheets/d/1iodCdmuK2GR3jzUwk8tpccY2JHQQA-87DLOtJP-ooyU/edit?usp=sharing"",""นราธิวาส!J487"")+IMPORTRANGE(""https://docs.google.com/spreadsheets/d/1SDNX3JhDdYRuIOsj0Wh2M-Qa_eaXl0NbWmh"&amp;"AOTbfQAs/edit?usp=sharing"",""ปัตตานี!J487"")+IMPORTRANGE(""https://docs.google.com/spreadsheets/d/16JDLGguT8s5DsGCND1KcwHP_AWR_zDMTqLHPLJUKhaU/edit?usp=sharing"",""พังงา!J487"")+IMPORTRANGE(""https://docs.google.com/spreadsheets/d/17ht0gPKzzT3PObBL1XJkeR"&amp;"mntBXI7wGjpLV7QorqlTk/edit?usp=sharing"",""พัทลุง!J487"")+IMPORTRANGE(""https://docs.google.com/spreadsheets/d/1rd4qoM1q_hsgaolqNGfrim9gbsoLxQsda4-vOz5x_BM/edit?usp=sharing"",""ภูเก็ต!J487"")+IMPORTRANGE(""https://docs.google.com/spreadsheets/d/1woKwKjgoL"&amp;"ssDvPcPeVyezB5izizAn4X1JDrys69n6xI/edit?usp=sharing"",""ยะลา!J487"")+IMPORTRANGE(""https://docs.google.com/spreadsheets/d/1qfrKjzMhm2HJfxQ-qVlJlJQ25Hne1d0khsySbZyGtPA/edit?usp=sharing"",""ระนอง!J487"")+IMPORTRANGE(""https://docs.google.com/spreadsheets/d/"&amp;"1IbSCnFOKpZsnFogBHJnL_isstZVaOMnFiIN0fGTPZZw/edit?usp=sharing"",""สงขลา!J487"")+IMPORTRANGE(""https://docs.google.com/spreadsheets/d/1q9nWasZJ-K8bFGvbE9n0qSRuKGA4Toe3Y89cKCiVtCU/edit?usp=sharing"",""สตูล!J487"")+IMPORTRANGE(""https://docs.google.com/sprea"&amp;"dsheets/d/18T20gbkS_WBjdscyTOV05cvq_JqvqQ17C81mpxf7Ncs/edit?usp=sharing"",""สุราษฎร์ธานี!J487"")"),0)</f>
        <v>0</v>
      </c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152">
        <f ca="1">IFERROR(__xludf.DUMMYFUNCTION("IMPORTRANGE(""https://docs.google.com/spreadsheets/d/1kKUcYdkIfrgTSj8iHHHB2MD2FAtwyyocFgqGQn6ADyI/edit?usp=sharing"",""กระบี่!J488"")+IMPORTRANGE(""https://docs.google.com/spreadsheets/d/1GwtLaSlNZkLk7iDqcyZz22giiy40b_usZZBXYciEN1U/edit?usp=sharing"",""ชุ"&amp;"มพร!J488"")+IMPORTRANGE(""https://docs.google.com/spreadsheets/d/16pAz3pOhQEZBhvFNMa5KGgZS6iKWpsKX0pg6tQmwFpo/edit?usp=sharing"",""ตรัง!J488"")+IMPORTRANGE(""https://docs.google.com/spreadsheets/d/1Dj4jcHCTV9JXKCaMoheSXS52JE63kDKyG7bPXnFogHk/edit?usp=shar"&amp;"ing"",""นครศรีธรรมราช!J488"")+IMPORTRANGE(""https://docs.google.com/spreadsheets/d/1iodCdmuK2GR3jzUwk8tpccY2JHQQA-87DLOtJP-ooyU/edit?usp=sharing"",""นราธิวาส!J488"")+IMPORTRANGE(""https://docs.google.com/spreadsheets/d/1SDNX3JhDdYRuIOsj0Wh2M-Qa_eaXl0NbWmh"&amp;"AOTbfQAs/edit?usp=sharing"",""ปัตตานี!J488"")+IMPORTRANGE(""https://docs.google.com/spreadsheets/d/16JDLGguT8s5DsGCND1KcwHP_AWR_zDMTqLHPLJUKhaU/edit?usp=sharing"",""พังงา!J488"")+IMPORTRANGE(""https://docs.google.com/spreadsheets/d/17ht0gPKzzT3PObBL1XJkeR"&amp;"mntBXI7wGjpLV7QorqlTk/edit?usp=sharing"",""พัทลุง!J488"")+IMPORTRANGE(""https://docs.google.com/spreadsheets/d/1rd4qoM1q_hsgaolqNGfrim9gbsoLxQsda4-vOz5x_BM/edit?usp=sharing"",""ภูเก็ต!J488"")+IMPORTRANGE(""https://docs.google.com/spreadsheets/d/1woKwKjgoL"&amp;"ssDvPcPeVyezB5izizAn4X1JDrys69n6xI/edit?usp=sharing"",""ยะลา!J488"")+IMPORTRANGE(""https://docs.google.com/spreadsheets/d/1qfrKjzMhm2HJfxQ-qVlJlJQ25Hne1d0khsySbZyGtPA/edit?usp=sharing"",""ระนอง!J488"")+IMPORTRANGE(""https://docs.google.com/spreadsheets/d/"&amp;"1IbSCnFOKpZsnFogBHJnL_isstZVaOMnFiIN0fGTPZZw/edit?usp=sharing"",""สงขลา!J488"")+IMPORTRANGE(""https://docs.google.com/spreadsheets/d/1q9nWasZJ-K8bFGvbE9n0qSRuKGA4Toe3Y89cKCiVtCU/edit?usp=sharing"",""สตูล!J488"")+IMPORTRANGE(""https://docs.google.com/sprea"&amp;"dsheets/d/18T20gbkS_WBjdscyTOV05cvq_JqvqQ17C81mpxf7Ncs/edit?usp=sharing"",""สุราษฎร์ธานี!J488"")"),0)</f>
        <v>0</v>
      </c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152">
        <f ca="1">IFERROR(__xludf.DUMMYFUNCTION("IMPORTRANGE(""https://docs.google.com/spreadsheets/d/1kKUcYdkIfrgTSj8iHHHB2MD2FAtwyyocFgqGQn6ADyI/edit?usp=sharing"",""กระบี่!J489"")+IMPORTRANGE(""https://docs.google.com/spreadsheets/d/1GwtLaSlNZkLk7iDqcyZz22giiy40b_usZZBXYciEN1U/edit?usp=sharing"",""ชุ"&amp;"มพร!J489"")+IMPORTRANGE(""https://docs.google.com/spreadsheets/d/16pAz3pOhQEZBhvFNMa5KGgZS6iKWpsKX0pg6tQmwFpo/edit?usp=sharing"",""ตรัง!J489"")+IMPORTRANGE(""https://docs.google.com/spreadsheets/d/1Dj4jcHCTV9JXKCaMoheSXS52JE63kDKyG7bPXnFogHk/edit?usp=shar"&amp;"ing"",""นครศรีธรรมราช!J489"")+IMPORTRANGE(""https://docs.google.com/spreadsheets/d/1iodCdmuK2GR3jzUwk8tpccY2JHQQA-87DLOtJP-ooyU/edit?usp=sharing"",""นราธิวาส!J489"")+IMPORTRANGE(""https://docs.google.com/spreadsheets/d/1SDNX3JhDdYRuIOsj0Wh2M-Qa_eaXl0NbWmh"&amp;"AOTbfQAs/edit?usp=sharing"",""ปัตตานี!J489"")+IMPORTRANGE(""https://docs.google.com/spreadsheets/d/16JDLGguT8s5DsGCND1KcwHP_AWR_zDMTqLHPLJUKhaU/edit?usp=sharing"",""พังงา!J489"")+IMPORTRANGE(""https://docs.google.com/spreadsheets/d/17ht0gPKzzT3PObBL1XJkeR"&amp;"mntBXI7wGjpLV7QorqlTk/edit?usp=sharing"",""พัทลุง!J489"")+IMPORTRANGE(""https://docs.google.com/spreadsheets/d/1rd4qoM1q_hsgaolqNGfrim9gbsoLxQsda4-vOz5x_BM/edit?usp=sharing"",""ภูเก็ต!J489"")+IMPORTRANGE(""https://docs.google.com/spreadsheets/d/1woKwKjgoL"&amp;"ssDvPcPeVyezB5izizAn4X1JDrys69n6xI/edit?usp=sharing"",""ยะลา!J489"")+IMPORTRANGE(""https://docs.google.com/spreadsheets/d/1qfrKjzMhm2HJfxQ-qVlJlJQ25Hne1d0khsySbZyGtPA/edit?usp=sharing"",""ระนอง!J489"")+IMPORTRANGE(""https://docs.google.com/spreadsheets/d/"&amp;"1IbSCnFOKpZsnFogBHJnL_isstZVaOMnFiIN0fGTPZZw/edit?usp=sharing"",""สงขลา!J489"")+IMPORTRANGE(""https://docs.google.com/spreadsheets/d/1q9nWasZJ-K8bFGvbE9n0qSRuKGA4Toe3Y89cKCiVtCU/edit?usp=sharing"",""สตูล!J489"")+IMPORTRANGE(""https://docs.google.com/sprea"&amp;"dsheets/d/18T20gbkS_WBjdscyTOV05cvq_JqvqQ17C81mpxf7Ncs/edit?usp=sharing"",""สุราษฎร์ธานี!J489"")"),0)</f>
        <v>0</v>
      </c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152">
        <f ca="1">IFERROR(__xludf.DUMMYFUNCTION("IMPORTRANGE(""https://docs.google.com/spreadsheets/d/1kKUcYdkIfrgTSj8iHHHB2MD2FAtwyyocFgqGQn6ADyI/edit?usp=sharing"",""กระบี่!J490"")+IMPORTRANGE(""https://docs.google.com/spreadsheets/d/1GwtLaSlNZkLk7iDqcyZz22giiy40b_usZZBXYciEN1U/edit?usp=sharing"",""ชุ"&amp;"มพร!J490"")+IMPORTRANGE(""https://docs.google.com/spreadsheets/d/16pAz3pOhQEZBhvFNMa5KGgZS6iKWpsKX0pg6tQmwFpo/edit?usp=sharing"",""ตรัง!J490"")+IMPORTRANGE(""https://docs.google.com/spreadsheets/d/1Dj4jcHCTV9JXKCaMoheSXS52JE63kDKyG7bPXnFogHk/edit?usp=shar"&amp;"ing"",""นครศรีธรรมราช!J490"")+IMPORTRANGE(""https://docs.google.com/spreadsheets/d/1iodCdmuK2GR3jzUwk8tpccY2JHQQA-87DLOtJP-ooyU/edit?usp=sharing"",""นราธิวาส!J490"")+IMPORTRANGE(""https://docs.google.com/spreadsheets/d/1SDNX3JhDdYRuIOsj0Wh2M-Qa_eaXl0NbWmh"&amp;"AOTbfQAs/edit?usp=sharing"",""ปัตตานี!J490"")+IMPORTRANGE(""https://docs.google.com/spreadsheets/d/16JDLGguT8s5DsGCND1KcwHP_AWR_zDMTqLHPLJUKhaU/edit?usp=sharing"",""พังงา!J490"")+IMPORTRANGE(""https://docs.google.com/spreadsheets/d/17ht0gPKzzT3PObBL1XJkeR"&amp;"mntBXI7wGjpLV7QorqlTk/edit?usp=sharing"",""พัทลุง!J490"")+IMPORTRANGE(""https://docs.google.com/spreadsheets/d/1rd4qoM1q_hsgaolqNGfrim9gbsoLxQsda4-vOz5x_BM/edit?usp=sharing"",""ภูเก็ต!J490"")+IMPORTRANGE(""https://docs.google.com/spreadsheets/d/1woKwKjgoL"&amp;"ssDvPcPeVyezB5izizAn4X1JDrys69n6xI/edit?usp=sharing"",""ยะลา!J490"")+IMPORTRANGE(""https://docs.google.com/spreadsheets/d/1qfrKjzMhm2HJfxQ-qVlJlJQ25Hne1d0khsySbZyGtPA/edit?usp=sharing"",""ระนอง!J490"")+IMPORTRANGE(""https://docs.google.com/spreadsheets/d/"&amp;"1IbSCnFOKpZsnFogBHJnL_isstZVaOMnFiIN0fGTPZZw/edit?usp=sharing"",""สงขลา!J490"")+IMPORTRANGE(""https://docs.google.com/spreadsheets/d/1q9nWasZJ-K8bFGvbE9n0qSRuKGA4Toe3Y89cKCiVtCU/edit?usp=sharing"",""สตูล!J490"")+IMPORTRANGE(""https://docs.google.com/sprea"&amp;"dsheets/d/18T20gbkS_WBjdscyTOV05cvq_JqvqQ17C81mpxf7Ncs/edit?usp=sharing"",""สุราษฎร์ธานี!J490"")"),0)</f>
        <v>0</v>
      </c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197">
        <f ca="1">IFERROR(__xludf.DUMMYFUNCTION("IMPORTRANGE(""https://docs.google.com/spreadsheets/d/1kKUcYdkIfrgTSj8iHHHB2MD2FAtwyyocFgqGQn6ADyI/edit?usp=sharing"",""กระบี่!J491"")+IMPORTRANGE(""https://docs.google.com/spreadsheets/d/1GwtLaSlNZkLk7iDqcyZz22giiy40b_usZZBXYciEN1U/edit?usp=sharing"",""ชุ"&amp;"มพร!J491"")+IMPORTRANGE(""https://docs.google.com/spreadsheets/d/16pAz3pOhQEZBhvFNMa5KGgZS6iKWpsKX0pg6tQmwFpo/edit?usp=sharing"",""ตรัง!J491"")+IMPORTRANGE(""https://docs.google.com/spreadsheets/d/1Dj4jcHCTV9JXKCaMoheSXS52JE63kDKyG7bPXnFogHk/edit?usp=shar"&amp;"ing"",""นครศรีธรรมราช!J491"")+IMPORTRANGE(""https://docs.google.com/spreadsheets/d/1iodCdmuK2GR3jzUwk8tpccY2JHQQA-87DLOtJP-ooyU/edit?usp=sharing"",""นราธิวาส!J491"")+IMPORTRANGE(""https://docs.google.com/spreadsheets/d/1SDNX3JhDdYRuIOsj0Wh2M-Qa_eaXl0NbWmh"&amp;"AOTbfQAs/edit?usp=sharing"",""ปัตตานี!J491"")+IMPORTRANGE(""https://docs.google.com/spreadsheets/d/16JDLGguT8s5DsGCND1KcwHP_AWR_zDMTqLHPLJUKhaU/edit?usp=sharing"",""พังงา!J491"")+IMPORTRANGE(""https://docs.google.com/spreadsheets/d/17ht0gPKzzT3PObBL1XJkeR"&amp;"mntBXI7wGjpLV7QorqlTk/edit?usp=sharing"",""พัทลุง!J491"")+IMPORTRANGE(""https://docs.google.com/spreadsheets/d/1rd4qoM1q_hsgaolqNGfrim9gbsoLxQsda4-vOz5x_BM/edit?usp=sharing"",""ภูเก็ต!J491"")+IMPORTRANGE(""https://docs.google.com/spreadsheets/d/1woKwKjgoL"&amp;"ssDvPcPeVyezB5izizAn4X1JDrys69n6xI/edit?usp=sharing"",""ยะลา!J491"")+IMPORTRANGE(""https://docs.google.com/spreadsheets/d/1qfrKjzMhm2HJfxQ-qVlJlJQ25Hne1d0khsySbZyGtPA/edit?usp=sharing"",""ระนอง!J491"")+IMPORTRANGE(""https://docs.google.com/spreadsheets/d/"&amp;"1IbSCnFOKpZsnFogBHJnL_isstZVaOMnFiIN0fGTPZZw/edit?usp=sharing"",""สงขลา!J491"")+IMPORTRANGE(""https://docs.google.com/spreadsheets/d/1q9nWasZJ-K8bFGvbE9n0qSRuKGA4Toe3Y89cKCiVtCU/edit?usp=sharing"",""สตูล!J491"")+IMPORTRANGE(""https://docs.google.com/sprea"&amp;"dsheets/d/18T20gbkS_WBjdscyTOV05cvq_JqvqQ17C81mpxf7Ncs/edit?usp=sharing"",""สุราษฎร์ธานี!J491"")"),0)</f>
        <v>0</v>
      </c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t="shared" ref="I492:J492" ca="1" si="345">I503</f>
        <v>210</v>
      </c>
      <c r="J492" s="310">
        <f t="shared" ca="1" si="345"/>
        <v>0</v>
      </c>
      <c r="K492" s="311">
        <f ca="1">IF(I492&gt;0,J492*100/I492,0)</f>
        <v>0</v>
      </c>
      <c r="L492" s="312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188" t="s">
        <v>18</v>
      </c>
      <c r="D493" s="52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132">
        <f t="shared" ref="L493:N493" ca="1" si="346">L494+L495</f>
        <v>124100</v>
      </c>
      <c r="M493" s="132">
        <f t="shared" ca="1" si="346"/>
        <v>124100</v>
      </c>
      <c r="N493" s="132">
        <f t="shared" ca="1" si="346"/>
        <v>28670</v>
      </c>
      <c r="O493" s="132">
        <f t="shared" ref="O493:O501" ca="1" si="347">IF(L493&gt;0,N493*100/L493,0)</f>
        <v>23.102336825141016</v>
      </c>
      <c r="P493" s="132">
        <f t="shared" ref="P493:P501" ca="1" si="348">IF(M493&gt;0,N493*100/M493,0)</f>
        <v>23.102336825141016</v>
      </c>
      <c r="Q493" s="132">
        <f t="shared" ref="Q493:S493" ca="1" si="349">Q494+Q495</f>
        <v>2737845</v>
      </c>
      <c r="R493" s="132">
        <f t="shared" ca="1" si="349"/>
        <v>2737845</v>
      </c>
      <c r="S493" s="132">
        <f t="shared" ca="1" si="349"/>
        <v>649293.59</v>
      </c>
      <c r="T493" s="132">
        <f t="shared" ref="T493:T501" ca="1" si="350">IF(Q493&gt;0,S493*100/Q493,0)</f>
        <v>23.715498503384961</v>
      </c>
      <c r="U493" s="132">
        <f t="shared" ref="U493:U501" ca="1" si="351">IF(R493&gt;0,S493*100/R493,0)</f>
        <v>23.715498503384961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49">
        <f t="shared" ref="L494:N494" ca="1" si="352">L497+L500</f>
        <v>0</v>
      </c>
      <c r="M494" s="49">
        <f t="shared" ca="1" si="352"/>
        <v>0</v>
      </c>
      <c r="N494" s="49">
        <f t="shared" ca="1" si="352"/>
        <v>0</v>
      </c>
      <c r="O494" s="49">
        <f t="shared" ca="1" si="347"/>
        <v>0</v>
      </c>
      <c r="P494" s="49">
        <f t="shared" ca="1" si="348"/>
        <v>0</v>
      </c>
      <c r="Q494" s="49">
        <f t="shared" ref="Q494:S494" ca="1" si="353">Q497+Q500</f>
        <v>0</v>
      </c>
      <c r="R494" s="49">
        <f t="shared" ca="1" si="353"/>
        <v>0</v>
      </c>
      <c r="S494" s="49">
        <f t="shared" ca="1" si="353"/>
        <v>0</v>
      </c>
      <c r="T494" s="49">
        <f t="shared" ca="1" si="350"/>
        <v>0</v>
      </c>
      <c r="U494" s="49">
        <f t="shared" ca="1" si="351"/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47">
        <f t="shared" ref="L495:N495" ca="1" si="354">L498+L501</f>
        <v>124100</v>
      </c>
      <c r="M495" s="47">
        <f t="shared" ca="1" si="354"/>
        <v>124100</v>
      </c>
      <c r="N495" s="47">
        <f t="shared" ca="1" si="354"/>
        <v>28670</v>
      </c>
      <c r="O495" s="47">
        <f t="shared" ca="1" si="347"/>
        <v>23.102336825141016</v>
      </c>
      <c r="P495" s="47">
        <f t="shared" ca="1" si="348"/>
        <v>23.102336825141016</v>
      </c>
      <c r="Q495" s="47">
        <f t="shared" ref="Q495:S495" ca="1" si="355">Q498+Q501</f>
        <v>2737845</v>
      </c>
      <c r="R495" s="47">
        <f t="shared" ca="1" si="355"/>
        <v>2737845</v>
      </c>
      <c r="S495" s="47">
        <f t="shared" ca="1" si="355"/>
        <v>649293.59</v>
      </c>
      <c r="T495" s="47">
        <f t="shared" ca="1" si="350"/>
        <v>23.715498503384961</v>
      </c>
      <c r="U495" s="47">
        <f t="shared" ca="1" si="351"/>
        <v>23.715498503384961</v>
      </c>
    </row>
    <row r="496" spans="1:21" ht="18.75" x14ac:dyDescent="0.25">
      <c r="A496" s="128"/>
      <c r="B496" s="159"/>
      <c r="C496" s="159"/>
      <c r="D496" s="161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47">
        <f t="shared" ref="L496:N496" ca="1" si="356">L497+L498</f>
        <v>124100</v>
      </c>
      <c r="M496" s="47">
        <f t="shared" ca="1" si="356"/>
        <v>124100</v>
      </c>
      <c r="N496" s="47">
        <f t="shared" ca="1" si="356"/>
        <v>28670</v>
      </c>
      <c r="O496" s="47">
        <f t="shared" ca="1" si="347"/>
        <v>23.102336825141016</v>
      </c>
      <c r="P496" s="47">
        <f t="shared" ca="1" si="348"/>
        <v>23.102336825141016</v>
      </c>
      <c r="Q496" s="47">
        <f t="shared" ref="Q496:S496" ca="1" si="357">Q497+Q498</f>
        <v>2737845</v>
      </c>
      <c r="R496" s="47">
        <f t="shared" ca="1" si="357"/>
        <v>2737845</v>
      </c>
      <c r="S496" s="47">
        <f t="shared" ca="1" si="357"/>
        <v>649293.59</v>
      </c>
      <c r="T496" s="47">
        <f t="shared" ca="1" si="350"/>
        <v>23.715498503384961</v>
      </c>
      <c r="U496" s="47">
        <f t="shared" ca="1" si="351"/>
        <v>23.715498503384961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49">
        <f ca="1">IFERROR(__xludf.DUMMYFUNCTION("IMPORTRANGE(""https://docs.google.com/spreadsheets/d/1kKUcYdkIfrgTSj8iHHHB2MD2FAtwyyocFgqGQn6ADyI/edit?usp=sharing"",""กระบี่!L497"")+IMPORTRANGE(""https://docs.google.com/spreadsheets/d/1GwtLaSlNZkLk7iDqcyZz22giiy40b_usZZBXYciEN1U/edit?usp=sharing"",""ชุ"&amp;"มพร!L497"")+IMPORTRANGE(""https://docs.google.com/spreadsheets/d/16pAz3pOhQEZBhvFNMa5KGgZS6iKWpsKX0pg6tQmwFpo/edit?usp=sharing"",""ตรัง!L497"")+IMPORTRANGE(""https://docs.google.com/spreadsheets/d/1Dj4jcHCTV9JXKCaMoheSXS52JE63kDKyG7bPXnFogHk/edit?usp=shar"&amp;"ing"",""นครศรีธรรมราช!L497"")+IMPORTRANGE(""https://docs.google.com/spreadsheets/d/1iodCdmuK2GR3jzUwk8tpccY2JHQQA-87DLOtJP-ooyU/edit?usp=sharing"",""นราธิวาส!L497"")+IMPORTRANGE(""https://docs.google.com/spreadsheets/d/1SDNX3JhDdYRuIOsj0Wh2M-Qa_eaXl0NbWmh"&amp;"AOTbfQAs/edit?usp=sharing"",""ปัตตานี!L497"")+IMPORTRANGE(""https://docs.google.com/spreadsheets/d/16JDLGguT8s5DsGCND1KcwHP_AWR_zDMTqLHPLJUKhaU/edit?usp=sharing"",""พังงา!L497"")+IMPORTRANGE(""https://docs.google.com/spreadsheets/d/17ht0gPKzzT3PObBL1XJkeR"&amp;"mntBXI7wGjpLV7QorqlTk/edit?usp=sharing"",""พัทลุง!L497"")+IMPORTRANGE(""https://docs.google.com/spreadsheets/d/1rd4qoM1q_hsgaolqNGfrim9gbsoLxQsda4-vOz5x_BM/edit?usp=sharing"",""ภูเก็ต!L497"")+IMPORTRANGE(""https://docs.google.com/spreadsheets/d/1woKwKjgoL"&amp;"ssDvPcPeVyezB5izizAn4X1JDrys69n6xI/edit?usp=sharing"",""ยะลา!L497"")+IMPORTRANGE(""https://docs.google.com/spreadsheets/d/1qfrKjzMhm2HJfxQ-qVlJlJQ25Hne1d0khsySbZyGtPA/edit?usp=sharing"",""ระนอง!L497"")+IMPORTRANGE(""https://docs.google.com/spreadsheets/d/"&amp;"1IbSCnFOKpZsnFogBHJnL_isstZVaOMnFiIN0fGTPZZw/edit?usp=sharing"",""สงขลา!L497"")+IMPORTRANGE(""https://docs.google.com/spreadsheets/d/1q9nWasZJ-K8bFGvbE9n0qSRuKGA4Toe3Y89cKCiVtCU/edit?usp=sharing"",""สตูล!L497"")+IMPORTRANGE(""https://docs.google.com/sprea"&amp;"dsheets/d/18T20gbkS_WBjdscyTOV05cvq_JqvqQ17C81mpxf7Ncs/edit?usp=sharing"",""สุราษฎร์ธานี!L497"")"),0)</f>
        <v>0</v>
      </c>
      <c r="M497" s="49">
        <f ca="1">IFERROR(__xludf.DUMMYFUNCTION("IMPORTRANGE(""https://docs.google.com/spreadsheets/d/1kKUcYdkIfrgTSj8iHHHB2MD2FAtwyyocFgqGQn6ADyI/edit?usp=sharing"",""กระบี่!M497"")+IMPORTRANGE(""https://docs.google.com/spreadsheets/d/1GwtLaSlNZkLk7iDqcyZz22giiy40b_usZZBXYciEN1U/edit?usp=sharing"",""ชุ"&amp;"มพร!M497"")+IMPORTRANGE(""https://docs.google.com/spreadsheets/d/16pAz3pOhQEZBhvFNMa5KGgZS6iKWpsKX0pg6tQmwFpo/edit?usp=sharing"",""ตรัง!M497"")+IMPORTRANGE(""https://docs.google.com/spreadsheets/d/1Dj4jcHCTV9JXKCaMoheSXS52JE63kDKyG7bPXnFogHk/edit?usp=shar"&amp;"ing"",""นครศรีธรรมราช!M497"")+IMPORTRANGE(""https://docs.google.com/spreadsheets/d/1iodCdmuK2GR3jzUwk8tpccY2JHQQA-87DLOtJP-ooyU/edit?usp=sharing"",""นราธิวาส!M497"")+IMPORTRANGE(""https://docs.google.com/spreadsheets/d/1SDNX3JhDdYRuIOsj0Wh2M-Qa_eaXl0NbWmh"&amp;"AOTbfQAs/edit?usp=sharing"",""ปัตตานี!M497"")+IMPORTRANGE(""https://docs.google.com/spreadsheets/d/16JDLGguT8s5DsGCND1KcwHP_AWR_zDMTqLHPLJUKhaU/edit?usp=sharing"",""พังงา!M497"")+IMPORTRANGE(""https://docs.google.com/spreadsheets/d/17ht0gPKzzT3PObBL1XJkeR"&amp;"mntBXI7wGjpLV7QorqlTk/edit?usp=sharing"",""พัทลุง!M497"")+IMPORTRANGE(""https://docs.google.com/spreadsheets/d/1rd4qoM1q_hsgaolqNGfrim9gbsoLxQsda4-vOz5x_BM/edit?usp=sharing"",""ภูเก็ต!M497"")+IMPORTRANGE(""https://docs.google.com/spreadsheets/d/1woKwKjgoL"&amp;"ssDvPcPeVyezB5izizAn4X1JDrys69n6xI/edit?usp=sharing"",""ยะลา!M497"")+IMPORTRANGE(""https://docs.google.com/spreadsheets/d/1qfrKjzMhm2HJfxQ-qVlJlJQ25Hne1d0khsySbZyGtPA/edit?usp=sharing"",""ระนอง!M497"")+IMPORTRANGE(""https://docs.google.com/spreadsheets/d/"&amp;"1IbSCnFOKpZsnFogBHJnL_isstZVaOMnFiIN0fGTPZZw/edit?usp=sharing"",""สงขลา!M497"")+IMPORTRANGE(""https://docs.google.com/spreadsheets/d/1q9nWasZJ-K8bFGvbE9n0qSRuKGA4Toe3Y89cKCiVtCU/edit?usp=sharing"",""สตูล!M497"")+IMPORTRANGE(""https://docs.google.com/sprea"&amp;"dsheets/d/18T20gbkS_WBjdscyTOV05cvq_JqvqQ17C81mpxf7Ncs/edit?usp=sharing"",""สุราษฎร์ธานี!M497"")"),0)</f>
        <v>0</v>
      </c>
      <c r="N497" s="49">
        <f ca="1">IFERROR(__xludf.DUMMYFUNCTION("IMPORTRANGE(""https://docs.google.com/spreadsheets/d/1kKUcYdkIfrgTSj8iHHHB2MD2FAtwyyocFgqGQn6ADyI/edit?usp=sharing"",""กระบี่!N497"")+IMPORTRANGE(""https://docs.google.com/spreadsheets/d/1GwtLaSlNZkLk7iDqcyZz22giiy40b_usZZBXYciEN1U/edit?usp=sharing"",""ชุ"&amp;"มพร!N497"")+IMPORTRANGE(""https://docs.google.com/spreadsheets/d/16pAz3pOhQEZBhvFNMa5KGgZS6iKWpsKX0pg6tQmwFpo/edit?usp=sharing"",""ตรัง!N497"")+IMPORTRANGE(""https://docs.google.com/spreadsheets/d/1Dj4jcHCTV9JXKCaMoheSXS52JE63kDKyG7bPXnFogHk/edit?usp=shar"&amp;"ing"",""นครศรีธรรมราช!N497"")+IMPORTRANGE(""https://docs.google.com/spreadsheets/d/1iodCdmuK2GR3jzUwk8tpccY2JHQQA-87DLOtJP-ooyU/edit?usp=sharing"",""นราธิวาส!N497"")+IMPORTRANGE(""https://docs.google.com/spreadsheets/d/1SDNX3JhDdYRuIOsj0Wh2M-Qa_eaXl0NbWmh"&amp;"AOTbfQAs/edit?usp=sharing"",""ปัตตานี!N497"")+IMPORTRANGE(""https://docs.google.com/spreadsheets/d/16JDLGguT8s5DsGCND1KcwHP_AWR_zDMTqLHPLJUKhaU/edit?usp=sharing"",""พังงา!N497"")+IMPORTRANGE(""https://docs.google.com/spreadsheets/d/17ht0gPKzzT3PObBL1XJkeR"&amp;"mntBXI7wGjpLV7QorqlTk/edit?usp=sharing"",""พัทลุง!N497"")+IMPORTRANGE(""https://docs.google.com/spreadsheets/d/1rd4qoM1q_hsgaolqNGfrim9gbsoLxQsda4-vOz5x_BM/edit?usp=sharing"",""ภูเก็ต!N497"")+IMPORTRANGE(""https://docs.google.com/spreadsheets/d/1woKwKjgoL"&amp;"ssDvPcPeVyezB5izizAn4X1JDrys69n6xI/edit?usp=sharing"",""ยะลา!N497"")+IMPORTRANGE(""https://docs.google.com/spreadsheets/d/1qfrKjzMhm2HJfxQ-qVlJlJQ25Hne1d0khsySbZyGtPA/edit?usp=sharing"",""ระนอง!N497"")+IMPORTRANGE(""https://docs.google.com/spreadsheets/d/"&amp;"1IbSCnFOKpZsnFogBHJnL_isstZVaOMnFiIN0fGTPZZw/edit?usp=sharing"",""สงขลา!N497"")+IMPORTRANGE(""https://docs.google.com/spreadsheets/d/1q9nWasZJ-K8bFGvbE9n0qSRuKGA4Toe3Y89cKCiVtCU/edit?usp=sharing"",""สตูล!N497"")+IMPORTRANGE(""https://docs.google.com/sprea"&amp;"dsheets/d/18T20gbkS_WBjdscyTOV05cvq_JqvqQ17C81mpxf7Ncs/edit?usp=sharing"",""สุราษฎร์ธานี!N497"")"),0)</f>
        <v>0</v>
      </c>
      <c r="O497" s="49">
        <f t="shared" ca="1" si="347"/>
        <v>0</v>
      </c>
      <c r="P497" s="49">
        <f t="shared" ca="1" si="348"/>
        <v>0</v>
      </c>
      <c r="Q497" s="49">
        <f ca="1">IFERROR(__xludf.DUMMYFUNCTION("IMPORTRANGE(""https://docs.google.com/spreadsheets/d/1kKUcYdkIfrgTSj8iHHHB2MD2FAtwyyocFgqGQn6ADyI/edit?usp=sharing"",""กระบี่!Q497"")+IMPORTRANGE(""https://docs.google.com/spreadsheets/d/1GwtLaSlNZkLk7iDqcyZz22giiy40b_usZZBXYciEN1U/edit?usp=sharing"",""ชุ"&amp;"มพร!Q497"")+IMPORTRANGE(""https://docs.google.com/spreadsheets/d/16pAz3pOhQEZBhvFNMa5KGgZS6iKWpsKX0pg6tQmwFpo/edit?usp=sharing"",""ตรัง!Q497"")+IMPORTRANGE(""https://docs.google.com/spreadsheets/d/1Dj4jcHCTV9JXKCaMoheSXS52JE63kDKyG7bPXnFogHk/edit?usp=shar"&amp;"ing"",""นครศรีธรรมราช!Q497"")+IMPORTRANGE(""https://docs.google.com/spreadsheets/d/1iodCdmuK2GR3jzUwk8tpccY2JHQQA-87DLOtJP-ooyU/edit?usp=sharing"",""นราธิวาส!Q497"")+IMPORTRANGE(""https://docs.google.com/spreadsheets/d/1SDNX3JhDdYRuIOsj0Wh2M-Qa_eaXl0NbWmh"&amp;"AOTbfQAs/edit?usp=sharing"",""ปัตตานี!Q497"")+IMPORTRANGE(""https://docs.google.com/spreadsheets/d/16JDLGguT8s5DsGCND1KcwHP_AWR_zDMTqLHPLJUKhaU/edit?usp=sharing"",""พังงา!Q497"")+IMPORTRANGE(""https://docs.google.com/spreadsheets/d/17ht0gPKzzT3PObBL1XJkeR"&amp;"mntBXI7wGjpLV7QorqlTk/edit?usp=sharing"",""พัทลุง!Q497"")+IMPORTRANGE(""https://docs.google.com/spreadsheets/d/1rd4qoM1q_hsgaolqNGfrim9gbsoLxQsda4-vOz5x_BM/edit?usp=sharing"",""ภูเก็ต!Q497"")+IMPORTRANGE(""https://docs.google.com/spreadsheets/d/1woKwKjgoL"&amp;"ssDvPcPeVyezB5izizAn4X1JDrys69n6xI/edit?usp=sharing"",""ยะลา!Q497"")+IMPORTRANGE(""https://docs.google.com/spreadsheets/d/1qfrKjzMhm2HJfxQ-qVlJlJQ25Hne1d0khsySbZyGtPA/edit?usp=sharing"",""ระนอง!Q497"")+IMPORTRANGE(""https://docs.google.com/spreadsheets/d/"&amp;"1IbSCnFOKpZsnFogBHJnL_isstZVaOMnFiIN0fGTPZZw/edit?usp=sharing"",""สงขลา!Q497"")+IMPORTRANGE(""https://docs.google.com/spreadsheets/d/1q9nWasZJ-K8bFGvbE9n0qSRuKGA4Toe3Y89cKCiVtCU/edit?usp=sharing"",""สตูล!Q497"")+IMPORTRANGE(""https://docs.google.com/sprea"&amp;"dsheets/d/18T20gbkS_WBjdscyTOV05cvq_JqvqQ17C81mpxf7Ncs/edit?usp=sharing"",""สุราษฎร์ธานี!Q497"")"),0)</f>
        <v>0</v>
      </c>
      <c r="R497" s="49">
        <f ca="1">IFERROR(__xludf.DUMMYFUNCTION("IMPORTRANGE(""https://docs.google.com/spreadsheets/d/1kKUcYdkIfrgTSj8iHHHB2MD2FAtwyyocFgqGQn6ADyI/edit?usp=sharing"",""กระบี่!R497"")+IMPORTRANGE(""https://docs.google.com/spreadsheets/d/1GwtLaSlNZkLk7iDqcyZz22giiy40b_usZZBXYciEN1U/edit?usp=sharing"",""ชุ"&amp;"มพร!R497"")+IMPORTRANGE(""https://docs.google.com/spreadsheets/d/16pAz3pOhQEZBhvFNMa5KGgZS6iKWpsKX0pg6tQmwFpo/edit?usp=sharing"",""ตรัง!R497"")+IMPORTRANGE(""https://docs.google.com/spreadsheets/d/1Dj4jcHCTV9JXKCaMoheSXS52JE63kDKyG7bPXnFogHk/edit?usp=shar"&amp;"ing"",""นครศรีธรรมราช!R497"")+IMPORTRANGE(""https://docs.google.com/spreadsheets/d/1iodCdmuK2GR3jzUwk8tpccY2JHQQA-87DLOtJP-ooyU/edit?usp=sharing"",""นราธิวาส!R497"")+IMPORTRANGE(""https://docs.google.com/spreadsheets/d/1SDNX3JhDdYRuIOsj0Wh2M-Qa_eaXl0NbWmh"&amp;"AOTbfQAs/edit?usp=sharing"",""ปัตตานี!R497"")+IMPORTRANGE(""https://docs.google.com/spreadsheets/d/16JDLGguT8s5DsGCND1KcwHP_AWR_zDMTqLHPLJUKhaU/edit?usp=sharing"",""พังงา!R497"")+IMPORTRANGE(""https://docs.google.com/spreadsheets/d/17ht0gPKzzT3PObBL1XJkeR"&amp;"mntBXI7wGjpLV7QorqlTk/edit?usp=sharing"",""พัทลุง!R497"")+IMPORTRANGE(""https://docs.google.com/spreadsheets/d/1rd4qoM1q_hsgaolqNGfrim9gbsoLxQsda4-vOz5x_BM/edit?usp=sharing"",""ภูเก็ต!R497"")+IMPORTRANGE(""https://docs.google.com/spreadsheets/d/1woKwKjgoL"&amp;"ssDvPcPeVyezB5izizAn4X1JDrys69n6xI/edit?usp=sharing"",""ยะลา!R497"")+IMPORTRANGE(""https://docs.google.com/spreadsheets/d/1qfrKjzMhm2HJfxQ-qVlJlJQ25Hne1d0khsySbZyGtPA/edit?usp=sharing"",""ระนอง!R497"")+IMPORTRANGE(""https://docs.google.com/spreadsheets/d/"&amp;"1IbSCnFOKpZsnFogBHJnL_isstZVaOMnFiIN0fGTPZZw/edit?usp=sharing"",""สงขลา!R497"")+IMPORTRANGE(""https://docs.google.com/spreadsheets/d/1q9nWasZJ-K8bFGvbE9n0qSRuKGA4Toe3Y89cKCiVtCU/edit?usp=sharing"",""สตูล!R497"")+IMPORTRANGE(""https://docs.google.com/sprea"&amp;"dsheets/d/18T20gbkS_WBjdscyTOV05cvq_JqvqQ17C81mpxf7Ncs/edit?usp=sharing"",""สุราษฎร์ธานี!R497"")"),0)</f>
        <v>0</v>
      </c>
      <c r="S497" s="49">
        <f ca="1">IFERROR(__xludf.DUMMYFUNCTION("IMPORTRANGE(""https://docs.google.com/spreadsheets/d/1kKUcYdkIfrgTSj8iHHHB2MD2FAtwyyocFgqGQn6ADyI/edit?usp=sharing"",""กระบี่!S497"")+IMPORTRANGE(""https://docs.google.com/spreadsheets/d/1GwtLaSlNZkLk7iDqcyZz22giiy40b_usZZBXYciEN1U/edit?usp=sharing"",""ชุ"&amp;"มพร!S497"")+IMPORTRANGE(""https://docs.google.com/spreadsheets/d/16pAz3pOhQEZBhvFNMa5KGgZS6iKWpsKX0pg6tQmwFpo/edit?usp=sharing"",""ตรัง!S497"")+IMPORTRANGE(""https://docs.google.com/spreadsheets/d/1Dj4jcHCTV9JXKCaMoheSXS52JE63kDKyG7bPXnFogHk/edit?usp=shar"&amp;"ing"",""นครศรีธรรมราช!S497"")+IMPORTRANGE(""https://docs.google.com/spreadsheets/d/1iodCdmuK2GR3jzUwk8tpccY2JHQQA-87DLOtJP-ooyU/edit?usp=sharing"",""นราธิวาส!S497"")+IMPORTRANGE(""https://docs.google.com/spreadsheets/d/1SDNX3JhDdYRuIOsj0Wh2M-Qa_eaXl0NbWmh"&amp;"AOTbfQAs/edit?usp=sharing"",""ปัตตานี!S497"")+IMPORTRANGE(""https://docs.google.com/spreadsheets/d/16JDLGguT8s5DsGCND1KcwHP_AWR_zDMTqLHPLJUKhaU/edit?usp=sharing"",""พังงา!S497"")+IMPORTRANGE(""https://docs.google.com/spreadsheets/d/17ht0gPKzzT3PObBL1XJkeR"&amp;"mntBXI7wGjpLV7QorqlTk/edit?usp=sharing"",""พัทลุง!S497"")+IMPORTRANGE(""https://docs.google.com/spreadsheets/d/1rd4qoM1q_hsgaolqNGfrim9gbsoLxQsda4-vOz5x_BM/edit?usp=sharing"",""ภูเก็ต!S497"")+IMPORTRANGE(""https://docs.google.com/spreadsheets/d/1woKwKjgoL"&amp;"ssDvPcPeVyezB5izizAn4X1JDrys69n6xI/edit?usp=sharing"",""ยะลา!S497"")+IMPORTRANGE(""https://docs.google.com/spreadsheets/d/1qfrKjzMhm2HJfxQ-qVlJlJQ25Hne1d0khsySbZyGtPA/edit?usp=sharing"",""ระนอง!S497"")+IMPORTRANGE(""https://docs.google.com/spreadsheets/d/"&amp;"1IbSCnFOKpZsnFogBHJnL_isstZVaOMnFiIN0fGTPZZw/edit?usp=sharing"",""สงขลา!S497"")+IMPORTRANGE(""https://docs.google.com/spreadsheets/d/1q9nWasZJ-K8bFGvbE9n0qSRuKGA4Toe3Y89cKCiVtCU/edit?usp=sharing"",""สตูล!S497"")+IMPORTRANGE(""https://docs.google.com/sprea"&amp;"dsheets/d/18T20gbkS_WBjdscyTOV05cvq_JqvqQ17C81mpxf7Ncs/edit?usp=sharing"",""สุราษฎร์ธานี!S497"")"),0)</f>
        <v>0</v>
      </c>
      <c r="T497" s="49">
        <f t="shared" ca="1" si="350"/>
        <v>0</v>
      </c>
      <c r="U497" s="49">
        <f t="shared" ca="1" si="351"/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47">
        <f ca="1">IFERROR(__xludf.DUMMYFUNCTION("IMPORTRANGE(""https://docs.google.com/spreadsheets/d/1kKUcYdkIfrgTSj8iHHHB2MD2FAtwyyocFgqGQn6ADyI/edit?usp=sharing"",""กระบี่!L498"")+IMPORTRANGE(""https://docs.google.com/spreadsheets/d/1GwtLaSlNZkLk7iDqcyZz22giiy40b_usZZBXYciEN1U/edit?usp=sharing"",""ชุ"&amp;"มพร!L498"")+IMPORTRANGE(""https://docs.google.com/spreadsheets/d/16pAz3pOhQEZBhvFNMa5KGgZS6iKWpsKX0pg6tQmwFpo/edit?usp=sharing"",""ตรัง!L498"")+IMPORTRANGE(""https://docs.google.com/spreadsheets/d/1Dj4jcHCTV9JXKCaMoheSXS52JE63kDKyG7bPXnFogHk/edit?usp=shar"&amp;"ing"",""นครศรีธรรมราช!L498"")+IMPORTRANGE(""https://docs.google.com/spreadsheets/d/1iodCdmuK2GR3jzUwk8tpccY2JHQQA-87DLOtJP-ooyU/edit?usp=sharing"",""นราธิวาส!L498"")+IMPORTRANGE(""https://docs.google.com/spreadsheets/d/1SDNX3JhDdYRuIOsj0Wh2M-Qa_eaXl0NbWmh"&amp;"AOTbfQAs/edit?usp=sharing"",""ปัตตานี!L498"")+IMPORTRANGE(""https://docs.google.com/spreadsheets/d/16JDLGguT8s5DsGCND1KcwHP_AWR_zDMTqLHPLJUKhaU/edit?usp=sharing"",""พังงา!L498"")+IMPORTRANGE(""https://docs.google.com/spreadsheets/d/17ht0gPKzzT3PObBL1XJkeR"&amp;"mntBXI7wGjpLV7QorqlTk/edit?usp=sharing"",""พัทลุง!L498"")+IMPORTRANGE(""https://docs.google.com/spreadsheets/d/1rd4qoM1q_hsgaolqNGfrim9gbsoLxQsda4-vOz5x_BM/edit?usp=sharing"",""ภูเก็ต!L498"")+IMPORTRANGE(""https://docs.google.com/spreadsheets/d/1woKwKjgoL"&amp;"ssDvPcPeVyezB5izizAn4X1JDrys69n6xI/edit?usp=sharing"",""ยะลา!L498"")+IMPORTRANGE(""https://docs.google.com/spreadsheets/d/1qfrKjzMhm2HJfxQ-qVlJlJQ25Hne1d0khsySbZyGtPA/edit?usp=sharing"",""ระนอง!L498"")+IMPORTRANGE(""https://docs.google.com/spreadsheets/d/"&amp;"1IbSCnFOKpZsnFogBHJnL_isstZVaOMnFiIN0fGTPZZw/edit?usp=sharing"",""สงขลา!L498"")+IMPORTRANGE(""https://docs.google.com/spreadsheets/d/1q9nWasZJ-K8bFGvbE9n0qSRuKGA4Toe3Y89cKCiVtCU/edit?usp=sharing"",""สตูล!L498"")+IMPORTRANGE(""https://docs.google.com/sprea"&amp;"dsheets/d/18T20gbkS_WBjdscyTOV05cvq_JqvqQ17C81mpxf7Ncs/edit?usp=sharing"",""สุราษฎร์ธานี!L498"")"),124100)</f>
        <v>124100</v>
      </c>
      <c r="M498" s="47">
        <f ca="1">IFERROR(__xludf.DUMMYFUNCTION("IMPORTRANGE(""https://docs.google.com/spreadsheets/d/1kKUcYdkIfrgTSj8iHHHB2MD2FAtwyyocFgqGQn6ADyI/edit?usp=sharing"",""กระบี่!M498"")+IMPORTRANGE(""https://docs.google.com/spreadsheets/d/1GwtLaSlNZkLk7iDqcyZz22giiy40b_usZZBXYciEN1U/edit?usp=sharing"",""ชุ"&amp;"มพร!M498"")+IMPORTRANGE(""https://docs.google.com/spreadsheets/d/16pAz3pOhQEZBhvFNMa5KGgZS6iKWpsKX0pg6tQmwFpo/edit?usp=sharing"",""ตรัง!M498"")+IMPORTRANGE(""https://docs.google.com/spreadsheets/d/1Dj4jcHCTV9JXKCaMoheSXS52JE63kDKyG7bPXnFogHk/edit?usp=shar"&amp;"ing"",""นครศรีธรรมราช!M498"")+IMPORTRANGE(""https://docs.google.com/spreadsheets/d/1iodCdmuK2GR3jzUwk8tpccY2JHQQA-87DLOtJP-ooyU/edit?usp=sharing"",""นราธิวาส!M498"")+IMPORTRANGE(""https://docs.google.com/spreadsheets/d/1SDNX3JhDdYRuIOsj0Wh2M-Qa_eaXl0NbWmh"&amp;"AOTbfQAs/edit?usp=sharing"",""ปัตตานี!M498"")+IMPORTRANGE(""https://docs.google.com/spreadsheets/d/16JDLGguT8s5DsGCND1KcwHP_AWR_zDMTqLHPLJUKhaU/edit?usp=sharing"",""พังงา!M498"")+IMPORTRANGE(""https://docs.google.com/spreadsheets/d/17ht0gPKzzT3PObBL1XJkeR"&amp;"mntBXI7wGjpLV7QorqlTk/edit?usp=sharing"",""พัทลุง!M498"")+IMPORTRANGE(""https://docs.google.com/spreadsheets/d/1rd4qoM1q_hsgaolqNGfrim9gbsoLxQsda4-vOz5x_BM/edit?usp=sharing"",""ภูเก็ต!M498"")+IMPORTRANGE(""https://docs.google.com/spreadsheets/d/1woKwKjgoL"&amp;"ssDvPcPeVyezB5izizAn4X1JDrys69n6xI/edit?usp=sharing"",""ยะลา!M498"")+IMPORTRANGE(""https://docs.google.com/spreadsheets/d/1qfrKjzMhm2HJfxQ-qVlJlJQ25Hne1d0khsySbZyGtPA/edit?usp=sharing"",""ระนอง!M498"")+IMPORTRANGE(""https://docs.google.com/spreadsheets/d/"&amp;"1IbSCnFOKpZsnFogBHJnL_isstZVaOMnFiIN0fGTPZZw/edit?usp=sharing"",""สงขลา!M498"")+IMPORTRANGE(""https://docs.google.com/spreadsheets/d/1q9nWasZJ-K8bFGvbE9n0qSRuKGA4Toe3Y89cKCiVtCU/edit?usp=sharing"",""สตูล!M498"")+IMPORTRANGE(""https://docs.google.com/sprea"&amp;"dsheets/d/18T20gbkS_WBjdscyTOV05cvq_JqvqQ17C81mpxf7Ncs/edit?usp=sharing"",""สุราษฎร์ธานี!M498"")"),124100)</f>
        <v>124100</v>
      </c>
      <c r="N498" s="47">
        <f ca="1">IFERROR(__xludf.DUMMYFUNCTION("IMPORTRANGE(""https://docs.google.com/spreadsheets/d/1kKUcYdkIfrgTSj8iHHHB2MD2FAtwyyocFgqGQn6ADyI/edit?usp=sharing"",""กระบี่!N498"")+IMPORTRANGE(""https://docs.google.com/spreadsheets/d/1GwtLaSlNZkLk7iDqcyZz22giiy40b_usZZBXYciEN1U/edit?usp=sharing"",""ชุ"&amp;"มพร!N498"")+IMPORTRANGE(""https://docs.google.com/spreadsheets/d/16pAz3pOhQEZBhvFNMa5KGgZS6iKWpsKX0pg6tQmwFpo/edit?usp=sharing"",""ตรัง!N498"")+IMPORTRANGE(""https://docs.google.com/spreadsheets/d/1Dj4jcHCTV9JXKCaMoheSXS52JE63kDKyG7bPXnFogHk/edit?usp=shar"&amp;"ing"",""นครศรีธรรมราช!N498"")+IMPORTRANGE(""https://docs.google.com/spreadsheets/d/1iodCdmuK2GR3jzUwk8tpccY2JHQQA-87DLOtJP-ooyU/edit?usp=sharing"",""นราธิวาส!N498"")+IMPORTRANGE(""https://docs.google.com/spreadsheets/d/1SDNX3JhDdYRuIOsj0Wh2M-Qa_eaXl0NbWmh"&amp;"AOTbfQAs/edit?usp=sharing"",""ปัตตานี!N498"")+IMPORTRANGE(""https://docs.google.com/spreadsheets/d/16JDLGguT8s5DsGCND1KcwHP_AWR_zDMTqLHPLJUKhaU/edit?usp=sharing"",""พังงา!N498"")+IMPORTRANGE(""https://docs.google.com/spreadsheets/d/17ht0gPKzzT3PObBL1XJkeR"&amp;"mntBXI7wGjpLV7QorqlTk/edit?usp=sharing"",""พัทลุง!N498"")+IMPORTRANGE(""https://docs.google.com/spreadsheets/d/1rd4qoM1q_hsgaolqNGfrim9gbsoLxQsda4-vOz5x_BM/edit?usp=sharing"",""ภูเก็ต!N498"")+IMPORTRANGE(""https://docs.google.com/spreadsheets/d/1woKwKjgoL"&amp;"ssDvPcPeVyezB5izizAn4X1JDrys69n6xI/edit?usp=sharing"",""ยะลา!N498"")+IMPORTRANGE(""https://docs.google.com/spreadsheets/d/1qfrKjzMhm2HJfxQ-qVlJlJQ25Hne1d0khsySbZyGtPA/edit?usp=sharing"",""ระนอง!N498"")+IMPORTRANGE(""https://docs.google.com/spreadsheets/d/"&amp;"1IbSCnFOKpZsnFogBHJnL_isstZVaOMnFiIN0fGTPZZw/edit?usp=sharing"",""สงขลา!N498"")+IMPORTRANGE(""https://docs.google.com/spreadsheets/d/1q9nWasZJ-K8bFGvbE9n0qSRuKGA4Toe3Y89cKCiVtCU/edit?usp=sharing"",""สตูล!N498"")+IMPORTRANGE(""https://docs.google.com/sprea"&amp;"dsheets/d/18T20gbkS_WBjdscyTOV05cvq_JqvqQ17C81mpxf7Ncs/edit?usp=sharing"",""สุราษฎร์ธานี!N498"")"),28670)</f>
        <v>28670</v>
      </c>
      <c r="O498" s="47">
        <f t="shared" ca="1" si="347"/>
        <v>23.102336825141016</v>
      </c>
      <c r="P498" s="47">
        <f t="shared" ca="1" si="348"/>
        <v>23.102336825141016</v>
      </c>
      <c r="Q498" s="47">
        <f ca="1">IFERROR(__xludf.DUMMYFUNCTION("IMPORTRANGE(""https://docs.google.com/spreadsheets/d/1kKUcYdkIfrgTSj8iHHHB2MD2FAtwyyocFgqGQn6ADyI/edit?usp=sharing"",""กระบี่!Q498"")+IMPORTRANGE(""https://docs.google.com/spreadsheets/d/1GwtLaSlNZkLk7iDqcyZz22giiy40b_usZZBXYciEN1U/edit?usp=sharing"",""ชุ"&amp;"มพร!Q498"")+IMPORTRANGE(""https://docs.google.com/spreadsheets/d/16pAz3pOhQEZBhvFNMa5KGgZS6iKWpsKX0pg6tQmwFpo/edit?usp=sharing"",""ตรัง!Q498"")+IMPORTRANGE(""https://docs.google.com/spreadsheets/d/1Dj4jcHCTV9JXKCaMoheSXS52JE63kDKyG7bPXnFogHk/edit?usp=shar"&amp;"ing"",""นครศรีธรรมราช!Q498"")+IMPORTRANGE(""https://docs.google.com/spreadsheets/d/1iodCdmuK2GR3jzUwk8tpccY2JHQQA-87DLOtJP-ooyU/edit?usp=sharing"",""นราธิวาส!Q498"")+IMPORTRANGE(""https://docs.google.com/spreadsheets/d/1SDNX3JhDdYRuIOsj0Wh2M-Qa_eaXl0NbWmh"&amp;"AOTbfQAs/edit?usp=sharing"",""ปัตตานี!Q498"")+IMPORTRANGE(""https://docs.google.com/spreadsheets/d/16JDLGguT8s5DsGCND1KcwHP_AWR_zDMTqLHPLJUKhaU/edit?usp=sharing"",""พังงา!Q498"")+IMPORTRANGE(""https://docs.google.com/spreadsheets/d/17ht0gPKzzT3PObBL1XJkeR"&amp;"mntBXI7wGjpLV7QorqlTk/edit?usp=sharing"",""พัทลุง!Q498"")+IMPORTRANGE(""https://docs.google.com/spreadsheets/d/1rd4qoM1q_hsgaolqNGfrim9gbsoLxQsda4-vOz5x_BM/edit?usp=sharing"",""ภูเก็ต!Q498"")+IMPORTRANGE(""https://docs.google.com/spreadsheets/d/1woKwKjgoL"&amp;"ssDvPcPeVyezB5izizAn4X1JDrys69n6xI/edit?usp=sharing"",""ยะลา!Q498"")+IMPORTRANGE(""https://docs.google.com/spreadsheets/d/1qfrKjzMhm2HJfxQ-qVlJlJQ25Hne1d0khsySbZyGtPA/edit?usp=sharing"",""ระนอง!Q498"")+IMPORTRANGE(""https://docs.google.com/spreadsheets/d/"&amp;"1IbSCnFOKpZsnFogBHJnL_isstZVaOMnFiIN0fGTPZZw/edit?usp=sharing"",""สงขลา!Q498"")+IMPORTRANGE(""https://docs.google.com/spreadsheets/d/1q9nWasZJ-K8bFGvbE9n0qSRuKGA4Toe3Y89cKCiVtCU/edit?usp=sharing"",""สตูล!Q498"")+IMPORTRANGE(""https://docs.google.com/sprea"&amp;"dsheets/d/18T20gbkS_WBjdscyTOV05cvq_JqvqQ17C81mpxf7Ncs/edit?usp=sharing"",""สุราษฎร์ธานี!Q498"")"),2737845)</f>
        <v>2737845</v>
      </c>
      <c r="R498" s="47">
        <f ca="1">IFERROR(__xludf.DUMMYFUNCTION("IMPORTRANGE(""https://docs.google.com/spreadsheets/d/1kKUcYdkIfrgTSj8iHHHB2MD2FAtwyyocFgqGQn6ADyI/edit?usp=sharing"",""กระบี่!R498"")+IMPORTRANGE(""https://docs.google.com/spreadsheets/d/1GwtLaSlNZkLk7iDqcyZz22giiy40b_usZZBXYciEN1U/edit?usp=sharing"",""ชุ"&amp;"มพร!R498"")+IMPORTRANGE(""https://docs.google.com/spreadsheets/d/16pAz3pOhQEZBhvFNMa5KGgZS6iKWpsKX0pg6tQmwFpo/edit?usp=sharing"",""ตรัง!R498"")+IMPORTRANGE(""https://docs.google.com/spreadsheets/d/1Dj4jcHCTV9JXKCaMoheSXS52JE63kDKyG7bPXnFogHk/edit?usp=shar"&amp;"ing"",""นครศรีธรรมราช!R498"")+IMPORTRANGE(""https://docs.google.com/spreadsheets/d/1iodCdmuK2GR3jzUwk8tpccY2JHQQA-87DLOtJP-ooyU/edit?usp=sharing"",""นราธิวาส!R498"")+IMPORTRANGE(""https://docs.google.com/spreadsheets/d/1SDNX3JhDdYRuIOsj0Wh2M-Qa_eaXl0NbWmh"&amp;"AOTbfQAs/edit?usp=sharing"",""ปัตตานี!R498"")+IMPORTRANGE(""https://docs.google.com/spreadsheets/d/16JDLGguT8s5DsGCND1KcwHP_AWR_zDMTqLHPLJUKhaU/edit?usp=sharing"",""พังงา!R498"")+IMPORTRANGE(""https://docs.google.com/spreadsheets/d/17ht0gPKzzT3PObBL1XJkeR"&amp;"mntBXI7wGjpLV7QorqlTk/edit?usp=sharing"",""พัทลุง!R498"")+IMPORTRANGE(""https://docs.google.com/spreadsheets/d/1rd4qoM1q_hsgaolqNGfrim9gbsoLxQsda4-vOz5x_BM/edit?usp=sharing"",""ภูเก็ต!R498"")+IMPORTRANGE(""https://docs.google.com/spreadsheets/d/1woKwKjgoL"&amp;"ssDvPcPeVyezB5izizAn4X1JDrys69n6xI/edit?usp=sharing"",""ยะลา!R498"")+IMPORTRANGE(""https://docs.google.com/spreadsheets/d/1qfrKjzMhm2HJfxQ-qVlJlJQ25Hne1d0khsySbZyGtPA/edit?usp=sharing"",""ระนอง!R498"")+IMPORTRANGE(""https://docs.google.com/spreadsheets/d/"&amp;"1IbSCnFOKpZsnFogBHJnL_isstZVaOMnFiIN0fGTPZZw/edit?usp=sharing"",""สงขลา!R498"")+IMPORTRANGE(""https://docs.google.com/spreadsheets/d/1q9nWasZJ-K8bFGvbE9n0qSRuKGA4Toe3Y89cKCiVtCU/edit?usp=sharing"",""สตูล!R498"")+IMPORTRANGE(""https://docs.google.com/sprea"&amp;"dsheets/d/18T20gbkS_WBjdscyTOV05cvq_JqvqQ17C81mpxf7Ncs/edit?usp=sharing"",""สุราษฎร์ธานี!R498"")"),2737845)</f>
        <v>2737845</v>
      </c>
      <c r="S498" s="47">
        <f ca="1">IFERROR(__xludf.DUMMYFUNCTION("IMPORTRANGE(""https://docs.google.com/spreadsheets/d/1kKUcYdkIfrgTSj8iHHHB2MD2FAtwyyocFgqGQn6ADyI/edit?usp=sharing"",""กระบี่!S498"")+IMPORTRANGE(""https://docs.google.com/spreadsheets/d/1GwtLaSlNZkLk7iDqcyZz22giiy40b_usZZBXYciEN1U/edit?usp=sharing"",""ชุ"&amp;"มพร!S498"")+IMPORTRANGE(""https://docs.google.com/spreadsheets/d/16pAz3pOhQEZBhvFNMa5KGgZS6iKWpsKX0pg6tQmwFpo/edit?usp=sharing"",""ตรัง!S498"")+IMPORTRANGE(""https://docs.google.com/spreadsheets/d/1Dj4jcHCTV9JXKCaMoheSXS52JE63kDKyG7bPXnFogHk/edit?usp=shar"&amp;"ing"",""นครศรีธรรมราช!S498"")+IMPORTRANGE(""https://docs.google.com/spreadsheets/d/1iodCdmuK2GR3jzUwk8tpccY2JHQQA-87DLOtJP-ooyU/edit?usp=sharing"",""นราธิวาส!S498"")+IMPORTRANGE(""https://docs.google.com/spreadsheets/d/1SDNX3JhDdYRuIOsj0Wh2M-Qa_eaXl0NbWmh"&amp;"AOTbfQAs/edit?usp=sharing"",""ปัตตานี!S498"")+IMPORTRANGE(""https://docs.google.com/spreadsheets/d/16JDLGguT8s5DsGCND1KcwHP_AWR_zDMTqLHPLJUKhaU/edit?usp=sharing"",""พังงา!S498"")+IMPORTRANGE(""https://docs.google.com/spreadsheets/d/17ht0gPKzzT3PObBL1XJkeR"&amp;"mntBXI7wGjpLV7QorqlTk/edit?usp=sharing"",""พัทลุง!S498"")+IMPORTRANGE(""https://docs.google.com/spreadsheets/d/1rd4qoM1q_hsgaolqNGfrim9gbsoLxQsda4-vOz5x_BM/edit?usp=sharing"",""ภูเก็ต!S498"")+IMPORTRANGE(""https://docs.google.com/spreadsheets/d/1woKwKjgoL"&amp;"ssDvPcPeVyezB5izizAn4X1JDrys69n6xI/edit?usp=sharing"",""ยะลา!S498"")+IMPORTRANGE(""https://docs.google.com/spreadsheets/d/1qfrKjzMhm2HJfxQ-qVlJlJQ25Hne1d0khsySbZyGtPA/edit?usp=sharing"",""ระนอง!S498"")+IMPORTRANGE(""https://docs.google.com/spreadsheets/d/"&amp;"1IbSCnFOKpZsnFogBHJnL_isstZVaOMnFiIN0fGTPZZw/edit?usp=sharing"",""สงขลา!S498"")+IMPORTRANGE(""https://docs.google.com/spreadsheets/d/1q9nWasZJ-K8bFGvbE9n0qSRuKGA4Toe3Y89cKCiVtCU/edit?usp=sharing"",""สตูล!S498"")+IMPORTRANGE(""https://docs.google.com/sprea"&amp;"dsheets/d/18T20gbkS_WBjdscyTOV05cvq_JqvqQ17C81mpxf7Ncs/edit?usp=sharing"",""สุราษฎร์ธานี!S498"")"),649293.59)</f>
        <v>649293.59</v>
      </c>
      <c r="T498" s="47">
        <f t="shared" ca="1" si="350"/>
        <v>23.715498503384961</v>
      </c>
      <c r="U498" s="47">
        <f t="shared" ca="1" si="351"/>
        <v>23.715498503384961</v>
      </c>
    </row>
    <row r="499" spans="1:21" ht="18.75" x14ac:dyDescent="0.25">
      <c r="A499" s="128"/>
      <c r="B499" s="159"/>
      <c r="C499" s="159"/>
      <c r="D499" s="161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47">
        <f t="shared" ref="L499:N499" ca="1" si="358">L500+L501</f>
        <v>0</v>
      </c>
      <c r="M499" s="47">
        <f t="shared" ca="1" si="358"/>
        <v>0</v>
      </c>
      <c r="N499" s="47">
        <f t="shared" ca="1" si="358"/>
        <v>0</v>
      </c>
      <c r="O499" s="47">
        <f t="shared" ca="1" si="347"/>
        <v>0</v>
      </c>
      <c r="P499" s="47">
        <f t="shared" ca="1" si="348"/>
        <v>0</v>
      </c>
      <c r="Q499" s="47">
        <f t="shared" ref="Q499:S499" ca="1" si="359">Q500+Q501</f>
        <v>0</v>
      </c>
      <c r="R499" s="47">
        <f t="shared" ca="1" si="359"/>
        <v>0</v>
      </c>
      <c r="S499" s="47">
        <f t="shared" ca="1" si="359"/>
        <v>0</v>
      </c>
      <c r="T499" s="47">
        <f t="shared" ca="1" si="350"/>
        <v>0</v>
      </c>
      <c r="U499" s="47">
        <f t="shared" ca="1" si="351"/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49">
        <f ca="1">IFERROR(__xludf.DUMMYFUNCTION("IMPORTRANGE(""https://docs.google.com/spreadsheets/d/1kKUcYdkIfrgTSj8iHHHB2MD2FAtwyyocFgqGQn6ADyI/edit?usp=sharing"",""กระบี่!L500"")+IMPORTRANGE(""https://docs.google.com/spreadsheets/d/1GwtLaSlNZkLk7iDqcyZz22giiy40b_usZZBXYciEN1U/edit?usp=sharing"",""ชุ"&amp;"มพร!L500"")+IMPORTRANGE(""https://docs.google.com/spreadsheets/d/16pAz3pOhQEZBhvFNMa5KGgZS6iKWpsKX0pg6tQmwFpo/edit?usp=sharing"",""ตรัง!L500"")+IMPORTRANGE(""https://docs.google.com/spreadsheets/d/1Dj4jcHCTV9JXKCaMoheSXS52JE63kDKyG7bPXnFogHk/edit?usp=shar"&amp;"ing"",""นครศรีธรรมราช!L500"")+IMPORTRANGE(""https://docs.google.com/spreadsheets/d/1iodCdmuK2GR3jzUwk8tpccY2JHQQA-87DLOtJP-ooyU/edit?usp=sharing"",""นราธิวาส!L500"")+IMPORTRANGE(""https://docs.google.com/spreadsheets/d/1SDNX3JhDdYRuIOsj0Wh2M-Qa_eaXl0NbWmh"&amp;"AOTbfQAs/edit?usp=sharing"",""ปัตตานี!L500"")+IMPORTRANGE(""https://docs.google.com/spreadsheets/d/16JDLGguT8s5DsGCND1KcwHP_AWR_zDMTqLHPLJUKhaU/edit?usp=sharing"",""พังงา!L500"")+IMPORTRANGE(""https://docs.google.com/spreadsheets/d/17ht0gPKzzT3PObBL1XJkeR"&amp;"mntBXI7wGjpLV7QorqlTk/edit?usp=sharing"",""พัทลุง!L500"")+IMPORTRANGE(""https://docs.google.com/spreadsheets/d/1rd4qoM1q_hsgaolqNGfrim9gbsoLxQsda4-vOz5x_BM/edit?usp=sharing"",""ภูเก็ต!L500"")+IMPORTRANGE(""https://docs.google.com/spreadsheets/d/1woKwKjgoL"&amp;"ssDvPcPeVyezB5izizAn4X1JDrys69n6xI/edit?usp=sharing"",""ยะลา!L500"")+IMPORTRANGE(""https://docs.google.com/spreadsheets/d/1qfrKjzMhm2HJfxQ-qVlJlJQ25Hne1d0khsySbZyGtPA/edit?usp=sharing"",""ระนอง!L500"")+IMPORTRANGE(""https://docs.google.com/spreadsheets/d/"&amp;"1IbSCnFOKpZsnFogBHJnL_isstZVaOMnFiIN0fGTPZZw/edit?usp=sharing"",""สงขลา!L500"")+IMPORTRANGE(""https://docs.google.com/spreadsheets/d/1q9nWasZJ-K8bFGvbE9n0qSRuKGA4Toe3Y89cKCiVtCU/edit?usp=sharing"",""สตูล!L500"")+IMPORTRANGE(""https://docs.google.com/sprea"&amp;"dsheets/d/18T20gbkS_WBjdscyTOV05cvq_JqvqQ17C81mpxf7Ncs/edit?usp=sharing"",""สุราษฎร์ธานี!L500"")"),0)</f>
        <v>0</v>
      </c>
      <c r="M500" s="49">
        <f ca="1">IFERROR(__xludf.DUMMYFUNCTION("IMPORTRANGE(""https://docs.google.com/spreadsheets/d/1kKUcYdkIfrgTSj8iHHHB2MD2FAtwyyocFgqGQn6ADyI/edit?usp=sharing"",""กระบี่!M500"")+IMPORTRANGE(""https://docs.google.com/spreadsheets/d/1GwtLaSlNZkLk7iDqcyZz22giiy40b_usZZBXYciEN1U/edit?usp=sharing"",""ชุ"&amp;"มพร!M500"")+IMPORTRANGE(""https://docs.google.com/spreadsheets/d/16pAz3pOhQEZBhvFNMa5KGgZS6iKWpsKX0pg6tQmwFpo/edit?usp=sharing"",""ตรัง!M500"")+IMPORTRANGE(""https://docs.google.com/spreadsheets/d/1Dj4jcHCTV9JXKCaMoheSXS52JE63kDKyG7bPXnFogHk/edit?usp=shar"&amp;"ing"",""นครศรีธรรมราช!M500"")+IMPORTRANGE(""https://docs.google.com/spreadsheets/d/1iodCdmuK2GR3jzUwk8tpccY2JHQQA-87DLOtJP-ooyU/edit?usp=sharing"",""นราธิวาส!M500"")+IMPORTRANGE(""https://docs.google.com/spreadsheets/d/1SDNX3JhDdYRuIOsj0Wh2M-Qa_eaXl0NbWmh"&amp;"AOTbfQAs/edit?usp=sharing"",""ปัตตานี!M500"")+IMPORTRANGE(""https://docs.google.com/spreadsheets/d/16JDLGguT8s5DsGCND1KcwHP_AWR_zDMTqLHPLJUKhaU/edit?usp=sharing"",""พังงา!M500"")+IMPORTRANGE(""https://docs.google.com/spreadsheets/d/17ht0gPKzzT3PObBL1XJkeR"&amp;"mntBXI7wGjpLV7QorqlTk/edit?usp=sharing"",""พัทลุง!M500"")+IMPORTRANGE(""https://docs.google.com/spreadsheets/d/1rd4qoM1q_hsgaolqNGfrim9gbsoLxQsda4-vOz5x_BM/edit?usp=sharing"",""ภูเก็ต!M500"")+IMPORTRANGE(""https://docs.google.com/spreadsheets/d/1woKwKjgoL"&amp;"ssDvPcPeVyezB5izizAn4X1JDrys69n6xI/edit?usp=sharing"",""ยะลา!M500"")+IMPORTRANGE(""https://docs.google.com/spreadsheets/d/1qfrKjzMhm2HJfxQ-qVlJlJQ25Hne1d0khsySbZyGtPA/edit?usp=sharing"",""ระนอง!M500"")+IMPORTRANGE(""https://docs.google.com/spreadsheets/d/"&amp;"1IbSCnFOKpZsnFogBHJnL_isstZVaOMnFiIN0fGTPZZw/edit?usp=sharing"",""สงขลา!M500"")+IMPORTRANGE(""https://docs.google.com/spreadsheets/d/1q9nWasZJ-K8bFGvbE9n0qSRuKGA4Toe3Y89cKCiVtCU/edit?usp=sharing"",""สตูล!M500"")+IMPORTRANGE(""https://docs.google.com/sprea"&amp;"dsheets/d/18T20gbkS_WBjdscyTOV05cvq_JqvqQ17C81mpxf7Ncs/edit?usp=sharing"",""สุราษฎร์ธานี!M500"")"),0)</f>
        <v>0</v>
      </c>
      <c r="N500" s="49">
        <f ca="1">IFERROR(__xludf.DUMMYFUNCTION("IMPORTRANGE(""https://docs.google.com/spreadsheets/d/1kKUcYdkIfrgTSj8iHHHB2MD2FAtwyyocFgqGQn6ADyI/edit?usp=sharing"",""กระบี่!N500"")+IMPORTRANGE(""https://docs.google.com/spreadsheets/d/1GwtLaSlNZkLk7iDqcyZz22giiy40b_usZZBXYciEN1U/edit?usp=sharing"",""ชุ"&amp;"มพร!N500"")+IMPORTRANGE(""https://docs.google.com/spreadsheets/d/16pAz3pOhQEZBhvFNMa5KGgZS6iKWpsKX0pg6tQmwFpo/edit?usp=sharing"",""ตรัง!N500"")+IMPORTRANGE(""https://docs.google.com/spreadsheets/d/1Dj4jcHCTV9JXKCaMoheSXS52JE63kDKyG7bPXnFogHk/edit?usp=shar"&amp;"ing"",""นครศรีธรรมราช!N500"")+IMPORTRANGE(""https://docs.google.com/spreadsheets/d/1iodCdmuK2GR3jzUwk8tpccY2JHQQA-87DLOtJP-ooyU/edit?usp=sharing"",""นราธิวาส!N500"")+IMPORTRANGE(""https://docs.google.com/spreadsheets/d/1SDNX3JhDdYRuIOsj0Wh2M-Qa_eaXl0NbWmh"&amp;"AOTbfQAs/edit?usp=sharing"",""ปัตตานี!N500"")+IMPORTRANGE(""https://docs.google.com/spreadsheets/d/16JDLGguT8s5DsGCND1KcwHP_AWR_zDMTqLHPLJUKhaU/edit?usp=sharing"",""พังงา!N500"")+IMPORTRANGE(""https://docs.google.com/spreadsheets/d/17ht0gPKzzT3PObBL1XJkeR"&amp;"mntBXI7wGjpLV7QorqlTk/edit?usp=sharing"",""พัทลุง!N500"")+IMPORTRANGE(""https://docs.google.com/spreadsheets/d/1rd4qoM1q_hsgaolqNGfrim9gbsoLxQsda4-vOz5x_BM/edit?usp=sharing"",""ภูเก็ต!N500"")+IMPORTRANGE(""https://docs.google.com/spreadsheets/d/1woKwKjgoL"&amp;"ssDvPcPeVyezB5izizAn4X1JDrys69n6xI/edit?usp=sharing"",""ยะลา!N500"")+IMPORTRANGE(""https://docs.google.com/spreadsheets/d/1qfrKjzMhm2HJfxQ-qVlJlJQ25Hne1d0khsySbZyGtPA/edit?usp=sharing"",""ระนอง!N500"")+IMPORTRANGE(""https://docs.google.com/spreadsheets/d/"&amp;"1IbSCnFOKpZsnFogBHJnL_isstZVaOMnFiIN0fGTPZZw/edit?usp=sharing"",""สงขลา!N500"")+IMPORTRANGE(""https://docs.google.com/spreadsheets/d/1q9nWasZJ-K8bFGvbE9n0qSRuKGA4Toe3Y89cKCiVtCU/edit?usp=sharing"",""สตูล!N500"")+IMPORTRANGE(""https://docs.google.com/sprea"&amp;"dsheets/d/18T20gbkS_WBjdscyTOV05cvq_JqvqQ17C81mpxf7Ncs/edit?usp=sharing"",""สุราษฎร์ธานี!N500"")"),0)</f>
        <v>0</v>
      </c>
      <c r="O500" s="49">
        <f t="shared" ca="1" si="347"/>
        <v>0</v>
      </c>
      <c r="P500" s="49">
        <f t="shared" ca="1" si="348"/>
        <v>0</v>
      </c>
      <c r="Q500" s="49">
        <f ca="1">IFERROR(__xludf.DUMMYFUNCTION("IMPORTRANGE(""https://docs.google.com/spreadsheets/d/1kKUcYdkIfrgTSj8iHHHB2MD2FAtwyyocFgqGQn6ADyI/edit?usp=sharing"",""กระบี่!Q500"")+IMPORTRANGE(""https://docs.google.com/spreadsheets/d/1GwtLaSlNZkLk7iDqcyZz22giiy40b_usZZBXYciEN1U/edit?usp=sharing"",""ชุ"&amp;"มพร!Q500"")+IMPORTRANGE(""https://docs.google.com/spreadsheets/d/16pAz3pOhQEZBhvFNMa5KGgZS6iKWpsKX0pg6tQmwFpo/edit?usp=sharing"",""ตรัง!Q500"")+IMPORTRANGE(""https://docs.google.com/spreadsheets/d/1Dj4jcHCTV9JXKCaMoheSXS52JE63kDKyG7bPXnFogHk/edit?usp=shar"&amp;"ing"",""นครศรีธรรมราช!Q500"")+IMPORTRANGE(""https://docs.google.com/spreadsheets/d/1iodCdmuK2GR3jzUwk8tpccY2JHQQA-87DLOtJP-ooyU/edit?usp=sharing"",""นราธิวาส!Q500"")+IMPORTRANGE(""https://docs.google.com/spreadsheets/d/1SDNX3JhDdYRuIOsj0Wh2M-Qa_eaXl0NbWmh"&amp;"AOTbfQAs/edit?usp=sharing"",""ปัตตานี!Q500"")+IMPORTRANGE(""https://docs.google.com/spreadsheets/d/16JDLGguT8s5DsGCND1KcwHP_AWR_zDMTqLHPLJUKhaU/edit?usp=sharing"",""พังงา!Q500"")+IMPORTRANGE(""https://docs.google.com/spreadsheets/d/17ht0gPKzzT3PObBL1XJkeR"&amp;"mntBXI7wGjpLV7QorqlTk/edit?usp=sharing"",""พัทลุง!Q500"")+IMPORTRANGE(""https://docs.google.com/spreadsheets/d/1rd4qoM1q_hsgaolqNGfrim9gbsoLxQsda4-vOz5x_BM/edit?usp=sharing"",""ภูเก็ต!Q500"")+IMPORTRANGE(""https://docs.google.com/spreadsheets/d/1woKwKjgoL"&amp;"ssDvPcPeVyezB5izizAn4X1JDrys69n6xI/edit?usp=sharing"",""ยะลา!Q500"")+IMPORTRANGE(""https://docs.google.com/spreadsheets/d/1qfrKjzMhm2HJfxQ-qVlJlJQ25Hne1d0khsySbZyGtPA/edit?usp=sharing"",""ระนอง!Q500"")+IMPORTRANGE(""https://docs.google.com/spreadsheets/d/"&amp;"1IbSCnFOKpZsnFogBHJnL_isstZVaOMnFiIN0fGTPZZw/edit?usp=sharing"",""สงขลา!Q500"")+IMPORTRANGE(""https://docs.google.com/spreadsheets/d/1q9nWasZJ-K8bFGvbE9n0qSRuKGA4Toe3Y89cKCiVtCU/edit?usp=sharing"",""สตูล!Q500"")+IMPORTRANGE(""https://docs.google.com/sprea"&amp;"dsheets/d/18T20gbkS_WBjdscyTOV05cvq_JqvqQ17C81mpxf7Ncs/edit?usp=sharing"",""สุราษฎร์ธานี!Q500"")"),0)</f>
        <v>0</v>
      </c>
      <c r="R500" s="49">
        <f ca="1">IFERROR(__xludf.DUMMYFUNCTION("IMPORTRANGE(""https://docs.google.com/spreadsheets/d/1kKUcYdkIfrgTSj8iHHHB2MD2FAtwyyocFgqGQn6ADyI/edit?usp=sharing"",""กระบี่!R500"")+IMPORTRANGE(""https://docs.google.com/spreadsheets/d/1GwtLaSlNZkLk7iDqcyZz22giiy40b_usZZBXYciEN1U/edit?usp=sharing"",""ชุ"&amp;"มพร!R500"")+IMPORTRANGE(""https://docs.google.com/spreadsheets/d/16pAz3pOhQEZBhvFNMa5KGgZS6iKWpsKX0pg6tQmwFpo/edit?usp=sharing"",""ตรัง!R500"")+IMPORTRANGE(""https://docs.google.com/spreadsheets/d/1Dj4jcHCTV9JXKCaMoheSXS52JE63kDKyG7bPXnFogHk/edit?usp=shar"&amp;"ing"",""นครศรีธรรมราช!R500"")+IMPORTRANGE(""https://docs.google.com/spreadsheets/d/1iodCdmuK2GR3jzUwk8tpccY2JHQQA-87DLOtJP-ooyU/edit?usp=sharing"",""นราธิวาส!R500"")+IMPORTRANGE(""https://docs.google.com/spreadsheets/d/1SDNX3JhDdYRuIOsj0Wh2M-Qa_eaXl0NbWmh"&amp;"AOTbfQAs/edit?usp=sharing"",""ปัตตานี!R500"")+IMPORTRANGE(""https://docs.google.com/spreadsheets/d/16JDLGguT8s5DsGCND1KcwHP_AWR_zDMTqLHPLJUKhaU/edit?usp=sharing"",""พังงา!R500"")+IMPORTRANGE(""https://docs.google.com/spreadsheets/d/17ht0gPKzzT3PObBL1XJkeR"&amp;"mntBXI7wGjpLV7QorqlTk/edit?usp=sharing"",""พัทลุง!R500"")+IMPORTRANGE(""https://docs.google.com/spreadsheets/d/1rd4qoM1q_hsgaolqNGfrim9gbsoLxQsda4-vOz5x_BM/edit?usp=sharing"",""ภูเก็ต!R500"")+IMPORTRANGE(""https://docs.google.com/spreadsheets/d/1woKwKjgoL"&amp;"ssDvPcPeVyezB5izizAn4X1JDrys69n6xI/edit?usp=sharing"",""ยะลา!R500"")+IMPORTRANGE(""https://docs.google.com/spreadsheets/d/1qfrKjzMhm2HJfxQ-qVlJlJQ25Hne1d0khsySbZyGtPA/edit?usp=sharing"",""ระนอง!R500"")+IMPORTRANGE(""https://docs.google.com/spreadsheets/d/"&amp;"1IbSCnFOKpZsnFogBHJnL_isstZVaOMnFiIN0fGTPZZw/edit?usp=sharing"",""สงขลา!R500"")+IMPORTRANGE(""https://docs.google.com/spreadsheets/d/1q9nWasZJ-K8bFGvbE9n0qSRuKGA4Toe3Y89cKCiVtCU/edit?usp=sharing"",""สตูล!R500"")+IMPORTRANGE(""https://docs.google.com/sprea"&amp;"dsheets/d/18T20gbkS_WBjdscyTOV05cvq_JqvqQ17C81mpxf7Ncs/edit?usp=sharing"",""สุราษฎร์ธานี!R500"")"),0)</f>
        <v>0</v>
      </c>
      <c r="S500" s="49">
        <f ca="1">IFERROR(__xludf.DUMMYFUNCTION("IMPORTRANGE(""https://docs.google.com/spreadsheets/d/1kKUcYdkIfrgTSj8iHHHB2MD2FAtwyyocFgqGQn6ADyI/edit?usp=sharing"",""กระบี่!S500"")+IMPORTRANGE(""https://docs.google.com/spreadsheets/d/1GwtLaSlNZkLk7iDqcyZz22giiy40b_usZZBXYciEN1U/edit?usp=sharing"",""ชุ"&amp;"มพร!S500"")+IMPORTRANGE(""https://docs.google.com/spreadsheets/d/16pAz3pOhQEZBhvFNMa5KGgZS6iKWpsKX0pg6tQmwFpo/edit?usp=sharing"",""ตรัง!S500"")+IMPORTRANGE(""https://docs.google.com/spreadsheets/d/1Dj4jcHCTV9JXKCaMoheSXS52JE63kDKyG7bPXnFogHk/edit?usp=shar"&amp;"ing"",""นครศรีธรรมราช!S500"")+IMPORTRANGE(""https://docs.google.com/spreadsheets/d/1iodCdmuK2GR3jzUwk8tpccY2JHQQA-87DLOtJP-ooyU/edit?usp=sharing"",""นราธิวาส!S500"")+IMPORTRANGE(""https://docs.google.com/spreadsheets/d/1SDNX3JhDdYRuIOsj0Wh2M-Qa_eaXl0NbWmh"&amp;"AOTbfQAs/edit?usp=sharing"",""ปัตตานี!S500"")+IMPORTRANGE(""https://docs.google.com/spreadsheets/d/16JDLGguT8s5DsGCND1KcwHP_AWR_zDMTqLHPLJUKhaU/edit?usp=sharing"",""พังงา!S500"")+IMPORTRANGE(""https://docs.google.com/spreadsheets/d/17ht0gPKzzT3PObBL1XJkeR"&amp;"mntBXI7wGjpLV7QorqlTk/edit?usp=sharing"",""พัทลุง!S500"")+IMPORTRANGE(""https://docs.google.com/spreadsheets/d/1rd4qoM1q_hsgaolqNGfrim9gbsoLxQsda4-vOz5x_BM/edit?usp=sharing"",""ภูเก็ต!S500"")+IMPORTRANGE(""https://docs.google.com/spreadsheets/d/1woKwKjgoL"&amp;"ssDvPcPeVyezB5izizAn4X1JDrys69n6xI/edit?usp=sharing"",""ยะลา!S500"")+IMPORTRANGE(""https://docs.google.com/spreadsheets/d/1qfrKjzMhm2HJfxQ-qVlJlJQ25Hne1d0khsySbZyGtPA/edit?usp=sharing"",""ระนอง!S500"")+IMPORTRANGE(""https://docs.google.com/spreadsheets/d/"&amp;"1IbSCnFOKpZsnFogBHJnL_isstZVaOMnFiIN0fGTPZZw/edit?usp=sharing"",""สงขลา!S500"")+IMPORTRANGE(""https://docs.google.com/spreadsheets/d/1q9nWasZJ-K8bFGvbE9n0qSRuKGA4Toe3Y89cKCiVtCU/edit?usp=sharing"",""สตูล!S500"")+IMPORTRANGE(""https://docs.google.com/sprea"&amp;"dsheets/d/18T20gbkS_WBjdscyTOV05cvq_JqvqQ17C81mpxf7Ncs/edit?usp=sharing"",""สุราษฎร์ธานี!S500"")"),0)</f>
        <v>0</v>
      </c>
      <c r="T500" s="49">
        <f t="shared" ca="1" si="350"/>
        <v>0</v>
      </c>
      <c r="U500" s="49">
        <f t="shared" ca="1" si="351"/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47">
        <f ca="1">IFERROR(__xludf.DUMMYFUNCTION("IMPORTRANGE(""https://docs.google.com/spreadsheets/d/1kKUcYdkIfrgTSj8iHHHB2MD2FAtwyyocFgqGQn6ADyI/edit?usp=sharing"",""กระบี่!L501"")+IMPORTRANGE(""https://docs.google.com/spreadsheets/d/1GwtLaSlNZkLk7iDqcyZz22giiy40b_usZZBXYciEN1U/edit?usp=sharing"",""ชุ"&amp;"มพร!L501"")+IMPORTRANGE(""https://docs.google.com/spreadsheets/d/16pAz3pOhQEZBhvFNMa5KGgZS6iKWpsKX0pg6tQmwFpo/edit?usp=sharing"",""ตรัง!L501"")+IMPORTRANGE(""https://docs.google.com/spreadsheets/d/1Dj4jcHCTV9JXKCaMoheSXS52JE63kDKyG7bPXnFogHk/edit?usp=shar"&amp;"ing"",""นครศรีธรรมราช!L501"")+IMPORTRANGE(""https://docs.google.com/spreadsheets/d/1iodCdmuK2GR3jzUwk8tpccY2JHQQA-87DLOtJP-ooyU/edit?usp=sharing"",""นราธิวาส!L501"")+IMPORTRANGE(""https://docs.google.com/spreadsheets/d/1SDNX3JhDdYRuIOsj0Wh2M-Qa_eaXl0NbWmh"&amp;"AOTbfQAs/edit?usp=sharing"",""ปัตตานี!L501"")+IMPORTRANGE(""https://docs.google.com/spreadsheets/d/16JDLGguT8s5DsGCND1KcwHP_AWR_zDMTqLHPLJUKhaU/edit?usp=sharing"",""พังงา!L501"")+IMPORTRANGE(""https://docs.google.com/spreadsheets/d/17ht0gPKzzT3PObBL1XJkeR"&amp;"mntBXI7wGjpLV7QorqlTk/edit?usp=sharing"",""พัทลุง!L501"")+IMPORTRANGE(""https://docs.google.com/spreadsheets/d/1rd4qoM1q_hsgaolqNGfrim9gbsoLxQsda4-vOz5x_BM/edit?usp=sharing"",""ภูเก็ต!L501"")+IMPORTRANGE(""https://docs.google.com/spreadsheets/d/1woKwKjgoL"&amp;"ssDvPcPeVyezB5izizAn4X1JDrys69n6xI/edit?usp=sharing"",""ยะลา!L501"")+IMPORTRANGE(""https://docs.google.com/spreadsheets/d/1qfrKjzMhm2HJfxQ-qVlJlJQ25Hne1d0khsySbZyGtPA/edit?usp=sharing"",""ระนอง!L501"")+IMPORTRANGE(""https://docs.google.com/spreadsheets/d/"&amp;"1IbSCnFOKpZsnFogBHJnL_isstZVaOMnFiIN0fGTPZZw/edit?usp=sharing"",""สงขลา!L501"")+IMPORTRANGE(""https://docs.google.com/spreadsheets/d/1q9nWasZJ-K8bFGvbE9n0qSRuKGA4Toe3Y89cKCiVtCU/edit?usp=sharing"",""สตูล!L501"")+IMPORTRANGE(""https://docs.google.com/sprea"&amp;"dsheets/d/18T20gbkS_WBjdscyTOV05cvq_JqvqQ17C81mpxf7Ncs/edit?usp=sharing"",""สุราษฎร์ธานี!L501"")"),0)</f>
        <v>0</v>
      </c>
      <c r="M501" s="47">
        <f ca="1">IFERROR(__xludf.DUMMYFUNCTION("IMPORTRANGE(""https://docs.google.com/spreadsheets/d/1kKUcYdkIfrgTSj8iHHHB2MD2FAtwyyocFgqGQn6ADyI/edit?usp=sharing"",""กระบี่!M501"")+IMPORTRANGE(""https://docs.google.com/spreadsheets/d/1GwtLaSlNZkLk7iDqcyZz22giiy40b_usZZBXYciEN1U/edit?usp=sharing"",""ชุ"&amp;"มพร!M501"")+IMPORTRANGE(""https://docs.google.com/spreadsheets/d/16pAz3pOhQEZBhvFNMa5KGgZS6iKWpsKX0pg6tQmwFpo/edit?usp=sharing"",""ตรัง!M501"")+IMPORTRANGE(""https://docs.google.com/spreadsheets/d/1Dj4jcHCTV9JXKCaMoheSXS52JE63kDKyG7bPXnFogHk/edit?usp=shar"&amp;"ing"",""นครศรีธรรมราช!M501"")+IMPORTRANGE(""https://docs.google.com/spreadsheets/d/1iodCdmuK2GR3jzUwk8tpccY2JHQQA-87DLOtJP-ooyU/edit?usp=sharing"",""นราธิวาส!M501"")+IMPORTRANGE(""https://docs.google.com/spreadsheets/d/1SDNX3JhDdYRuIOsj0Wh2M-Qa_eaXl0NbWmh"&amp;"AOTbfQAs/edit?usp=sharing"",""ปัตตานี!M501"")+IMPORTRANGE(""https://docs.google.com/spreadsheets/d/16JDLGguT8s5DsGCND1KcwHP_AWR_zDMTqLHPLJUKhaU/edit?usp=sharing"",""พังงา!M501"")+IMPORTRANGE(""https://docs.google.com/spreadsheets/d/17ht0gPKzzT3PObBL1XJkeR"&amp;"mntBXI7wGjpLV7QorqlTk/edit?usp=sharing"",""พัทลุง!M501"")+IMPORTRANGE(""https://docs.google.com/spreadsheets/d/1rd4qoM1q_hsgaolqNGfrim9gbsoLxQsda4-vOz5x_BM/edit?usp=sharing"",""ภูเก็ต!M501"")+IMPORTRANGE(""https://docs.google.com/spreadsheets/d/1woKwKjgoL"&amp;"ssDvPcPeVyezB5izizAn4X1JDrys69n6xI/edit?usp=sharing"",""ยะลา!M501"")+IMPORTRANGE(""https://docs.google.com/spreadsheets/d/1qfrKjzMhm2HJfxQ-qVlJlJQ25Hne1d0khsySbZyGtPA/edit?usp=sharing"",""ระนอง!M501"")+IMPORTRANGE(""https://docs.google.com/spreadsheets/d/"&amp;"1IbSCnFOKpZsnFogBHJnL_isstZVaOMnFiIN0fGTPZZw/edit?usp=sharing"",""สงขลา!M501"")+IMPORTRANGE(""https://docs.google.com/spreadsheets/d/1q9nWasZJ-K8bFGvbE9n0qSRuKGA4Toe3Y89cKCiVtCU/edit?usp=sharing"",""สตูล!M501"")+IMPORTRANGE(""https://docs.google.com/sprea"&amp;"dsheets/d/18T20gbkS_WBjdscyTOV05cvq_JqvqQ17C81mpxf7Ncs/edit?usp=sharing"",""สุราษฎร์ธานี!M501"")"),0)</f>
        <v>0</v>
      </c>
      <c r="N501" s="47">
        <f ca="1">IFERROR(__xludf.DUMMYFUNCTION("IMPORTRANGE(""https://docs.google.com/spreadsheets/d/1kKUcYdkIfrgTSj8iHHHB2MD2FAtwyyocFgqGQn6ADyI/edit?usp=sharing"",""กระบี่!N501"")+IMPORTRANGE(""https://docs.google.com/spreadsheets/d/1GwtLaSlNZkLk7iDqcyZz22giiy40b_usZZBXYciEN1U/edit?usp=sharing"",""ชุ"&amp;"มพร!N501"")+IMPORTRANGE(""https://docs.google.com/spreadsheets/d/16pAz3pOhQEZBhvFNMa5KGgZS6iKWpsKX0pg6tQmwFpo/edit?usp=sharing"",""ตรัง!N501"")+IMPORTRANGE(""https://docs.google.com/spreadsheets/d/1Dj4jcHCTV9JXKCaMoheSXS52JE63kDKyG7bPXnFogHk/edit?usp=shar"&amp;"ing"",""นครศรีธรรมราช!N501"")+IMPORTRANGE(""https://docs.google.com/spreadsheets/d/1iodCdmuK2GR3jzUwk8tpccY2JHQQA-87DLOtJP-ooyU/edit?usp=sharing"",""นราธิวาส!N501"")+IMPORTRANGE(""https://docs.google.com/spreadsheets/d/1SDNX3JhDdYRuIOsj0Wh2M-Qa_eaXl0NbWmh"&amp;"AOTbfQAs/edit?usp=sharing"",""ปัตตานี!N501"")+IMPORTRANGE(""https://docs.google.com/spreadsheets/d/16JDLGguT8s5DsGCND1KcwHP_AWR_zDMTqLHPLJUKhaU/edit?usp=sharing"",""พังงา!N501"")+IMPORTRANGE(""https://docs.google.com/spreadsheets/d/17ht0gPKzzT3PObBL1XJkeR"&amp;"mntBXI7wGjpLV7QorqlTk/edit?usp=sharing"",""พัทลุง!N501"")+IMPORTRANGE(""https://docs.google.com/spreadsheets/d/1rd4qoM1q_hsgaolqNGfrim9gbsoLxQsda4-vOz5x_BM/edit?usp=sharing"",""ภูเก็ต!N501"")+IMPORTRANGE(""https://docs.google.com/spreadsheets/d/1woKwKjgoL"&amp;"ssDvPcPeVyezB5izizAn4X1JDrys69n6xI/edit?usp=sharing"",""ยะลา!N501"")+IMPORTRANGE(""https://docs.google.com/spreadsheets/d/1qfrKjzMhm2HJfxQ-qVlJlJQ25Hne1d0khsySbZyGtPA/edit?usp=sharing"",""ระนอง!N501"")+IMPORTRANGE(""https://docs.google.com/spreadsheets/d/"&amp;"1IbSCnFOKpZsnFogBHJnL_isstZVaOMnFiIN0fGTPZZw/edit?usp=sharing"",""สงขลา!N501"")+IMPORTRANGE(""https://docs.google.com/spreadsheets/d/1q9nWasZJ-K8bFGvbE9n0qSRuKGA4Toe3Y89cKCiVtCU/edit?usp=sharing"",""สตูล!N501"")+IMPORTRANGE(""https://docs.google.com/sprea"&amp;"dsheets/d/18T20gbkS_WBjdscyTOV05cvq_JqvqQ17C81mpxf7Ncs/edit?usp=sharing"",""สุราษฎร์ธานี!N501"")"),0)</f>
        <v>0</v>
      </c>
      <c r="O501" s="47">
        <f t="shared" ca="1" si="347"/>
        <v>0</v>
      </c>
      <c r="P501" s="47">
        <f t="shared" ca="1" si="348"/>
        <v>0</v>
      </c>
      <c r="Q501" s="47">
        <f ca="1">IFERROR(__xludf.DUMMYFUNCTION("IMPORTRANGE(""https://docs.google.com/spreadsheets/d/1kKUcYdkIfrgTSj8iHHHB2MD2FAtwyyocFgqGQn6ADyI/edit?usp=sharing"",""กระบี่!Q501"")+IMPORTRANGE(""https://docs.google.com/spreadsheets/d/1GwtLaSlNZkLk7iDqcyZz22giiy40b_usZZBXYciEN1U/edit?usp=sharing"",""ชุ"&amp;"มพร!Q501"")+IMPORTRANGE(""https://docs.google.com/spreadsheets/d/16pAz3pOhQEZBhvFNMa5KGgZS6iKWpsKX0pg6tQmwFpo/edit?usp=sharing"",""ตรัง!Q501"")+IMPORTRANGE(""https://docs.google.com/spreadsheets/d/1Dj4jcHCTV9JXKCaMoheSXS52JE63kDKyG7bPXnFogHk/edit?usp=shar"&amp;"ing"",""นครศรีธรรมราช!Q501"")+IMPORTRANGE(""https://docs.google.com/spreadsheets/d/1iodCdmuK2GR3jzUwk8tpccY2JHQQA-87DLOtJP-ooyU/edit?usp=sharing"",""นราธิวาส!Q501"")+IMPORTRANGE(""https://docs.google.com/spreadsheets/d/1SDNX3JhDdYRuIOsj0Wh2M-Qa_eaXl0NbWmh"&amp;"AOTbfQAs/edit?usp=sharing"",""ปัตตานี!Q501"")+IMPORTRANGE(""https://docs.google.com/spreadsheets/d/16JDLGguT8s5DsGCND1KcwHP_AWR_zDMTqLHPLJUKhaU/edit?usp=sharing"",""พังงา!Q501"")+IMPORTRANGE(""https://docs.google.com/spreadsheets/d/17ht0gPKzzT3PObBL1XJkeR"&amp;"mntBXI7wGjpLV7QorqlTk/edit?usp=sharing"",""พัทลุง!Q501"")+IMPORTRANGE(""https://docs.google.com/spreadsheets/d/1rd4qoM1q_hsgaolqNGfrim9gbsoLxQsda4-vOz5x_BM/edit?usp=sharing"",""ภูเก็ต!Q501"")+IMPORTRANGE(""https://docs.google.com/spreadsheets/d/1woKwKjgoL"&amp;"ssDvPcPeVyezB5izizAn4X1JDrys69n6xI/edit?usp=sharing"",""ยะลา!Q501"")+IMPORTRANGE(""https://docs.google.com/spreadsheets/d/1qfrKjzMhm2HJfxQ-qVlJlJQ25Hne1d0khsySbZyGtPA/edit?usp=sharing"",""ระนอง!Q501"")+IMPORTRANGE(""https://docs.google.com/spreadsheets/d/"&amp;"1IbSCnFOKpZsnFogBHJnL_isstZVaOMnFiIN0fGTPZZw/edit?usp=sharing"",""สงขลา!Q501"")+IMPORTRANGE(""https://docs.google.com/spreadsheets/d/1q9nWasZJ-K8bFGvbE9n0qSRuKGA4Toe3Y89cKCiVtCU/edit?usp=sharing"",""สตูล!Q501"")+IMPORTRANGE(""https://docs.google.com/sprea"&amp;"dsheets/d/18T20gbkS_WBjdscyTOV05cvq_JqvqQ17C81mpxf7Ncs/edit?usp=sharing"",""สุราษฎร์ธานี!Q501"")"),0)</f>
        <v>0</v>
      </c>
      <c r="R501" s="47">
        <f ca="1">IFERROR(__xludf.DUMMYFUNCTION("IMPORTRANGE(""https://docs.google.com/spreadsheets/d/1kKUcYdkIfrgTSj8iHHHB2MD2FAtwyyocFgqGQn6ADyI/edit?usp=sharing"",""กระบี่!R501"")+IMPORTRANGE(""https://docs.google.com/spreadsheets/d/1GwtLaSlNZkLk7iDqcyZz22giiy40b_usZZBXYciEN1U/edit?usp=sharing"",""ชุ"&amp;"มพร!R501"")+IMPORTRANGE(""https://docs.google.com/spreadsheets/d/16pAz3pOhQEZBhvFNMa5KGgZS6iKWpsKX0pg6tQmwFpo/edit?usp=sharing"",""ตรัง!R501"")+IMPORTRANGE(""https://docs.google.com/spreadsheets/d/1Dj4jcHCTV9JXKCaMoheSXS52JE63kDKyG7bPXnFogHk/edit?usp=shar"&amp;"ing"",""นครศรีธรรมราช!R501"")+IMPORTRANGE(""https://docs.google.com/spreadsheets/d/1iodCdmuK2GR3jzUwk8tpccY2JHQQA-87DLOtJP-ooyU/edit?usp=sharing"",""นราธิวาส!R501"")+IMPORTRANGE(""https://docs.google.com/spreadsheets/d/1SDNX3JhDdYRuIOsj0Wh2M-Qa_eaXl0NbWmh"&amp;"AOTbfQAs/edit?usp=sharing"",""ปัตตานี!R501"")+IMPORTRANGE(""https://docs.google.com/spreadsheets/d/16JDLGguT8s5DsGCND1KcwHP_AWR_zDMTqLHPLJUKhaU/edit?usp=sharing"",""พังงา!R501"")+IMPORTRANGE(""https://docs.google.com/spreadsheets/d/17ht0gPKzzT3PObBL1XJkeR"&amp;"mntBXI7wGjpLV7QorqlTk/edit?usp=sharing"",""พัทลุง!R501"")+IMPORTRANGE(""https://docs.google.com/spreadsheets/d/1rd4qoM1q_hsgaolqNGfrim9gbsoLxQsda4-vOz5x_BM/edit?usp=sharing"",""ภูเก็ต!R501"")+IMPORTRANGE(""https://docs.google.com/spreadsheets/d/1woKwKjgoL"&amp;"ssDvPcPeVyezB5izizAn4X1JDrys69n6xI/edit?usp=sharing"",""ยะลา!R501"")+IMPORTRANGE(""https://docs.google.com/spreadsheets/d/1qfrKjzMhm2HJfxQ-qVlJlJQ25Hne1d0khsySbZyGtPA/edit?usp=sharing"",""ระนอง!R501"")+IMPORTRANGE(""https://docs.google.com/spreadsheets/d/"&amp;"1IbSCnFOKpZsnFogBHJnL_isstZVaOMnFiIN0fGTPZZw/edit?usp=sharing"",""สงขลา!R501"")+IMPORTRANGE(""https://docs.google.com/spreadsheets/d/1q9nWasZJ-K8bFGvbE9n0qSRuKGA4Toe3Y89cKCiVtCU/edit?usp=sharing"",""สตูล!R501"")+IMPORTRANGE(""https://docs.google.com/sprea"&amp;"dsheets/d/18T20gbkS_WBjdscyTOV05cvq_JqvqQ17C81mpxf7Ncs/edit?usp=sharing"",""สุราษฎร์ธานี!R501"")"),0)</f>
        <v>0</v>
      </c>
      <c r="S501" s="47">
        <f ca="1">IFERROR(__xludf.DUMMYFUNCTION("IMPORTRANGE(""https://docs.google.com/spreadsheets/d/1kKUcYdkIfrgTSj8iHHHB2MD2FAtwyyocFgqGQn6ADyI/edit?usp=sharing"",""กระบี่!S501"")+IMPORTRANGE(""https://docs.google.com/spreadsheets/d/1GwtLaSlNZkLk7iDqcyZz22giiy40b_usZZBXYciEN1U/edit?usp=sharing"",""ชุ"&amp;"มพร!S501"")+IMPORTRANGE(""https://docs.google.com/spreadsheets/d/16pAz3pOhQEZBhvFNMa5KGgZS6iKWpsKX0pg6tQmwFpo/edit?usp=sharing"",""ตรัง!S501"")+IMPORTRANGE(""https://docs.google.com/spreadsheets/d/1Dj4jcHCTV9JXKCaMoheSXS52JE63kDKyG7bPXnFogHk/edit?usp=shar"&amp;"ing"",""นครศรีธรรมราช!S501"")+IMPORTRANGE(""https://docs.google.com/spreadsheets/d/1iodCdmuK2GR3jzUwk8tpccY2JHQQA-87DLOtJP-ooyU/edit?usp=sharing"",""นราธิวาส!S501"")+IMPORTRANGE(""https://docs.google.com/spreadsheets/d/1SDNX3JhDdYRuIOsj0Wh2M-Qa_eaXl0NbWmh"&amp;"AOTbfQAs/edit?usp=sharing"",""ปัตตานี!S501"")+IMPORTRANGE(""https://docs.google.com/spreadsheets/d/16JDLGguT8s5DsGCND1KcwHP_AWR_zDMTqLHPLJUKhaU/edit?usp=sharing"",""พังงา!S501"")+IMPORTRANGE(""https://docs.google.com/spreadsheets/d/17ht0gPKzzT3PObBL1XJkeR"&amp;"mntBXI7wGjpLV7QorqlTk/edit?usp=sharing"",""พัทลุง!S501"")+IMPORTRANGE(""https://docs.google.com/spreadsheets/d/1rd4qoM1q_hsgaolqNGfrim9gbsoLxQsda4-vOz5x_BM/edit?usp=sharing"",""ภูเก็ต!S501"")+IMPORTRANGE(""https://docs.google.com/spreadsheets/d/1woKwKjgoL"&amp;"ssDvPcPeVyezB5izizAn4X1JDrys69n6xI/edit?usp=sharing"",""ยะลา!S501"")+IMPORTRANGE(""https://docs.google.com/spreadsheets/d/1qfrKjzMhm2HJfxQ-qVlJlJQ25Hne1d0khsySbZyGtPA/edit?usp=sharing"",""ระนอง!S501"")+IMPORTRANGE(""https://docs.google.com/spreadsheets/d/"&amp;"1IbSCnFOKpZsnFogBHJnL_isstZVaOMnFiIN0fGTPZZw/edit?usp=sharing"",""สงขลา!S501"")+IMPORTRANGE(""https://docs.google.com/spreadsheets/d/1q9nWasZJ-K8bFGvbE9n0qSRuKGA4Toe3Y89cKCiVtCU/edit?usp=sharing"",""สตูล!S501"")+IMPORTRANGE(""https://docs.google.com/sprea"&amp;"dsheets/d/18T20gbkS_WBjdscyTOV05cvq_JqvqQ17C81mpxf7Ncs/edit?usp=sharing"",""สุราษฎร์ธานี!S501"")"),0)</f>
        <v>0</v>
      </c>
      <c r="T501" s="47">
        <f t="shared" ca="1" si="350"/>
        <v>0</v>
      </c>
      <c r="U501" s="47">
        <f t="shared" ca="1" si="351"/>
        <v>0</v>
      </c>
    </row>
    <row r="502" spans="1:21" ht="19.5" x14ac:dyDescent="0.3">
      <c r="A502" s="138"/>
      <c r="B502" s="139"/>
      <c r="C502" s="188" t="s">
        <v>18</v>
      </c>
      <c r="D502" s="325" t="s">
        <v>38</v>
      </c>
      <c r="E502" s="141"/>
      <c r="F502" s="141"/>
      <c r="G502" s="142"/>
      <c r="H502" s="189"/>
      <c r="I502" s="135"/>
      <c r="J502" s="135"/>
      <c r="K502" s="136"/>
      <c r="L502" s="136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52">
        <f ca="1">IFERROR(__xludf.DUMMYFUNCTION("IMPORTRANGE(""https://docs.google.com/spreadsheets/d/1kKUcYdkIfrgTSj8iHHHB2MD2FAtwyyocFgqGQn6ADyI/edit?usp=sharing"",""กระบี่!I503"")+IMPORTRANGE(""https://docs.google.com/spreadsheets/d/1GwtLaSlNZkLk7iDqcyZz22giiy40b_usZZBXYciEN1U/edit?usp=sharing"",""ชุ"&amp;"มพร!I503"")+IMPORTRANGE(""https://docs.google.com/spreadsheets/d/16pAz3pOhQEZBhvFNMa5KGgZS6iKWpsKX0pg6tQmwFpo/edit?usp=sharing"",""ตรัง!I503"")+IMPORTRANGE(""https://docs.google.com/spreadsheets/d/1Dj4jcHCTV9JXKCaMoheSXS52JE63kDKyG7bPXnFogHk/edit?usp=shar"&amp;"ing"",""นครศรีธรรมราช!I503"")+IMPORTRANGE(""https://docs.google.com/spreadsheets/d/1iodCdmuK2GR3jzUwk8tpccY2JHQQA-87DLOtJP-ooyU/edit?usp=sharing"",""นราธิวาส!I503"")+IMPORTRANGE(""https://docs.google.com/spreadsheets/d/1SDNX3JhDdYRuIOsj0Wh2M-Qa_eaXl0NbWmh"&amp;"AOTbfQAs/edit?usp=sharing"",""ปัตตานี!I503"")+IMPORTRANGE(""https://docs.google.com/spreadsheets/d/16JDLGguT8s5DsGCND1KcwHP_AWR_zDMTqLHPLJUKhaU/edit?usp=sharing"",""พังงา!I503"")+IMPORTRANGE(""https://docs.google.com/spreadsheets/d/17ht0gPKzzT3PObBL1XJkeR"&amp;"mntBXI7wGjpLV7QorqlTk/edit?usp=sharing"",""พัทลุง!I503"")+IMPORTRANGE(""https://docs.google.com/spreadsheets/d/1rd4qoM1q_hsgaolqNGfrim9gbsoLxQsda4-vOz5x_BM/edit?usp=sharing"",""ภูเก็ต!I503"")+IMPORTRANGE(""https://docs.google.com/spreadsheets/d/1woKwKjgoL"&amp;"ssDvPcPeVyezB5izizAn4X1JDrys69n6xI/edit?usp=sharing"",""ยะลา!I503"")+IMPORTRANGE(""https://docs.google.com/spreadsheets/d/1qfrKjzMhm2HJfxQ-qVlJlJQ25Hne1d0khsySbZyGtPA/edit?usp=sharing"",""ระนอง!I503"")+IMPORTRANGE(""https://docs.google.com/spreadsheets/d/"&amp;"1IbSCnFOKpZsnFogBHJnL_isstZVaOMnFiIN0fGTPZZw/edit?usp=sharing"",""สงขลา!I503"")+IMPORTRANGE(""https://docs.google.com/spreadsheets/d/1q9nWasZJ-K8bFGvbE9n0qSRuKGA4Toe3Y89cKCiVtCU/edit?usp=sharing"",""สตูล!I503"")+IMPORTRANGE(""https://docs.google.com/sprea"&amp;"dsheets/d/18T20gbkS_WBjdscyTOV05cvq_JqvqQ17C81mpxf7Ncs/edit?usp=sharing"",""สุราษฎร์ธานี!I503"")"),210)</f>
        <v>210</v>
      </c>
      <c r="J503" s="152">
        <f ca="1">IFERROR(__xludf.DUMMYFUNCTION("IMPORTRANGE(""https://docs.google.com/spreadsheets/d/1kKUcYdkIfrgTSj8iHHHB2MD2FAtwyyocFgqGQn6ADyI/edit?usp=sharing"",""กระบี่!J503"")+IMPORTRANGE(""https://docs.google.com/spreadsheets/d/1GwtLaSlNZkLk7iDqcyZz22giiy40b_usZZBXYciEN1U/edit?usp=sharing"",""ชุ"&amp;"มพร!J503"")+IMPORTRANGE(""https://docs.google.com/spreadsheets/d/16pAz3pOhQEZBhvFNMa5KGgZS6iKWpsKX0pg6tQmwFpo/edit?usp=sharing"",""ตรัง!J503"")+IMPORTRANGE(""https://docs.google.com/spreadsheets/d/1Dj4jcHCTV9JXKCaMoheSXS52JE63kDKyG7bPXnFogHk/edit?usp=shar"&amp;"ing"",""นครศรีธรรมราช!J503"")+IMPORTRANGE(""https://docs.google.com/spreadsheets/d/1iodCdmuK2GR3jzUwk8tpccY2JHQQA-87DLOtJP-ooyU/edit?usp=sharing"",""นราธิวาส!J503"")+IMPORTRANGE(""https://docs.google.com/spreadsheets/d/1SDNX3JhDdYRuIOsj0Wh2M-Qa_eaXl0NbWmh"&amp;"AOTbfQAs/edit?usp=sharing"",""ปัตตานี!J503"")+IMPORTRANGE(""https://docs.google.com/spreadsheets/d/16JDLGguT8s5DsGCND1KcwHP_AWR_zDMTqLHPLJUKhaU/edit?usp=sharing"",""พังงา!J503"")+IMPORTRANGE(""https://docs.google.com/spreadsheets/d/17ht0gPKzzT3PObBL1XJkeR"&amp;"mntBXI7wGjpLV7QorqlTk/edit?usp=sharing"",""พัทลุง!J503"")+IMPORTRANGE(""https://docs.google.com/spreadsheets/d/1rd4qoM1q_hsgaolqNGfrim9gbsoLxQsda4-vOz5x_BM/edit?usp=sharing"",""ภูเก็ต!J503"")+IMPORTRANGE(""https://docs.google.com/spreadsheets/d/1woKwKjgoL"&amp;"ssDvPcPeVyezB5izizAn4X1JDrys69n6xI/edit?usp=sharing"",""ยะลา!J503"")+IMPORTRANGE(""https://docs.google.com/spreadsheets/d/1qfrKjzMhm2HJfxQ-qVlJlJQ25Hne1d0khsySbZyGtPA/edit?usp=sharing"",""ระนอง!J503"")+IMPORTRANGE(""https://docs.google.com/spreadsheets/d/"&amp;"1IbSCnFOKpZsnFogBHJnL_isstZVaOMnFiIN0fGTPZZw/edit?usp=sharing"",""สงขลา!J503"")+IMPORTRANGE(""https://docs.google.com/spreadsheets/d/1q9nWasZJ-K8bFGvbE9n0qSRuKGA4Toe3Y89cKCiVtCU/edit?usp=sharing"",""สตูล!J503"")+IMPORTRANGE(""https://docs.google.com/sprea"&amp;"dsheets/d/18T20gbkS_WBjdscyTOV05cvq_JqvqQ17C81mpxf7Ncs/edit?usp=sharing"",""สุราษฎร์ธานี!J503"")"),0)</f>
        <v>0</v>
      </c>
      <c r="K503" s="132">
        <f t="shared" ref="K503:K509" ca="1" si="360">IF(I503&gt;0,J503*100/I503,0)</f>
        <v>0</v>
      </c>
      <c r="L503" s="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kKUcYdkIfrgTSj8iHHHB2MD2FAtwyyocFgqGQn6ADyI/edit?usp=sharing"",""กระบี่!I504"")+IMPORTRANGE(""https://docs.google.com/spreadsheets/d/1GwtLaSlNZkLk7iDqcyZz22giiy40b_usZZBXYciEN1U/edit?usp=sharing"",""ชุ"&amp;"มพร!I504"")+IMPORTRANGE(""https://docs.google.com/spreadsheets/d/16pAz3pOhQEZBhvFNMa5KGgZS6iKWpsKX0pg6tQmwFpo/edit?usp=sharing"",""ตรัง!I504"")+IMPORTRANGE(""https://docs.google.com/spreadsheets/d/1Dj4jcHCTV9JXKCaMoheSXS52JE63kDKyG7bPXnFogHk/edit?usp=shar"&amp;"ing"",""นครศรีธรรมราช!I504"")+IMPORTRANGE(""https://docs.google.com/spreadsheets/d/1iodCdmuK2GR3jzUwk8tpccY2JHQQA-87DLOtJP-ooyU/edit?usp=sharing"",""นราธิวาส!I504"")+IMPORTRANGE(""https://docs.google.com/spreadsheets/d/1SDNX3JhDdYRuIOsj0Wh2M-Qa_eaXl0NbWmh"&amp;"AOTbfQAs/edit?usp=sharing"",""ปัตตานี!I504"")+IMPORTRANGE(""https://docs.google.com/spreadsheets/d/16JDLGguT8s5DsGCND1KcwHP_AWR_zDMTqLHPLJUKhaU/edit?usp=sharing"",""พังงา!I504"")+IMPORTRANGE(""https://docs.google.com/spreadsheets/d/17ht0gPKzzT3PObBL1XJkeR"&amp;"mntBXI7wGjpLV7QorqlTk/edit?usp=sharing"",""พัทลุง!I504"")+IMPORTRANGE(""https://docs.google.com/spreadsheets/d/1rd4qoM1q_hsgaolqNGfrim9gbsoLxQsda4-vOz5x_BM/edit?usp=sharing"",""ภูเก็ต!I504"")+IMPORTRANGE(""https://docs.google.com/spreadsheets/d/1woKwKjgoL"&amp;"ssDvPcPeVyezB5izizAn4X1JDrys69n6xI/edit?usp=sharing"",""ยะลา!I504"")+IMPORTRANGE(""https://docs.google.com/spreadsheets/d/1qfrKjzMhm2HJfxQ-qVlJlJQ25Hne1d0khsySbZyGtPA/edit?usp=sharing"",""ระนอง!I504"")+IMPORTRANGE(""https://docs.google.com/spreadsheets/d/"&amp;"1IbSCnFOKpZsnFogBHJnL_isstZVaOMnFiIN0fGTPZZw/edit?usp=sharing"",""สงขลา!I504"")+IMPORTRANGE(""https://docs.google.com/spreadsheets/d/1q9nWasZJ-K8bFGvbE9n0qSRuKGA4Toe3Y89cKCiVtCU/edit?usp=sharing"",""สตูล!I504"")+IMPORTRANGE(""https://docs.google.com/sprea"&amp;"dsheets/d/18T20gbkS_WBjdscyTOV05cvq_JqvqQ17C81mpxf7Ncs/edit?usp=sharing"",""สุราษฎร์ธานี!I504"")"),0)</f>
        <v>0</v>
      </c>
      <c r="J504" s="167">
        <f ca="1">IFERROR(__xludf.DUMMYFUNCTION("IMPORTRANGE(""https://docs.google.com/spreadsheets/d/1kKUcYdkIfrgTSj8iHHHB2MD2FAtwyyocFgqGQn6ADyI/edit?usp=sharing"",""กระบี่!J504"")+IMPORTRANGE(""https://docs.google.com/spreadsheets/d/1GwtLaSlNZkLk7iDqcyZz22giiy40b_usZZBXYciEN1U/edit?usp=sharing"",""ชุ"&amp;"มพร!J504"")+IMPORTRANGE(""https://docs.google.com/spreadsheets/d/16pAz3pOhQEZBhvFNMa5KGgZS6iKWpsKX0pg6tQmwFpo/edit?usp=sharing"",""ตรัง!J504"")+IMPORTRANGE(""https://docs.google.com/spreadsheets/d/1Dj4jcHCTV9JXKCaMoheSXS52JE63kDKyG7bPXnFogHk/edit?usp=shar"&amp;"ing"",""นครศรีธรรมราช!J504"")+IMPORTRANGE(""https://docs.google.com/spreadsheets/d/1iodCdmuK2GR3jzUwk8tpccY2JHQQA-87DLOtJP-ooyU/edit?usp=sharing"",""นราธิวาส!J504"")+IMPORTRANGE(""https://docs.google.com/spreadsheets/d/1SDNX3JhDdYRuIOsj0Wh2M-Qa_eaXl0NbWmh"&amp;"AOTbfQAs/edit?usp=sharing"",""ปัตตานี!J504"")+IMPORTRANGE(""https://docs.google.com/spreadsheets/d/16JDLGguT8s5DsGCND1KcwHP_AWR_zDMTqLHPLJUKhaU/edit?usp=sharing"",""พังงา!J504"")+IMPORTRANGE(""https://docs.google.com/spreadsheets/d/17ht0gPKzzT3PObBL1XJkeR"&amp;"mntBXI7wGjpLV7QorqlTk/edit?usp=sharing"",""พัทลุง!J504"")+IMPORTRANGE(""https://docs.google.com/spreadsheets/d/1rd4qoM1q_hsgaolqNGfrim9gbsoLxQsda4-vOz5x_BM/edit?usp=sharing"",""ภูเก็ต!J504"")+IMPORTRANGE(""https://docs.google.com/spreadsheets/d/1woKwKjgoL"&amp;"ssDvPcPeVyezB5izizAn4X1JDrys69n6xI/edit?usp=sharing"",""ยะลา!J504"")+IMPORTRANGE(""https://docs.google.com/spreadsheets/d/1qfrKjzMhm2HJfxQ-qVlJlJQ25Hne1d0khsySbZyGtPA/edit?usp=sharing"",""ระนอง!J504"")+IMPORTRANGE(""https://docs.google.com/spreadsheets/d/"&amp;"1IbSCnFOKpZsnFogBHJnL_isstZVaOMnFiIN0fGTPZZw/edit?usp=sharing"",""สงขลา!J504"")+IMPORTRANGE(""https://docs.google.com/spreadsheets/d/1q9nWasZJ-K8bFGvbE9n0qSRuKGA4Toe3Y89cKCiVtCU/edit?usp=sharing"",""สตูล!J504"")+IMPORTRANGE(""https://docs.google.com/sprea"&amp;"dsheets/d/18T20gbkS_WBjdscyTOV05cvq_JqvqQ17C81mpxf7Ncs/edit?usp=sharing"",""สุราษฎร์ธานี!J504"")"),110)</f>
        <v>110</v>
      </c>
      <c r="K504" s="47">
        <f t="shared" ca="1" si="360"/>
        <v>0</v>
      </c>
      <c r="L504" s="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kKUcYdkIfrgTSj8iHHHB2MD2FAtwyyocFgqGQn6ADyI/edit?usp=sharing"",""กระบี่!I505"")+IMPORTRANGE(""https://docs.google.com/spreadsheets/d/1GwtLaSlNZkLk7iDqcyZz22giiy40b_usZZBXYciEN1U/edit?usp=sharing"",""ชุ"&amp;"มพร!I505"")+IMPORTRANGE(""https://docs.google.com/spreadsheets/d/16pAz3pOhQEZBhvFNMa5KGgZS6iKWpsKX0pg6tQmwFpo/edit?usp=sharing"",""ตรัง!I505"")+IMPORTRANGE(""https://docs.google.com/spreadsheets/d/1Dj4jcHCTV9JXKCaMoheSXS52JE63kDKyG7bPXnFogHk/edit?usp=shar"&amp;"ing"",""นครศรีธรรมราช!I505"")+IMPORTRANGE(""https://docs.google.com/spreadsheets/d/1iodCdmuK2GR3jzUwk8tpccY2JHQQA-87DLOtJP-ooyU/edit?usp=sharing"",""นราธิวาส!I505"")+IMPORTRANGE(""https://docs.google.com/spreadsheets/d/1SDNX3JhDdYRuIOsj0Wh2M-Qa_eaXl0NbWmh"&amp;"AOTbfQAs/edit?usp=sharing"",""ปัตตานี!I505"")+IMPORTRANGE(""https://docs.google.com/spreadsheets/d/16JDLGguT8s5DsGCND1KcwHP_AWR_zDMTqLHPLJUKhaU/edit?usp=sharing"",""พังงา!I505"")+IMPORTRANGE(""https://docs.google.com/spreadsheets/d/17ht0gPKzzT3PObBL1XJkeR"&amp;"mntBXI7wGjpLV7QorqlTk/edit?usp=sharing"",""พัทลุง!I505"")+IMPORTRANGE(""https://docs.google.com/spreadsheets/d/1rd4qoM1q_hsgaolqNGfrim9gbsoLxQsda4-vOz5x_BM/edit?usp=sharing"",""ภูเก็ต!I505"")+IMPORTRANGE(""https://docs.google.com/spreadsheets/d/1woKwKjgoL"&amp;"ssDvPcPeVyezB5izizAn4X1JDrys69n6xI/edit?usp=sharing"",""ยะลา!I505"")+IMPORTRANGE(""https://docs.google.com/spreadsheets/d/1qfrKjzMhm2HJfxQ-qVlJlJQ25Hne1d0khsySbZyGtPA/edit?usp=sharing"",""ระนอง!I505"")+IMPORTRANGE(""https://docs.google.com/spreadsheets/d/"&amp;"1IbSCnFOKpZsnFogBHJnL_isstZVaOMnFiIN0fGTPZZw/edit?usp=sharing"",""สงขลา!I505"")+IMPORTRANGE(""https://docs.google.com/spreadsheets/d/1q9nWasZJ-K8bFGvbE9n0qSRuKGA4Toe3Y89cKCiVtCU/edit?usp=sharing"",""สตูล!I505"")+IMPORTRANGE(""https://docs.google.com/sprea"&amp;"dsheets/d/18T20gbkS_WBjdscyTOV05cvq_JqvqQ17C81mpxf7Ncs/edit?usp=sharing"",""สุราษฎร์ธานี!I505"")"),0)</f>
        <v>0</v>
      </c>
      <c r="J505" s="167">
        <f ca="1">IFERROR(__xludf.DUMMYFUNCTION("IMPORTRANGE(""https://docs.google.com/spreadsheets/d/1kKUcYdkIfrgTSj8iHHHB2MD2FAtwyyocFgqGQn6ADyI/edit?usp=sharing"",""กระบี่!J505"")+IMPORTRANGE(""https://docs.google.com/spreadsheets/d/1GwtLaSlNZkLk7iDqcyZz22giiy40b_usZZBXYciEN1U/edit?usp=sharing"",""ชุ"&amp;"มพร!J505"")+IMPORTRANGE(""https://docs.google.com/spreadsheets/d/16pAz3pOhQEZBhvFNMa5KGgZS6iKWpsKX0pg6tQmwFpo/edit?usp=sharing"",""ตรัง!J505"")+IMPORTRANGE(""https://docs.google.com/spreadsheets/d/1Dj4jcHCTV9JXKCaMoheSXS52JE63kDKyG7bPXnFogHk/edit?usp=shar"&amp;"ing"",""นครศรีธรรมราช!J505"")+IMPORTRANGE(""https://docs.google.com/spreadsheets/d/1iodCdmuK2GR3jzUwk8tpccY2JHQQA-87DLOtJP-ooyU/edit?usp=sharing"",""นราธิวาส!J505"")+IMPORTRANGE(""https://docs.google.com/spreadsheets/d/1SDNX3JhDdYRuIOsj0Wh2M-Qa_eaXl0NbWmh"&amp;"AOTbfQAs/edit?usp=sharing"",""ปัตตานี!J505"")+IMPORTRANGE(""https://docs.google.com/spreadsheets/d/16JDLGguT8s5DsGCND1KcwHP_AWR_zDMTqLHPLJUKhaU/edit?usp=sharing"",""พังงา!J505"")+IMPORTRANGE(""https://docs.google.com/spreadsheets/d/17ht0gPKzzT3PObBL1XJkeR"&amp;"mntBXI7wGjpLV7QorqlTk/edit?usp=sharing"",""พัทลุง!J505"")+IMPORTRANGE(""https://docs.google.com/spreadsheets/d/1rd4qoM1q_hsgaolqNGfrim9gbsoLxQsda4-vOz5x_BM/edit?usp=sharing"",""ภูเก็ต!J505"")+IMPORTRANGE(""https://docs.google.com/spreadsheets/d/1woKwKjgoL"&amp;"ssDvPcPeVyezB5izizAn4X1JDrys69n6xI/edit?usp=sharing"",""ยะลา!J505"")+IMPORTRANGE(""https://docs.google.com/spreadsheets/d/1qfrKjzMhm2HJfxQ-qVlJlJQ25Hne1d0khsySbZyGtPA/edit?usp=sharing"",""ระนอง!J505"")+IMPORTRANGE(""https://docs.google.com/spreadsheets/d/"&amp;"1IbSCnFOKpZsnFogBHJnL_isstZVaOMnFiIN0fGTPZZw/edit?usp=sharing"",""สงขลา!J505"")+IMPORTRANGE(""https://docs.google.com/spreadsheets/d/1q9nWasZJ-K8bFGvbE9n0qSRuKGA4Toe3Y89cKCiVtCU/edit?usp=sharing"",""สตูล!J505"")+IMPORTRANGE(""https://docs.google.com/sprea"&amp;"dsheets/d/18T20gbkS_WBjdscyTOV05cvq_JqvqQ17C81mpxf7Ncs/edit?usp=sharing"",""สุราษฎร์ธานี!J505"")"),80)</f>
        <v>80</v>
      </c>
      <c r="K505" s="47">
        <f t="shared" ca="1" si="360"/>
        <v>0</v>
      </c>
      <c r="L505" s="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kKUcYdkIfrgTSj8iHHHB2MD2FAtwyyocFgqGQn6ADyI/edit?usp=sharing"",""กระบี่!I506"")+IMPORTRANGE(""https://docs.google.com/spreadsheets/d/1GwtLaSlNZkLk7iDqcyZz22giiy40b_usZZBXYciEN1U/edit?usp=sharing"",""ชุ"&amp;"มพร!I506"")+IMPORTRANGE(""https://docs.google.com/spreadsheets/d/16pAz3pOhQEZBhvFNMa5KGgZS6iKWpsKX0pg6tQmwFpo/edit?usp=sharing"",""ตรัง!I506"")+IMPORTRANGE(""https://docs.google.com/spreadsheets/d/1Dj4jcHCTV9JXKCaMoheSXS52JE63kDKyG7bPXnFogHk/edit?usp=shar"&amp;"ing"",""นครศรีธรรมราช!I506"")+IMPORTRANGE(""https://docs.google.com/spreadsheets/d/1iodCdmuK2GR3jzUwk8tpccY2JHQQA-87DLOtJP-ooyU/edit?usp=sharing"",""นราธิวาส!I506"")+IMPORTRANGE(""https://docs.google.com/spreadsheets/d/1SDNX3JhDdYRuIOsj0Wh2M-Qa_eaXl0NbWmh"&amp;"AOTbfQAs/edit?usp=sharing"",""ปัตตานี!I506"")+IMPORTRANGE(""https://docs.google.com/spreadsheets/d/16JDLGguT8s5DsGCND1KcwHP_AWR_zDMTqLHPLJUKhaU/edit?usp=sharing"",""พังงา!I506"")+IMPORTRANGE(""https://docs.google.com/spreadsheets/d/17ht0gPKzzT3PObBL1XJkeR"&amp;"mntBXI7wGjpLV7QorqlTk/edit?usp=sharing"",""พัทลุง!I506"")+IMPORTRANGE(""https://docs.google.com/spreadsheets/d/1rd4qoM1q_hsgaolqNGfrim9gbsoLxQsda4-vOz5x_BM/edit?usp=sharing"",""ภูเก็ต!I506"")+IMPORTRANGE(""https://docs.google.com/spreadsheets/d/1woKwKjgoL"&amp;"ssDvPcPeVyezB5izizAn4X1JDrys69n6xI/edit?usp=sharing"",""ยะลา!I506"")+IMPORTRANGE(""https://docs.google.com/spreadsheets/d/1qfrKjzMhm2HJfxQ-qVlJlJQ25Hne1d0khsySbZyGtPA/edit?usp=sharing"",""ระนอง!I506"")+IMPORTRANGE(""https://docs.google.com/spreadsheets/d/"&amp;"1IbSCnFOKpZsnFogBHJnL_isstZVaOMnFiIN0fGTPZZw/edit?usp=sharing"",""สงขลา!I506"")+IMPORTRANGE(""https://docs.google.com/spreadsheets/d/1q9nWasZJ-K8bFGvbE9n0qSRuKGA4Toe3Y89cKCiVtCU/edit?usp=sharing"",""สตูล!I506"")+IMPORTRANGE(""https://docs.google.com/sprea"&amp;"dsheets/d/18T20gbkS_WBjdscyTOV05cvq_JqvqQ17C81mpxf7Ncs/edit?usp=sharing"",""สุราษฎร์ธานี!I506"")"),0)</f>
        <v>0</v>
      </c>
      <c r="J506" s="167">
        <f ca="1">IFERROR(__xludf.DUMMYFUNCTION("IMPORTRANGE(""https://docs.google.com/spreadsheets/d/1kKUcYdkIfrgTSj8iHHHB2MD2FAtwyyocFgqGQn6ADyI/edit?usp=sharing"",""กระบี่!J506"")+IMPORTRANGE(""https://docs.google.com/spreadsheets/d/1GwtLaSlNZkLk7iDqcyZz22giiy40b_usZZBXYciEN1U/edit?usp=sharing"",""ชุ"&amp;"มพร!J506"")+IMPORTRANGE(""https://docs.google.com/spreadsheets/d/16pAz3pOhQEZBhvFNMa5KGgZS6iKWpsKX0pg6tQmwFpo/edit?usp=sharing"",""ตรัง!J506"")+IMPORTRANGE(""https://docs.google.com/spreadsheets/d/1Dj4jcHCTV9JXKCaMoheSXS52JE63kDKyG7bPXnFogHk/edit?usp=shar"&amp;"ing"",""นครศรีธรรมราช!J506"")+IMPORTRANGE(""https://docs.google.com/spreadsheets/d/1iodCdmuK2GR3jzUwk8tpccY2JHQQA-87DLOtJP-ooyU/edit?usp=sharing"",""นราธิวาส!J506"")+IMPORTRANGE(""https://docs.google.com/spreadsheets/d/1SDNX3JhDdYRuIOsj0Wh2M-Qa_eaXl0NbWmh"&amp;"AOTbfQAs/edit?usp=sharing"",""ปัตตานี!J506"")+IMPORTRANGE(""https://docs.google.com/spreadsheets/d/16JDLGguT8s5DsGCND1KcwHP_AWR_zDMTqLHPLJUKhaU/edit?usp=sharing"",""พังงา!J506"")+IMPORTRANGE(""https://docs.google.com/spreadsheets/d/17ht0gPKzzT3PObBL1XJkeR"&amp;"mntBXI7wGjpLV7QorqlTk/edit?usp=sharing"",""พัทลุง!J506"")+IMPORTRANGE(""https://docs.google.com/spreadsheets/d/1rd4qoM1q_hsgaolqNGfrim9gbsoLxQsda4-vOz5x_BM/edit?usp=sharing"",""ภูเก็ต!J506"")+IMPORTRANGE(""https://docs.google.com/spreadsheets/d/1woKwKjgoL"&amp;"ssDvPcPeVyezB5izizAn4X1JDrys69n6xI/edit?usp=sharing"",""ยะลา!J506"")+IMPORTRANGE(""https://docs.google.com/spreadsheets/d/1qfrKjzMhm2HJfxQ-qVlJlJQ25Hne1d0khsySbZyGtPA/edit?usp=sharing"",""ระนอง!J506"")+IMPORTRANGE(""https://docs.google.com/spreadsheets/d/"&amp;"1IbSCnFOKpZsnFogBHJnL_isstZVaOMnFiIN0fGTPZZw/edit?usp=sharing"",""สงขลา!J506"")+IMPORTRANGE(""https://docs.google.com/spreadsheets/d/1q9nWasZJ-K8bFGvbE9n0qSRuKGA4Toe3Y89cKCiVtCU/edit?usp=sharing"",""สตูล!J506"")+IMPORTRANGE(""https://docs.google.com/sprea"&amp;"dsheets/d/18T20gbkS_WBjdscyTOV05cvq_JqvqQ17C81mpxf7Ncs/edit?usp=sharing"",""สุราษฎร์ธานี!J506"")"),50)</f>
        <v>50</v>
      </c>
      <c r="K506" s="47">
        <f t="shared" ca="1" si="360"/>
        <v>0</v>
      </c>
      <c r="L506" s="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kKUcYdkIfrgTSj8iHHHB2MD2FAtwyyocFgqGQn6ADyI/edit?usp=sharing"",""กระบี่!I507"")+IMPORTRANGE(""https://docs.google.com/spreadsheets/d/1GwtLaSlNZkLk7iDqcyZz22giiy40b_usZZBXYciEN1U/edit?usp=sharing"",""ชุ"&amp;"มพร!I507"")+IMPORTRANGE(""https://docs.google.com/spreadsheets/d/16pAz3pOhQEZBhvFNMa5KGgZS6iKWpsKX0pg6tQmwFpo/edit?usp=sharing"",""ตรัง!I507"")+IMPORTRANGE(""https://docs.google.com/spreadsheets/d/1Dj4jcHCTV9JXKCaMoheSXS52JE63kDKyG7bPXnFogHk/edit?usp=shar"&amp;"ing"",""นครศรีธรรมราช!I507"")+IMPORTRANGE(""https://docs.google.com/spreadsheets/d/1iodCdmuK2GR3jzUwk8tpccY2JHQQA-87DLOtJP-ooyU/edit?usp=sharing"",""นราธิวาส!I507"")+IMPORTRANGE(""https://docs.google.com/spreadsheets/d/1SDNX3JhDdYRuIOsj0Wh2M-Qa_eaXl0NbWmh"&amp;"AOTbfQAs/edit?usp=sharing"",""ปัตตานี!I507"")+IMPORTRANGE(""https://docs.google.com/spreadsheets/d/16JDLGguT8s5DsGCND1KcwHP_AWR_zDMTqLHPLJUKhaU/edit?usp=sharing"",""พังงา!I507"")+IMPORTRANGE(""https://docs.google.com/spreadsheets/d/17ht0gPKzzT3PObBL1XJkeR"&amp;"mntBXI7wGjpLV7QorqlTk/edit?usp=sharing"",""พัทลุง!I507"")+IMPORTRANGE(""https://docs.google.com/spreadsheets/d/1rd4qoM1q_hsgaolqNGfrim9gbsoLxQsda4-vOz5x_BM/edit?usp=sharing"",""ภูเก็ต!I507"")+IMPORTRANGE(""https://docs.google.com/spreadsheets/d/1woKwKjgoL"&amp;"ssDvPcPeVyezB5izizAn4X1JDrys69n6xI/edit?usp=sharing"",""ยะลา!I507"")+IMPORTRANGE(""https://docs.google.com/spreadsheets/d/1qfrKjzMhm2HJfxQ-qVlJlJQ25Hne1d0khsySbZyGtPA/edit?usp=sharing"",""ระนอง!I507"")+IMPORTRANGE(""https://docs.google.com/spreadsheets/d/"&amp;"1IbSCnFOKpZsnFogBHJnL_isstZVaOMnFiIN0fGTPZZw/edit?usp=sharing"",""สงขลา!I507"")+IMPORTRANGE(""https://docs.google.com/spreadsheets/d/1q9nWasZJ-K8bFGvbE9n0qSRuKGA4Toe3Y89cKCiVtCU/edit?usp=sharing"",""สตูล!I507"")+IMPORTRANGE(""https://docs.google.com/sprea"&amp;"dsheets/d/18T20gbkS_WBjdscyTOV05cvq_JqvqQ17C81mpxf7Ncs/edit?usp=sharing"",""สุราษฎร์ธานี!I507"")"),0)</f>
        <v>0</v>
      </c>
      <c r="J507" s="167">
        <f ca="1">IFERROR(__xludf.DUMMYFUNCTION("IMPORTRANGE(""https://docs.google.com/spreadsheets/d/1kKUcYdkIfrgTSj8iHHHB2MD2FAtwyyocFgqGQn6ADyI/edit?usp=sharing"",""กระบี่!J507"")+IMPORTRANGE(""https://docs.google.com/spreadsheets/d/1GwtLaSlNZkLk7iDqcyZz22giiy40b_usZZBXYciEN1U/edit?usp=sharing"",""ชุ"&amp;"มพร!J507"")+IMPORTRANGE(""https://docs.google.com/spreadsheets/d/16pAz3pOhQEZBhvFNMa5KGgZS6iKWpsKX0pg6tQmwFpo/edit?usp=sharing"",""ตรัง!J507"")+IMPORTRANGE(""https://docs.google.com/spreadsheets/d/1Dj4jcHCTV9JXKCaMoheSXS52JE63kDKyG7bPXnFogHk/edit?usp=shar"&amp;"ing"",""นครศรีธรรมราช!J507"")+IMPORTRANGE(""https://docs.google.com/spreadsheets/d/1iodCdmuK2GR3jzUwk8tpccY2JHQQA-87DLOtJP-ooyU/edit?usp=sharing"",""นราธิวาส!J507"")+IMPORTRANGE(""https://docs.google.com/spreadsheets/d/1SDNX3JhDdYRuIOsj0Wh2M-Qa_eaXl0NbWmh"&amp;"AOTbfQAs/edit?usp=sharing"",""ปัตตานี!J507"")+IMPORTRANGE(""https://docs.google.com/spreadsheets/d/16JDLGguT8s5DsGCND1KcwHP_AWR_zDMTqLHPLJUKhaU/edit?usp=sharing"",""พังงา!J507"")+IMPORTRANGE(""https://docs.google.com/spreadsheets/d/17ht0gPKzzT3PObBL1XJkeR"&amp;"mntBXI7wGjpLV7QorqlTk/edit?usp=sharing"",""พัทลุง!J507"")+IMPORTRANGE(""https://docs.google.com/spreadsheets/d/1rd4qoM1q_hsgaolqNGfrim9gbsoLxQsda4-vOz5x_BM/edit?usp=sharing"",""ภูเก็ต!J507"")+IMPORTRANGE(""https://docs.google.com/spreadsheets/d/1woKwKjgoL"&amp;"ssDvPcPeVyezB5izizAn4X1JDrys69n6xI/edit?usp=sharing"",""ยะลา!J507"")+IMPORTRANGE(""https://docs.google.com/spreadsheets/d/1qfrKjzMhm2HJfxQ-qVlJlJQ25Hne1d0khsySbZyGtPA/edit?usp=sharing"",""ระนอง!J507"")+IMPORTRANGE(""https://docs.google.com/spreadsheets/d/"&amp;"1IbSCnFOKpZsnFogBHJnL_isstZVaOMnFiIN0fGTPZZw/edit?usp=sharing"",""สงขลา!J507"")+IMPORTRANGE(""https://docs.google.com/spreadsheets/d/1q9nWasZJ-K8bFGvbE9n0qSRuKGA4Toe3Y89cKCiVtCU/edit?usp=sharing"",""สตูล!J507"")+IMPORTRANGE(""https://docs.google.com/sprea"&amp;"dsheets/d/18T20gbkS_WBjdscyTOV05cvq_JqvqQ17C81mpxf7Ncs/edit?usp=sharing"",""สุราษฎร์ธานี!J507"")"),10)</f>
        <v>10</v>
      </c>
      <c r="K507" s="47">
        <f t="shared" ca="1" si="360"/>
        <v>0</v>
      </c>
      <c r="L507" s="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 t="shared" si="360"/>
        <v>0</v>
      </c>
      <c r="L508" s="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kKUcYdkIfrgTSj8iHHHB2MD2FAtwyyocFgqGQn6ADyI/edit?usp=sharing"",""กระบี่!I509"")+IMPORTRANGE(""https://docs.google.com/spreadsheets/d/1GwtLaSlNZkLk7iDqcyZz22giiy40b_usZZBXYciEN1U/edit?usp=sharing"",""ชุ"&amp;"มพร!I509"")+IMPORTRANGE(""https://docs.google.com/spreadsheets/d/16pAz3pOhQEZBhvFNMa5KGgZS6iKWpsKX0pg6tQmwFpo/edit?usp=sharing"",""ตรัง!I509"")+IMPORTRANGE(""https://docs.google.com/spreadsheets/d/1Dj4jcHCTV9JXKCaMoheSXS52JE63kDKyG7bPXnFogHk/edit?usp=shar"&amp;"ing"",""นครศรีธรรมราช!I509"")+IMPORTRANGE(""https://docs.google.com/spreadsheets/d/1iodCdmuK2GR3jzUwk8tpccY2JHQQA-87DLOtJP-ooyU/edit?usp=sharing"",""นราธิวาส!I509"")+IMPORTRANGE(""https://docs.google.com/spreadsheets/d/1SDNX3JhDdYRuIOsj0Wh2M-Qa_eaXl0NbWmh"&amp;"AOTbfQAs/edit?usp=sharing"",""ปัตตานี!I509"")+IMPORTRANGE(""https://docs.google.com/spreadsheets/d/16JDLGguT8s5DsGCND1KcwHP_AWR_zDMTqLHPLJUKhaU/edit?usp=sharing"",""พังงา!I509"")+IMPORTRANGE(""https://docs.google.com/spreadsheets/d/17ht0gPKzzT3PObBL1XJkeR"&amp;"mntBXI7wGjpLV7QorqlTk/edit?usp=sharing"",""พัทลุง!I509"")+IMPORTRANGE(""https://docs.google.com/spreadsheets/d/1rd4qoM1q_hsgaolqNGfrim9gbsoLxQsda4-vOz5x_BM/edit?usp=sharing"",""ภูเก็ต!I509"")+IMPORTRANGE(""https://docs.google.com/spreadsheets/d/1woKwKjgoL"&amp;"ssDvPcPeVyezB5izizAn4X1JDrys69n6xI/edit?usp=sharing"",""ยะลา!I509"")+IMPORTRANGE(""https://docs.google.com/spreadsheets/d/1qfrKjzMhm2HJfxQ-qVlJlJQ25Hne1d0khsySbZyGtPA/edit?usp=sharing"",""ระนอง!I509"")+IMPORTRANGE(""https://docs.google.com/spreadsheets/d/"&amp;"1IbSCnFOKpZsnFogBHJnL_isstZVaOMnFiIN0fGTPZZw/edit?usp=sharing"",""สงขลา!I509"")+IMPORTRANGE(""https://docs.google.com/spreadsheets/d/1q9nWasZJ-K8bFGvbE9n0qSRuKGA4Toe3Y89cKCiVtCU/edit?usp=sharing"",""สตูล!I509"")+IMPORTRANGE(""https://docs.google.com/sprea"&amp;"dsheets/d/18T20gbkS_WBjdscyTOV05cvq_JqvqQ17C81mpxf7Ncs/edit?usp=sharing"",""สุราษฎร์ธานี!I509"")"),0)</f>
        <v>0</v>
      </c>
      <c r="J509" s="355">
        <f ca="1">IFERROR(__xludf.DUMMYFUNCTION("IMPORTRANGE(""https://docs.google.com/spreadsheets/d/1kKUcYdkIfrgTSj8iHHHB2MD2FAtwyyocFgqGQn6ADyI/edit?usp=sharing"",""กระบี่!J509"")+IMPORTRANGE(""https://docs.google.com/spreadsheets/d/1GwtLaSlNZkLk7iDqcyZz22giiy40b_usZZBXYciEN1U/edit?usp=sharing"",""ชุ"&amp;"มพร!J509"")+IMPORTRANGE(""https://docs.google.com/spreadsheets/d/16pAz3pOhQEZBhvFNMa5KGgZS6iKWpsKX0pg6tQmwFpo/edit?usp=sharing"",""ตรัง!J509"")+IMPORTRANGE(""https://docs.google.com/spreadsheets/d/1Dj4jcHCTV9JXKCaMoheSXS52JE63kDKyG7bPXnFogHk/edit?usp=shar"&amp;"ing"",""นครศรีธรรมราช!J509"")+IMPORTRANGE(""https://docs.google.com/spreadsheets/d/1iodCdmuK2GR3jzUwk8tpccY2JHQQA-87DLOtJP-ooyU/edit?usp=sharing"",""นราธิวาส!J509"")+IMPORTRANGE(""https://docs.google.com/spreadsheets/d/1SDNX3JhDdYRuIOsj0Wh2M-Qa_eaXl0NbWmh"&amp;"AOTbfQAs/edit?usp=sharing"",""ปัตตานี!J509"")+IMPORTRANGE(""https://docs.google.com/spreadsheets/d/16JDLGguT8s5DsGCND1KcwHP_AWR_zDMTqLHPLJUKhaU/edit?usp=sharing"",""พังงา!J509"")+IMPORTRANGE(""https://docs.google.com/spreadsheets/d/17ht0gPKzzT3PObBL1XJkeR"&amp;"mntBXI7wGjpLV7QorqlTk/edit?usp=sharing"",""พัทลุง!J509"")+IMPORTRANGE(""https://docs.google.com/spreadsheets/d/1rd4qoM1q_hsgaolqNGfrim9gbsoLxQsda4-vOz5x_BM/edit?usp=sharing"",""ภูเก็ต!J509"")+IMPORTRANGE(""https://docs.google.com/spreadsheets/d/1woKwKjgoL"&amp;"ssDvPcPeVyezB5izizAn4X1JDrys69n6xI/edit?usp=sharing"",""ยะลา!J509"")+IMPORTRANGE(""https://docs.google.com/spreadsheets/d/1qfrKjzMhm2HJfxQ-qVlJlJQ25Hne1d0khsySbZyGtPA/edit?usp=sharing"",""ระนอง!J509"")+IMPORTRANGE(""https://docs.google.com/spreadsheets/d/"&amp;"1IbSCnFOKpZsnFogBHJnL_isstZVaOMnFiIN0fGTPZZw/edit?usp=sharing"",""สงขลา!J509"")+IMPORTRANGE(""https://docs.google.com/spreadsheets/d/1q9nWasZJ-K8bFGvbE9n0qSRuKGA4Toe3Y89cKCiVtCU/edit?usp=sharing"",""สตูล!J509"")+IMPORTRANGE(""https://docs.google.com/sprea"&amp;"dsheets/d/18T20gbkS_WBjdscyTOV05cvq_JqvqQ17C81mpxf7Ncs/edit?usp=sharing"",""สุราษฎร์ธานี!J509"")"),0)</f>
        <v>0</v>
      </c>
      <c r="K509" s="111">
        <f t="shared" ca="1" si="360"/>
        <v>0</v>
      </c>
      <c r="L509" s="4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356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360"/>
      <c r="M510" s="360"/>
      <c r="N510" s="360"/>
      <c r="O510" s="360"/>
      <c r="P510" s="361"/>
      <c r="Q510" s="360"/>
      <c r="R510" s="360"/>
      <c r="S510" s="360"/>
      <c r="T510" s="362"/>
      <c r="U510" s="362"/>
    </row>
    <row r="511" spans="1:21" ht="19.5" x14ac:dyDescent="0.3">
      <c r="A511" s="363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368"/>
      <c r="M511" s="368"/>
      <c r="N511" s="368"/>
      <c r="O511" s="368"/>
      <c r="P511" s="368"/>
      <c r="Q511" s="368"/>
      <c r="R511" s="368"/>
      <c r="S511" s="368"/>
      <c r="T511" s="369"/>
      <c r="U511" s="369"/>
    </row>
    <row r="512" spans="1:21" ht="19.5" x14ac:dyDescent="0.3">
      <c r="A512" s="370"/>
      <c r="B512" s="371" t="s">
        <v>207</v>
      </c>
      <c r="C512" s="372"/>
      <c r="D512" s="373"/>
      <c r="E512" s="373"/>
      <c r="F512" s="373"/>
      <c r="G512" s="374"/>
      <c r="H512" s="375" t="s">
        <v>61</v>
      </c>
      <c r="I512" s="376">
        <f t="shared" ref="I512:J512" ca="1" si="361">I524</f>
        <v>1</v>
      </c>
      <c r="J512" s="376">
        <f t="shared" ca="1" si="361"/>
        <v>0</v>
      </c>
      <c r="K512" s="377">
        <f ca="1">IF(I512&gt;0,J512*100/I512,0)</f>
        <v>0</v>
      </c>
      <c r="L512" s="378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128"/>
      <c r="B513" s="41"/>
      <c r="C513" s="129" t="s">
        <v>18</v>
      </c>
      <c r="D513" s="130" t="s">
        <v>19</v>
      </c>
      <c r="E513" s="41"/>
      <c r="F513" s="41"/>
      <c r="G513" s="43"/>
      <c r="H513" s="131" t="s">
        <v>14</v>
      </c>
      <c r="I513" s="45"/>
      <c r="J513" s="45"/>
      <c r="K513" s="46"/>
      <c r="L513" s="132">
        <f t="shared" ref="L513:N513" ca="1" si="362">L514+L515</f>
        <v>33423500</v>
      </c>
      <c r="M513" s="132">
        <f t="shared" ca="1" si="362"/>
        <v>33423500</v>
      </c>
      <c r="N513" s="132">
        <f t="shared" ca="1" si="362"/>
        <v>0</v>
      </c>
      <c r="O513" s="132">
        <f t="shared" ref="O513:O521" ca="1" si="363">IF(L513&gt;0,N513*100/L513,0)</f>
        <v>0</v>
      </c>
      <c r="P513" s="132">
        <f t="shared" ref="P513:P521" ca="1" si="364">IF(M513&gt;0,N513*100/M513,0)</f>
        <v>0</v>
      </c>
      <c r="Q513" s="132">
        <f t="shared" ref="Q513:S513" ca="1" si="365">Q514+Q515</f>
        <v>0</v>
      </c>
      <c r="R513" s="132">
        <f t="shared" ca="1" si="365"/>
        <v>0</v>
      </c>
      <c r="S513" s="132">
        <f t="shared" ca="1" si="365"/>
        <v>0</v>
      </c>
      <c r="T513" s="132">
        <f t="shared" ref="T513:T521" ca="1" si="366">IF(Q513&gt;0,S513*100/Q513,0)</f>
        <v>0</v>
      </c>
      <c r="U513" s="132">
        <f t="shared" ref="U513:U521" ca="1" si="367"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48" t="s">
        <v>20</v>
      </c>
      <c r="F514" s="41"/>
      <c r="G514" s="43"/>
      <c r="H514" s="133" t="s">
        <v>14</v>
      </c>
      <c r="I514" s="45"/>
      <c r="J514" s="45"/>
      <c r="K514" s="46"/>
      <c r="L514" s="47">
        <f t="shared" ref="L514:N514" ca="1" si="368">L517+L520</f>
        <v>0</v>
      </c>
      <c r="M514" s="47">
        <f t="shared" ca="1" si="368"/>
        <v>0</v>
      </c>
      <c r="N514" s="47">
        <f t="shared" ca="1" si="368"/>
        <v>0</v>
      </c>
      <c r="O514" s="47">
        <f t="shared" ca="1" si="363"/>
        <v>0</v>
      </c>
      <c r="P514" s="47">
        <f t="shared" ca="1" si="364"/>
        <v>0</v>
      </c>
      <c r="Q514" s="47">
        <f t="shared" ref="Q514:S514" ca="1" si="369">Q517+Q520</f>
        <v>0</v>
      </c>
      <c r="R514" s="47">
        <f t="shared" ca="1" si="369"/>
        <v>0</v>
      </c>
      <c r="S514" s="47">
        <f t="shared" ca="1" si="369"/>
        <v>0</v>
      </c>
      <c r="T514" s="49">
        <f t="shared" ca="1" si="366"/>
        <v>0</v>
      </c>
      <c r="U514" s="49">
        <f t="shared" ca="1" si="367"/>
        <v>0</v>
      </c>
    </row>
    <row r="515" spans="1:21" ht="18.75" hidden="1" x14ac:dyDescent="0.25">
      <c r="A515" s="128"/>
      <c r="B515" s="41"/>
      <c r="C515" s="41"/>
      <c r="D515" s="41"/>
      <c r="E515" s="48" t="s">
        <v>21</v>
      </c>
      <c r="F515" s="41"/>
      <c r="G515" s="43"/>
      <c r="H515" s="133" t="s">
        <v>14</v>
      </c>
      <c r="I515" s="45"/>
      <c r="J515" s="45"/>
      <c r="K515" s="46"/>
      <c r="L515" s="47">
        <f t="shared" ref="L515:N515" ca="1" si="370">L518+L521</f>
        <v>33423500</v>
      </c>
      <c r="M515" s="47">
        <f t="shared" ca="1" si="370"/>
        <v>33423500</v>
      </c>
      <c r="N515" s="47">
        <f t="shared" ca="1" si="370"/>
        <v>0</v>
      </c>
      <c r="O515" s="47">
        <f t="shared" ca="1" si="363"/>
        <v>0</v>
      </c>
      <c r="P515" s="47">
        <f t="shared" ca="1" si="364"/>
        <v>0</v>
      </c>
      <c r="Q515" s="47">
        <f t="shared" ref="Q515:S515" ca="1" si="371">Q518+Q521</f>
        <v>0</v>
      </c>
      <c r="R515" s="47">
        <f t="shared" ca="1" si="371"/>
        <v>0</v>
      </c>
      <c r="S515" s="47">
        <f t="shared" ca="1" si="371"/>
        <v>0</v>
      </c>
      <c r="T515" s="47">
        <f t="shared" ca="1" si="366"/>
        <v>0</v>
      </c>
      <c r="U515" s="47">
        <f t="shared" ca="1" si="367"/>
        <v>0</v>
      </c>
    </row>
    <row r="516" spans="1:21" ht="18.75" x14ac:dyDescent="0.25">
      <c r="A516" s="128"/>
      <c r="B516" s="41"/>
      <c r="C516" s="41"/>
      <c r="D516" s="42" t="s">
        <v>22</v>
      </c>
      <c r="E516" s="41"/>
      <c r="F516" s="41"/>
      <c r="G516" s="43"/>
      <c r="H516" s="134" t="s">
        <v>14</v>
      </c>
      <c r="I516" s="135"/>
      <c r="J516" s="135"/>
      <c r="K516" s="136"/>
      <c r="L516" s="47">
        <f t="shared" ref="L516:N516" ca="1" si="372">L517+L518</f>
        <v>0</v>
      </c>
      <c r="M516" s="47">
        <f t="shared" ca="1" si="372"/>
        <v>0</v>
      </c>
      <c r="N516" s="47">
        <f t="shared" ca="1" si="372"/>
        <v>0</v>
      </c>
      <c r="O516" s="47">
        <f t="shared" ca="1" si="363"/>
        <v>0</v>
      </c>
      <c r="P516" s="47">
        <f t="shared" ca="1" si="364"/>
        <v>0</v>
      </c>
      <c r="Q516" s="47">
        <f t="shared" ref="Q516:S516" ca="1" si="373">Q517+Q518</f>
        <v>0</v>
      </c>
      <c r="R516" s="47">
        <f t="shared" ca="1" si="373"/>
        <v>0</v>
      </c>
      <c r="S516" s="47">
        <f t="shared" ca="1" si="373"/>
        <v>0</v>
      </c>
      <c r="T516" s="47">
        <f t="shared" ca="1" si="366"/>
        <v>0</v>
      </c>
      <c r="U516" s="47">
        <f t="shared" ca="1" si="367"/>
        <v>0</v>
      </c>
    </row>
    <row r="517" spans="1:21" ht="18.75" hidden="1" x14ac:dyDescent="0.25">
      <c r="A517" s="128"/>
      <c r="B517" s="41"/>
      <c r="C517" s="41"/>
      <c r="D517" s="41"/>
      <c r="E517" s="48" t="s">
        <v>36</v>
      </c>
      <c r="F517" s="41"/>
      <c r="G517" s="43"/>
      <c r="H517" s="134" t="s">
        <v>14</v>
      </c>
      <c r="I517" s="135"/>
      <c r="J517" s="135"/>
      <c r="K517" s="136"/>
      <c r="L517" s="47">
        <f ca="1">IFERROR(__xludf.DUMMYFUNCTION("IMPORTRANGE(""https://docs.google.com/spreadsheets/d/1kKUcYdkIfrgTSj8iHHHB2MD2FAtwyyocFgqGQn6ADyI/edit?usp=sharing"",""กระบี่!L517"")+IMPORTRANGE(""https://docs.google.com/spreadsheets/d/1GwtLaSlNZkLk7iDqcyZz22giiy40b_usZZBXYciEN1U/edit?usp=sharing"",""ชุ"&amp;"มพร!L517"")+IMPORTRANGE(""https://docs.google.com/spreadsheets/d/16pAz3pOhQEZBhvFNMa5KGgZS6iKWpsKX0pg6tQmwFpo/edit?usp=sharing"",""ตรัง!L517"")+IMPORTRANGE(""https://docs.google.com/spreadsheets/d/1Dj4jcHCTV9JXKCaMoheSXS52JE63kDKyG7bPXnFogHk/edit?usp=shar"&amp;"ing"",""นครศรีธรรมราช!L517"")+IMPORTRANGE(""https://docs.google.com/spreadsheets/d/1iodCdmuK2GR3jzUwk8tpccY2JHQQA-87DLOtJP-ooyU/edit?usp=sharing"",""นราธิวาส!L517"")+IMPORTRANGE(""https://docs.google.com/spreadsheets/d/1SDNX3JhDdYRuIOsj0Wh2M-Qa_eaXl0NbWmh"&amp;"AOTbfQAs/edit?usp=sharing"",""ปัตตานี!L517"")+IMPORTRANGE(""https://docs.google.com/spreadsheets/d/16JDLGguT8s5DsGCND1KcwHP_AWR_zDMTqLHPLJUKhaU/edit?usp=sharing"",""พังงา!L517"")+IMPORTRANGE(""https://docs.google.com/spreadsheets/d/17ht0gPKzzT3PObBL1XJkeR"&amp;"mntBXI7wGjpLV7QorqlTk/edit?usp=sharing"",""พัทลุง!L517"")+IMPORTRANGE(""https://docs.google.com/spreadsheets/d/1rd4qoM1q_hsgaolqNGfrim9gbsoLxQsda4-vOz5x_BM/edit?usp=sharing"",""ภูเก็ต!L517"")+IMPORTRANGE(""https://docs.google.com/spreadsheets/d/1woKwKjgoL"&amp;"ssDvPcPeVyezB5izizAn4X1JDrys69n6xI/edit?usp=sharing"",""ยะลา!L517"")+IMPORTRANGE(""https://docs.google.com/spreadsheets/d/1qfrKjzMhm2HJfxQ-qVlJlJQ25Hne1d0khsySbZyGtPA/edit?usp=sharing"",""ระนอง!L517"")+IMPORTRANGE(""https://docs.google.com/spreadsheets/d/"&amp;"1IbSCnFOKpZsnFogBHJnL_isstZVaOMnFiIN0fGTPZZw/edit?usp=sharing"",""สงขลา!L517"")+IMPORTRANGE(""https://docs.google.com/spreadsheets/d/1q9nWasZJ-K8bFGvbE9n0qSRuKGA4Toe3Y89cKCiVtCU/edit?usp=sharing"",""สตูล!L517"")+IMPORTRANGE(""https://docs.google.com/sprea"&amp;"dsheets/d/18T20gbkS_WBjdscyTOV05cvq_JqvqQ17C81mpxf7Ncs/edit?usp=sharing"",""สุราษฎร์ธานี!L517"")"),0)</f>
        <v>0</v>
      </c>
      <c r="M517" s="47">
        <f ca="1">IFERROR(__xludf.DUMMYFUNCTION("IMPORTRANGE(""https://docs.google.com/spreadsheets/d/1kKUcYdkIfrgTSj8iHHHB2MD2FAtwyyocFgqGQn6ADyI/edit?usp=sharing"",""กระบี่!M517"")+IMPORTRANGE(""https://docs.google.com/spreadsheets/d/1GwtLaSlNZkLk7iDqcyZz22giiy40b_usZZBXYciEN1U/edit?usp=sharing"",""ชุ"&amp;"มพร!M517"")+IMPORTRANGE(""https://docs.google.com/spreadsheets/d/16pAz3pOhQEZBhvFNMa5KGgZS6iKWpsKX0pg6tQmwFpo/edit?usp=sharing"",""ตรัง!M517"")+IMPORTRANGE(""https://docs.google.com/spreadsheets/d/1Dj4jcHCTV9JXKCaMoheSXS52JE63kDKyG7bPXnFogHk/edit?usp=shar"&amp;"ing"",""นครศรีธรรมราช!M517"")+IMPORTRANGE(""https://docs.google.com/spreadsheets/d/1iodCdmuK2GR3jzUwk8tpccY2JHQQA-87DLOtJP-ooyU/edit?usp=sharing"",""นราธิวาส!M517"")+IMPORTRANGE(""https://docs.google.com/spreadsheets/d/1SDNX3JhDdYRuIOsj0Wh2M-Qa_eaXl0NbWmh"&amp;"AOTbfQAs/edit?usp=sharing"",""ปัตตานี!M517"")+IMPORTRANGE(""https://docs.google.com/spreadsheets/d/16JDLGguT8s5DsGCND1KcwHP_AWR_zDMTqLHPLJUKhaU/edit?usp=sharing"",""พังงา!M517"")+IMPORTRANGE(""https://docs.google.com/spreadsheets/d/17ht0gPKzzT3PObBL1XJkeR"&amp;"mntBXI7wGjpLV7QorqlTk/edit?usp=sharing"",""พัทลุง!M517"")+IMPORTRANGE(""https://docs.google.com/spreadsheets/d/1rd4qoM1q_hsgaolqNGfrim9gbsoLxQsda4-vOz5x_BM/edit?usp=sharing"",""ภูเก็ต!M517"")+IMPORTRANGE(""https://docs.google.com/spreadsheets/d/1woKwKjgoL"&amp;"ssDvPcPeVyezB5izizAn4X1JDrys69n6xI/edit?usp=sharing"",""ยะลา!M517"")+IMPORTRANGE(""https://docs.google.com/spreadsheets/d/1qfrKjzMhm2HJfxQ-qVlJlJQ25Hne1d0khsySbZyGtPA/edit?usp=sharing"",""ระนอง!M517"")+IMPORTRANGE(""https://docs.google.com/spreadsheets/d/"&amp;"1IbSCnFOKpZsnFogBHJnL_isstZVaOMnFiIN0fGTPZZw/edit?usp=sharing"",""สงขลา!M517"")+IMPORTRANGE(""https://docs.google.com/spreadsheets/d/1q9nWasZJ-K8bFGvbE9n0qSRuKGA4Toe3Y89cKCiVtCU/edit?usp=sharing"",""สตูล!M517"")+IMPORTRANGE(""https://docs.google.com/sprea"&amp;"dsheets/d/18T20gbkS_WBjdscyTOV05cvq_JqvqQ17C81mpxf7Ncs/edit?usp=sharing"",""สุราษฎร์ธานี!M517"")"),0)</f>
        <v>0</v>
      </c>
      <c r="N517" s="47">
        <f ca="1">IFERROR(__xludf.DUMMYFUNCTION("IMPORTRANGE(""https://docs.google.com/spreadsheets/d/1kKUcYdkIfrgTSj8iHHHB2MD2FAtwyyocFgqGQn6ADyI/edit?usp=sharing"",""กระบี่!N517"")+IMPORTRANGE(""https://docs.google.com/spreadsheets/d/1GwtLaSlNZkLk7iDqcyZz22giiy40b_usZZBXYciEN1U/edit?usp=sharing"",""ชุ"&amp;"มพร!N517"")+IMPORTRANGE(""https://docs.google.com/spreadsheets/d/16pAz3pOhQEZBhvFNMa5KGgZS6iKWpsKX0pg6tQmwFpo/edit?usp=sharing"",""ตรัง!N517"")+IMPORTRANGE(""https://docs.google.com/spreadsheets/d/1Dj4jcHCTV9JXKCaMoheSXS52JE63kDKyG7bPXnFogHk/edit?usp=shar"&amp;"ing"",""นครศรีธรรมราช!N517"")+IMPORTRANGE(""https://docs.google.com/spreadsheets/d/1iodCdmuK2GR3jzUwk8tpccY2JHQQA-87DLOtJP-ooyU/edit?usp=sharing"",""นราธิวาส!N517"")+IMPORTRANGE(""https://docs.google.com/spreadsheets/d/1SDNX3JhDdYRuIOsj0Wh2M-Qa_eaXl0NbWmh"&amp;"AOTbfQAs/edit?usp=sharing"",""ปัตตานี!N517"")+IMPORTRANGE(""https://docs.google.com/spreadsheets/d/16JDLGguT8s5DsGCND1KcwHP_AWR_zDMTqLHPLJUKhaU/edit?usp=sharing"",""พังงา!N517"")+IMPORTRANGE(""https://docs.google.com/spreadsheets/d/17ht0gPKzzT3PObBL1XJkeR"&amp;"mntBXI7wGjpLV7QorqlTk/edit?usp=sharing"",""พัทลุง!N517"")+IMPORTRANGE(""https://docs.google.com/spreadsheets/d/1rd4qoM1q_hsgaolqNGfrim9gbsoLxQsda4-vOz5x_BM/edit?usp=sharing"",""ภูเก็ต!N517"")+IMPORTRANGE(""https://docs.google.com/spreadsheets/d/1woKwKjgoL"&amp;"ssDvPcPeVyezB5izizAn4X1JDrys69n6xI/edit?usp=sharing"",""ยะลา!N517"")+IMPORTRANGE(""https://docs.google.com/spreadsheets/d/1qfrKjzMhm2HJfxQ-qVlJlJQ25Hne1d0khsySbZyGtPA/edit?usp=sharing"",""ระนอง!N517"")+IMPORTRANGE(""https://docs.google.com/spreadsheets/d/"&amp;"1IbSCnFOKpZsnFogBHJnL_isstZVaOMnFiIN0fGTPZZw/edit?usp=sharing"",""สงขลา!N517"")+IMPORTRANGE(""https://docs.google.com/spreadsheets/d/1q9nWasZJ-K8bFGvbE9n0qSRuKGA4Toe3Y89cKCiVtCU/edit?usp=sharing"",""สตูล!N517"")+IMPORTRANGE(""https://docs.google.com/sprea"&amp;"dsheets/d/18T20gbkS_WBjdscyTOV05cvq_JqvqQ17C81mpxf7Ncs/edit?usp=sharing"",""สุราษฎร์ธานี!N517"")"),0)</f>
        <v>0</v>
      </c>
      <c r="O517" s="47">
        <f t="shared" ca="1" si="363"/>
        <v>0</v>
      </c>
      <c r="P517" s="47">
        <f t="shared" ca="1" si="364"/>
        <v>0</v>
      </c>
      <c r="Q517" s="47">
        <f ca="1">IFERROR(__xludf.DUMMYFUNCTION("IMPORTRANGE(""https://docs.google.com/spreadsheets/d/1kKUcYdkIfrgTSj8iHHHB2MD2FAtwyyocFgqGQn6ADyI/edit?usp=sharing"",""กระบี่!Q517"")+IMPORTRANGE(""https://docs.google.com/spreadsheets/d/1GwtLaSlNZkLk7iDqcyZz22giiy40b_usZZBXYciEN1U/edit?usp=sharing"",""ชุ"&amp;"มพร!Q517"")+IMPORTRANGE(""https://docs.google.com/spreadsheets/d/16pAz3pOhQEZBhvFNMa5KGgZS6iKWpsKX0pg6tQmwFpo/edit?usp=sharing"",""ตรัง!Q517"")+IMPORTRANGE(""https://docs.google.com/spreadsheets/d/1Dj4jcHCTV9JXKCaMoheSXS52JE63kDKyG7bPXnFogHk/edit?usp=shar"&amp;"ing"",""นครศรีธรรมราช!Q517"")+IMPORTRANGE(""https://docs.google.com/spreadsheets/d/1iodCdmuK2GR3jzUwk8tpccY2JHQQA-87DLOtJP-ooyU/edit?usp=sharing"",""นราธิวาส!Q517"")+IMPORTRANGE(""https://docs.google.com/spreadsheets/d/1SDNX3JhDdYRuIOsj0Wh2M-Qa_eaXl0NbWmh"&amp;"AOTbfQAs/edit?usp=sharing"",""ปัตตานี!Q517"")+IMPORTRANGE(""https://docs.google.com/spreadsheets/d/16JDLGguT8s5DsGCND1KcwHP_AWR_zDMTqLHPLJUKhaU/edit?usp=sharing"",""พังงา!Q517"")+IMPORTRANGE(""https://docs.google.com/spreadsheets/d/17ht0gPKzzT3PObBL1XJkeR"&amp;"mntBXI7wGjpLV7QorqlTk/edit?usp=sharing"",""พัทลุง!Q517"")+IMPORTRANGE(""https://docs.google.com/spreadsheets/d/1rd4qoM1q_hsgaolqNGfrim9gbsoLxQsda4-vOz5x_BM/edit?usp=sharing"",""ภูเก็ต!Q517"")+IMPORTRANGE(""https://docs.google.com/spreadsheets/d/1woKwKjgoL"&amp;"ssDvPcPeVyezB5izizAn4X1JDrys69n6xI/edit?usp=sharing"",""ยะลา!Q517"")+IMPORTRANGE(""https://docs.google.com/spreadsheets/d/1qfrKjzMhm2HJfxQ-qVlJlJQ25Hne1d0khsySbZyGtPA/edit?usp=sharing"",""ระนอง!Q517"")+IMPORTRANGE(""https://docs.google.com/spreadsheets/d/"&amp;"1IbSCnFOKpZsnFogBHJnL_isstZVaOMnFiIN0fGTPZZw/edit?usp=sharing"",""สงขลา!Q517"")+IMPORTRANGE(""https://docs.google.com/spreadsheets/d/1q9nWasZJ-K8bFGvbE9n0qSRuKGA4Toe3Y89cKCiVtCU/edit?usp=sharing"",""สตูล!Q517"")+IMPORTRANGE(""https://docs.google.com/sprea"&amp;"dsheets/d/18T20gbkS_WBjdscyTOV05cvq_JqvqQ17C81mpxf7Ncs/edit?usp=sharing"",""สุราษฎร์ธานี!Q517"")"),0)</f>
        <v>0</v>
      </c>
      <c r="R517" s="47">
        <f ca="1">IFERROR(__xludf.DUMMYFUNCTION("IMPORTRANGE(""https://docs.google.com/spreadsheets/d/1kKUcYdkIfrgTSj8iHHHB2MD2FAtwyyocFgqGQn6ADyI/edit?usp=sharing"",""กระบี่!R517"")+IMPORTRANGE(""https://docs.google.com/spreadsheets/d/1GwtLaSlNZkLk7iDqcyZz22giiy40b_usZZBXYciEN1U/edit?usp=sharing"",""ชุ"&amp;"มพร!R517"")+IMPORTRANGE(""https://docs.google.com/spreadsheets/d/16pAz3pOhQEZBhvFNMa5KGgZS6iKWpsKX0pg6tQmwFpo/edit?usp=sharing"",""ตรัง!R517"")+IMPORTRANGE(""https://docs.google.com/spreadsheets/d/1Dj4jcHCTV9JXKCaMoheSXS52JE63kDKyG7bPXnFogHk/edit?usp=shar"&amp;"ing"",""นครศรีธรรมราช!R517"")+IMPORTRANGE(""https://docs.google.com/spreadsheets/d/1iodCdmuK2GR3jzUwk8tpccY2JHQQA-87DLOtJP-ooyU/edit?usp=sharing"",""นราธิวาส!R517"")+IMPORTRANGE(""https://docs.google.com/spreadsheets/d/1SDNX3JhDdYRuIOsj0Wh2M-Qa_eaXl0NbWmh"&amp;"AOTbfQAs/edit?usp=sharing"",""ปัตตานี!R517"")+IMPORTRANGE(""https://docs.google.com/spreadsheets/d/16JDLGguT8s5DsGCND1KcwHP_AWR_zDMTqLHPLJUKhaU/edit?usp=sharing"",""พังงา!R517"")+IMPORTRANGE(""https://docs.google.com/spreadsheets/d/17ht0gPKzzT3PObBL1XJkeR"&amp;"mntBXI7wGjpLV7QorqlTk/edit?usp=sharing"",""พัทลุง!R517"")+IMPORTRANGE(""https://docs.google.com/spreadsheets/d/1rd4qoM1q_hsgaolqNGfrim9gbsoLxQsda4-vOz5x_BM/edit?usp=sharing"",""ภูเก็ต!R517"")+IMPORTRANGE(""https://docs.google.com/spreadsheets/d/1woKwKjgoL"&amp;"ssDvPcPeVyezB5izizAn4X1JDrys69n6xI/edit?usp=sharing"",""ยะลา!R517"")+IMPORTRANGE(""https://docs.google.com/spreadsheets/d/1qfrKjzMhm2HJfxQ-qVlJlJQ25Hne1d0khsySbZyGtPA/edit?usp=sharing"",""ระนอง!R517"")+IMPORTRANGE(""https://docs.google.com/spreadsheets/d/"&amp;"1IbSCnFOKpZsnFogBHJnL_isstZVaOMnFiIN0fGTPZZw/edit?usp=sharing"",""สงขลา!R517"")+IMPORTRANGE(""https://docs.google.com/spreadsheets/d/1q9nWasZJ-K8bFGvbE9n0qSRuKGA4Toe3Y89cKCiVtCU/edit?usp=sharing"",""สตูล!R517"")+IMPORTRANGE(""https://docs.google.com/sprea"&amp;"dsheets/d/18T20gbkS_WBjdscyTOV05cvq_JqvqQ17C81mpxf7Ncs/edit?usp=sharing"",""สุราษฎร์ธานี!R517"")"),0)</f>
        <v>0</v>
      </c>
      <c r="S517" s="47">
        <f ca="1">IFERROR(__xludf.DUMMYFUNCTION("IMPORTRANGE(""https://docs.google.com/spreadsheets/d/1kKUcYdkIfrgTSj8iHHHB2MD2FAtwyyocFgqGQn6ADyI/edit?usp=sharing"",""กระบี่!S517"")+IMPORTRANGE(""https://docs.google.com/spreadsheets/d/1GwtLaSlNZkLk7iDqcyZz22giiy40b_usZZBXYciEN1U/edit?usp=sharing"",""ชุ"&amp;"มพร!S517"")+IMPORTRANGE(""https://docs.google.com/spreadsheets/d/16pAz3pOhQEZBhvFNMa5KGgZS6iKWpsKX0pg6tQmwFpo/edit?usp=sharing"",""ตรัง!S517"")+IMPORTRANGE(""https://docs.google.com/spreadsheets/d/1Dj4jcHCTV9JXKCaMoheSXS52JE63kDKyG7bPXnFogHk/edit?usp=shar"&amp;"ing"",""นครศรีธรรมราช!S517"")+IMPORTRANGE(""https://docs.google.com/spreadsheets/d/1iodCdmuK2GR3jzUwk8tpccY2JHQQA-87DLOtJP-ooyU/edit?usp=sharing"",""นราธิวาส!S517"")+IMPORTRANGE(""https://docs.google.com/spreadsheets/d/1SDNX3JhDdYRuIOsj0Wh2M-Qa_eaXl0NbWmh"&amp;"AOTbfQAs/edit?usp=sharing"",""ปัตตานี!S517"")+IMPORTRANGE(""https://docs.google.com/spreadsheets/d/16JDLGguT8s5DsGCND1KcwHP_AWR_zDMTqLHPLJUKhaU/edit?usp=sharing"",""พังงา!S517"")+IMPORTRANGE(""https://docs.google.com/spreadsheets/d/17ht0gPKzzT3PObBL1XJkeR"&amp;"mntBXI7wGjpLV7QorqlTk/edit?usp=sharing"",""พัทลุง!S517"")+IMPORTRANGE(""https://docs.google.com/spreadsheets/d/1rd4qoM1q_hsgaolqNGfrim9gbsoLxQsda4-vOz5x_BM/edit?usp=sharing"",""ภูเก็ต!S517"")+IMPORTRANGE(""https://docs.google.com/spreadsheets/d/1woKwKjgoL"&amp;"ssDvPcPeVyezB5izizAn4X1JDrys69n6xI/edit?usp=sharing"",""ยะลา!S517"")+IMPORTRANGE(""https://docs.google.com/spreadsheets/d/1qfrKjzMhm2HJfxQ-qVlJlJQ25Hne1d0khsySbZyGtPA/edit?usp=sharing"",""ระนอง!S517"")+IMPORTRANGE(""https://docs.google.com/spreadsheets/d/"&amp;"1IbSCnFOKpZsnFogBHJnL_isstZVaOMnFiIN0fGTPZZw/edit?usp=sharing"",""สงขลา!S517"")+IMPORTRANGE(""https://docs.google.com/spreadsheets/d/1q9nWasZJ-K8bFGvbE9n0qSRuKGA4Toe3Y89cKCiVtCU/edit?usp=sharing"",""สตูล!S517"")+IMPORTRANGE(""https://docs.google.com/sprea"&amp;"dsheets/d/18T20gbkS_WBjdscyTOV05cvq_JqvqQ17C81mpxf7Ncs/edit?usp=sharing"",""สุราษฎร์ธานี!S517"")"),0)</f>
        <v>0</v>
      </c>
      <c r="T517" s="49">
        <f t="shared" ca="1" si="366"/>
        <v>0</v>
      </c>
      <c r="U517" s="49">
        <f t="shared" ca="1" si="367"/>
        <v>0</v>
      </c>
    </row>
    <row r="518" spans="1:21" ht="18.75" hidden="1" x14ac:dyDescent="0.25">
      <c r="A518" s="128"/>
      <c r="B518" s="41"/>
      <c r="C518" s="41"/>
      <c r="D518" s="41"/>
      <c r="E518" s="48" t="s">
        <v>37</v>
      </c>
      <c r="F518" s="41"/>
      <c r="G518" s="43"/>
      <c r="H518" s="134" t="s">
        <v>14</v>
      </c>
      <c r="I518" s="135"/>
      <c r="J518" s="135"/>
      <c r="K518" s="136"/>
      <c r="L518" s="47">
        <f ca="1">IFERROR(__xludf.DUMMYFUNCTION("IMPORTRANGE(""https://docs.google.com/spreadsheets/d/1kKUcYdkIfrgTSj8iHHHB2MD2FAtwyyocFgqGQn6ADyI/edit?usp=sharing"",""กระบี่!L518"")+IMPORTRANGE(""https://docs.google.com/spreadsheets/d/1GwtLaSlNZkLk7iDqcyZz22giiy40b_usZZBXYciEN1U/edit?usp=sharing"",""ชุ"&amp;"มพร!L518"")+IMPORTRANGE(""https://docs.google.com/spreadsheets/d/16pAz3pOhQEZBhvFNMa5KGgZS6iKWpsKX0pg6tQmwFpo/edit?usp=sharing"",""ตรัง!L518"")+IMPORTRANGE(""https://docs.google.com/spreadsheets/d/1Dj4jcHCTV9JXKCaMoheSXS52JE63kDKyG7bPXnFogHk/edit?usp=shar"&amp;"ing"",""นครศรีธรรมราช!L518"")+IMPORTRANGE(""https://docs.google.com/spreadsheets/d/1iodCdmuK2GR3jzUwk8tpccY2JHQQA-87DLOtJP-ooyU/edit?usp=sharing"",""นราธิวาส!L518"")+IMPORTRANGE(""https://docs.google.com/spreadsheets/d/1SDNX3JhDdYRuIOsj0Wh2M-Qa_eaXl0NbWmh"&amp;"AOTbfQAs/edit?usp=sharing"",""ปัตตานี!L518"")+IMPORTRANGE(""https://docs.google.com/spreadsheets/d/16JDLGguT8s5DsGCND1KcwHP_AWR_zDMTqLHPLJUKhaU/edit?usp=sharing"",""พังงา!L518"")+IMPORTRANGE(""https://docs.google.com/spreadsheets/d/17ht0gPKzzT3PObBL1XJkeR"&amp;"mntBXI7wGjpLV7QorqlTk/edit?usp=sharing"",""พัทลุง!L518"")+IMPORTRANGE(""https://docs.google.com/spreadsheets/d/1rd4qoM1q_hsgaolqNGfrim9gbsoLxQsda4-vOz5x_BM/edit?usp=sharing"",""ภูเก็ต!L518"")+IMPORTRANGE(""https://docs.google.com/spreadsheets/d/1woKwKjgoL"&amp;"ssDvPcPeVyezB5izizAn4X1JDrys69n6xI/edit?usp=sharing"",""ยะลา!L518"")+IMPORTRANGE(""https://docs.google.com/spreadsheets/d/1qfrKjzMhm2HJfxQ-qVlJlJQ25Hne1d0khsySbZyGtPA/edit?usp=sharing"",""ระนอง!L518"")+IMPORTRANGE(""https://docs.google.com/spreadsheets/d/"&amp;"1IbSCnFOKpZsnFogBHJnL_isstZVaOMnFiIN0fGTPZZw/edit?usp=sharing"",""สงขลา!L518"")+IMPORTRANGE(""https://docs.google.com/spreadsheets/d/1q9nWasZJ-K8bFGvbE9n0qSRuKGA4Toe3Y89cKCiVtCU/edit?usp=sharing"",""สตูล!L518"")+IMPORTRANGE(""https://docs.google.com/sprea"&amp;"dsheets/d/18T20gbkS_WBjdscyTOV05cvq_JqvqQ17C81mpxf7Ncs/edit?usp=sharing"",""สุราษฎร์ธานี!L518"")"),0)</f>
        <v>0</v>
      </c>
      <c r="M518" s="47">
        <f ca="1">IFERROR(__xludf.DUMMYFUNCTION("IMPORTRANGE(""https://docs.google.com/spreadsheets/d/1kKUcYdkIfrgTSj8iHHHB2MD2FAtwyyocFgqGQn6ADyI/edit?usp=sharing"",""กระบี่!M518"")+IMPORTRANGE(""https://docs.google.com/spreadsheets/d/1GwtLaSlNZkLk7iDqcyZz22giiy40b_usZZBXYciEN1U/edit?usp=sharing"",""ชุ"&amp;"มพร!M518"")+IMPORTRANGE(""https://docs.google.com/spreadsheets/d/16pAz3pOhQEZBhvFNMa5KGgZS6iKWpsKX0pg6tQmwFpo/edit?usp=sharing"",""ตรัง!M518"")+IMPORTRANGE(""https://docs.google.com/spreadsheets/d/1Dj4jcHCTV9JXKCaMoheSXS52JE63kDKyG7bPXnFogHk/edit?usp=shar"&amp;"ing"",""นครศรีธรรมราช!M518"")+IMPORTRANGE(""https://docs.google.com/spreadsheets/d/1iodCdmuK2GR3jzUwk8tpccY2JHQQA-87DLOtJP-ooyU/edit?usp=sharing"",""นราธิวาส!M518"")+IMPORTRANGE(""https://docs.google.com/spreadsheets/d/1SDNX3JhDdYRuIOsj0Wh2M-Qa_eaXl0NbWmh"&amp;"AOTbfQAs/edit?usp=sharing"",""ปัตตานี!M518"")+IMPORTRANGE(""https://docs.google.com/spreadsheets/d/16JDLGguT8s5DsGCND1KcwHP_AWR_zDMTqLHPLJUKhaU/edit?usp=sharing"",""พังงา!M518"")+IMPORTRANGE(""https://docs.google.com/spreadsheets/d/17ht0gPKzzT3PObBL1XJkeR"&amp;"mntBXI7wGjpLV7QorqlTk/edit?usp=sharing"",""พัทลุง!M518"")+IMPORTRANGE(""https://docs.google.com/spreadsheets/d/1rd4qoM1q_hsgaolqNGfrim9gbsoLxQsda4-vOz5x_BM/edit?usp=sharing"",""ภูเก็ต!M518"")+IMPORTRANGE(""https://docs.google.com/spreadsheets/d/1woKwKjgoL"&amp;"ssDvPcPeVyezB5izizAn4X1JDrys69n6xI/edit?usp=sharing"",""ยะลา!M518"")+IMPORTRANGE(""https://docs.google.com/spreadsheets/d/1qfrKjzMhm2HJfxQ-qVlJlJQ25Hne1d0khsySbZyGtPA/edit?usp=sharing"",""ระนอง!M518"")+IMPORTRANGE(""https://docs.google.com/spreadsheets/d/"&amp;"1IbSCnFOKpZsnFogBHJnL_isstZVaOMnFiIN0fGTPZZw/edit?usp=sharing"",""สงขลา!M518"")+IMPORTRANGE(""https://docs.google.com/spreadsheets/d/1q9nWasZJ-K8bFGvbE9n0qSRuKGA4Toe3Y89cKCiVtCU/edit?usp=sharing"",""สตูล!M518"")+IMPORTRANGE(""https://docs.google.com/sprea"&amp;"dsheets/d/18T20gbkS_WBjdscyTOV05cvq_JqvqQ17C81mpxf7Ncs/edit?usp=sharing"",""สุราษฎร์ธานี!M518"")"),0)</f>
        <v>0</v>
      </c>
      <c r="N518" s="47">
        <f ca="1">IFERROR(__xludf.DUMMYFUNCTION("IMPORTRANGE(""https://docs.google.com/spreadsheets/d/1kKUcYdkIfrgTSj8iHHHB2MD2FAtwyyocFgqGQn6ADyI/edit?usp=sharing"",""กระบี่!N518"")+IMPORTRANGE(""https://docs.google.com/spreadsheets/d/1GwtLaSlNZkLk7iDqcyZz22giiy40b_usZZBXYciEN1U/edit?usp=sharing"",""ชุ"&amp;"มพร!N518"")+IMPORTRANGE(""https://docs.google.com/spreadsheets/d/16pAz3pOhQEZBhvFNMa5KGgZS6iKWpsKX0pg6tQmwFpo/edit?usp=sharing"",""ตรัง!N518"")+IMPORTRANGE(""https://docs.google.com/spreadsheets/d/1Dj4jcHCTV9JXKCaMoheSXS52JE63kDKyG7bPXnFogHk/edit?usp=shar"&amp;"ing"",""นครศรีธรรมราช!N518"")+IMPORTRANGE(""https://docs.google.com/spreadsheets/d/1iodCdmuK2GR3jzUwk8tpccY2JHQQA-87DLOtJP-ooyU/edit?usp=sharing"",""นราธิวาส!N518"")+IMPORTRANGE(""https://docs.google.com/spreadsheets/d/1SDNX3JhDdYRuIOsj0Wh2M-Qa_eaXl0NbWmh"&amp;"AOTbfQAs/edit?usp=sharing"",""ปัตตานี!N518"")+IMPORTRANGE(""https://docs.google.com/spreadsheets/d/16JDLGguT8s5DsGCND1KcwHP_AWR_zDMTqLHPLJUKhaU/edit?usp=sharing"",""พังงา!N518"")+IMPORTRANGE(""https://docs.google.com/spreadsheets/d/17ht0gPKzzT3PObBL1XJkeR"&amp;"mntBXI7wGjpLV7QorqlTk/edit?usp=sharing"",""พัทลุง!N518"")+IMPORTRANGE(""https://docs.google.com/spreadsheets/d/1rd4qoM1q_hsgaolqNGfrim9gbsoLxQsda4-vOz5x_BM/edit?usp=sharing"",""ภูเก็ต!N518"")+IMPORTRANGE(""https://docs.google.com/spreadsheets/d/1woKwKjgoL"&amp;"ssDvPcPeVyezB5izizAn4X1JDrys69n6xI/edit?usp=sharing"",""ยะลา!N518"")+IMPORTRANGE(""https://docs.google.com/spreadsheets/d/1qfrKjzMhm2HJfxQ-qVlJlJQ25Hne1d0khsySbZyGtPA/edit?usp=sharing"",""ระนอง!N518"")+IMPORTRANGE(""https://docs.google.com/spreadsheets/d/"&amp;"1IbSCnFOKpZsnFogBHJnL_isstZVaOMnFiIN0fGTPZZw/edit?usp=sharing"",""สงขลา!N518"")+IMPORTRANGE(""https://docs.google.com/spreadsheets/d/1q9nWasZJ-K8bFGvbE9n0qSRuKGA4Toe3Y89cKCiVtCU/edit?usp=sharing"",""สตูล!N518"")+IMPORTRANGE(""https://docs.google.com/sprea"&amp;"dsheets/d/18T20gbkS_WBjdscyTOV05cvq_JqvqQ17C81mpxf7Ncs/edit?usp=sharing"",""สุราษฎร์ธานี!N518"")"),0)</f>
        <v>0</v>
      </c>
      <c r="O518" s="47">
        <f t="shared" ca="1" si="363"/>
        <v>0</v>
      </c>
      <c r="P518" s="47">
        <f t="shared" ca="1" si="364"/>
        <v>0</v>
      </c>
      <c r="Q518" s="47">
        <f ca="1">IFERROR(__xludf.DUMMYFUNCTION("IMPORTRANGE(""https://docs.google.com/spreadsheets/d/1kKUcYdkIfrgTSj8iHHHB2MD2FAtwyyocFgqGQn6ADyI/edit?usp=sharing"",""กระบี่!Q518"")+IMPORTRANGE(""https://docs.google.com/spreadsheets/d/1GwtLaSlNZkLk7iDqcyZz22giiy40b_usZZBXYciEN1U/edit?usp=sharing"",""ชุ"&amp;"มพร!Q518"")+IMPORTRANGE(""https://docs.google.com/spreadsheets/d/16pAz3pOhQEZBhvFNMa5KGgZS6iKWpsKX0pg6tQmwFpo/edit?usp=sharing"",""ตรัง!Q518"")+IMPORTRANGE(""https://docs.google.com/spreadsheets/d/1Dj4jcHCTV9JXKCaMoheSXS52JE63kDKyG7bPXnFogHk/edit?usp=shar"&amp;"ing"",""นครศรีธรรมราช!Q518"")+IMPORTRANGE(""https://docs.google.com/spreadsheets/d/1iodCdmuK2GR3jzUwk8tpccY2JHQQA-87DLOtJP-ooyU/edit?usp=sharing"",""นราธิวาส!Q518"")+IMPORTRANGE(""https://docs.google.com/spreadsheets/d/1SDNX3JhDdYRuIOsj0Wh2M-Qa_eaXl0NbWmh"&amp;"AOTbfQAs/edit?usp=sharing"",""ปัตตานี!Q518"")+IMPORTRANGE(""https://docs.google.com/spreadsheets/d/16JDLGguT8s5DsGCND1KcwHP_AWR_zDMTqLHPLJUKhaU/edit?usp=sharing"",""พังงา!Q518"")+IMPORTRANGE(""https://docs.google.com/spreadsheets/d/17ht0gPKzzT3PObBL1XJkeR"&amp;"mntBXI7wGjpLV7QorqlTk/edit?usp=sharing"",""พัทลุง!Q518"")+IMPORTRANGE(""https://docs.google.com/spreadsheets/d/1rd4qoM1q_hsgaolqNGfrim9gbsoLxQsda4-vOz5x_BM/edit?usp=sharing"",""ภูเก็ต!Q518"")+IMPORTRANGE(""https://docs.google.com/spreadsheets/d/1woKwKjgoL"&amp;"ssDvPcPeVyezB5izizAn4X1JDrys69n6xI/edit?usp=sharing"",""ยะลา!Q518"")+IMPORTRANGE(""https://docs.google.com/spreadsheets/d/1qfrKjzMhm2HJfxQ-qVlJlJQ25Hne1d0khsySbZyGtPA/edit?usp=sharing"",""ระนอง!Q518"")+IMPORTRANGE(""https://docs.google.com/spreadsheets/d/"&amp;"1IbSCnFOKpZsnFogBHJnL_isstZVaOMnFiIN0fGTPZZw/edit?usp=sharing"",""สงขลา!Q518"")+IMPORTRANGE(""https://docs.google.com/spreadsheets/d/1q9nWasZJ-K8bFGvbE9n0qSRuKGA4Toe3Y89cKCiVtCU/edit?usp=sharing"",""สตูล!Q518"")+IMPORTRANGE(""https://docs.google.com/sprea"&amp;"dsheets/d/18T20gbkS_WBjdscyTOV05cvq_JqvqQ17C81mpxf7Ncs/edit?usp=sharing"",""สุราษฎร์ธานี!Q518"")"),0)</f>
        <v>0</v>
      </c>
      <c r="R518" s="47">
        <f ca="1">IFERROR(__xludf.DUMMYFUNCTION("IMPORTRANGE(""https://docs.google.com/spreadsheets/d/1kKUcYdkIfrgTSj8iHHHB2MD2FAtwyyocFgqGQn6ADyI/edit?usp=sharing"",""กระบี่!R518"")+IMPORTRANGE(""https://docs.google.com/spreadsheets/d/1GwtLaSlNZkLk7iDqcyZz22giiy40b_usZZBXYciEN1U/edit?usp=sharing"",""ชุ"&amp;"มพร!R518"")+IMPORTRANGE(""https://docs.google.com/spreadsheets/d/16pAz3pOhQEZBhvFNMa5KGgZS6iKWpsKX0pg6tQmwFpo/edit?usp=sharing"",""ตรัง!R518"")+IMPORTRANGE(""https://docs.google.com/spreadsheets/d/1Dj4jcHCTV9JXKCaMoheSXS52JE63kDKyG7bPXnFogHk/edit?usp=shar"&amp;"ing"",""นครศรีธรรมราช!R518"")+IMPORTRANGE(""https://docs.google.com/spreadsheets/d/1iodCdmuK2GR3jzUwk8tpccY2JHQQA-87DLOtJP-ooyU/edit?usp=sharing"",""นราธิวาส!R518"")+IMPORTRANGE(""https://docs.google.com/spreadsheets/d/1SDNX3JhDdYRuIOsj0Wh2M-Qa_eaXl0NbWmh"&amp;"AOTbfQAs/edit?usp=sharing"",""ปัตตานี!R518"")+IMPORTRANGE(""https://docs.google.com/spreadsheets/d/16JDLGguT8s5DsGCND1KcwHP_AWR_zDMTqLHPLJUKhaU/edit?usp=sharing"",""พังงา!R518"")+IMPORTRANGE(""https://docs.google.com/spreadsheets/d/17ht0gPKzzT3PObBL1XJkeR"&amp;"mntBXI7wGjpLV7QorqlTk/edit?usp=sharing"",""พัทลุง!R518"")+IMPORTRANGE(""https://docs.google.com/spreadsheets/d/1rd4qoM1q_hsgaolqNGfrim9gbsoLxQsda4-vOz5x_BM/edit?usp=sharing"",""ภูเก็ต!R518"")+IMPORTRANGE(""https://docs.google.com/spreadsheets/d/1woKwKjgoL"&amp;"ssDvPcPeVyezB5izizAn4X1JDrys69n6xI/edit?usp=sharing"",""ยะลา!R518"")+IMPORTRANGE(""https://docs.google.com/spreadsheets/d/1qfrKjzMhm2HJfxQ-qVlJlJQ25Hne1d0khsySbZyGtPA/edit?usp=sharing"",""ระนอง!R518"")+IMPORTRANGE(""https://docs.google.com/spreadsheets/d/"&amp;"1IbSCnFOKpZsnFogBHJnL_isstZVaOMnFiIN0fGTPZZw/edit?usp=sharing"",""สงขลา!R518"")+IMPORTRANGE(""https://docs.google.com/spreadsheets/d/1q9nWasZJ-K8bFGvbE9n0qSRuKGA4Toe3Y89cKCiVtCU/edit?usp=sharing"",""สตูล!R518"")+IMPORTRANGE(""https://docs.google.com/sprea"&amp;"dsheets/d/18T20gbkS_WBjdscyTOV05cvq_JqvqQ17C81mpxf7Ncs/edit?usp=sharing"",""สุราษฎร์ธานี!R518"")"),0)</f>
        <v>0</v>
      </c>
      <c r="S518" s="47">
        <f ca="1">IFERROR(__xludf.DUMMYFUNCTION("IMPORTRANGE(""https://docs.google.com/spreadsheets/d/1kKUcYdkIfrgTSj8iHHHB2MD2FAtwyyocFgqGQn6ADyI/edit?usp=sharing"",""กระบี่!S518"")+IMPORTRANGE(""https://docs.google.com/spreadsheets/d/1GwtLaSlNZkLk7iDqcyZz22giiy40b_usZZBXYciEN1U/edit?usp=sharing"",""ชุ"&amp;"มพร!S518"")+IMPORTRANGE(""https://docs.google.com/spreadsheets/d/16pAz3pOhQEZBhvFNMa5KGgZS6iKWpsKX0pg6tQmwFpo/edit?usp=sharing"",""ตรัง!S518"")+IMPORTRANGE(""https://docs.google.com/spreadsheets/d/1Dj4jcHCTV9JXKCaMoheSXS52JE63kDKyG7bPXnFogHk/edit?usp=shar"&amp;"ing"",""นครศรีธรรมราช!S518"")+IMPORTRANGE(""https://docs.google.com/spreadsheets/d/1iodCdmuK2GR3jzUwk8tpccY2JHQQA-87DLOtJP-ooyU/edit?usp=sharing"",""นราธิวาส!S518"")+IMPORTRANGE(""https://docs.google.com/spreadsheets/d/1SDNX3JhDdYRuIOsj0Wh2M-Qa_eaXl0NbWmh"&amp;"AOTbfQAs/edit?usp=sharing"",""ปัตตานี!S518"")+IMPORTRANGE(""https://docs.google.com/spreadsheets/d/16JDLGguT8s5DsGCND1KcwHP_AWR_zDMTqLHPLJUKhaU/edit?usp=sharing"",""พังงา!S518"")+IMPORTRANGE(""https://docs.google.com/spreadsheets/d/17ht0gPKzzT3PObBL1XJkeR"&amp;"mntBXI7wGjpLV7QorqlTk/edit?usp=sharing"",""พัทลุง!S518"")+IMPORTRANGE(""https://docs.google.com/spreadsheets/d/1rd4qoM1q_hsgaolqNGfrim9gbsoLxQsda4-vOz5x_BM/edit?usp=sharing"",""ภูเก็ต!S518"")+IMPORTRANGE(""https://docs.google.com/spreadsheets/d/1woKwKjgoL"&amp;"ssDvPcPeVyezB5izizAn4X1JDrys69n6xI/edit?usp=sharing"",""ยะลา!S518"")+IMPORTRANGE(""https://docs.google.com/spreadsheets/d/1qfrKjzMhm2HJfxQ-qVlJlJQ25Hne1d0khsySbZyGtPA/edit?usp=sharing"",""ระนอง!S518"")+IMPORTRANGE(""https://docs.google.com/spreadsheets/d/"&amp;"1IbSCnFOKpZsnFogBHJnL_isstZVaOMnFiIN0fGTPZZw/edit?usp=sharing"",""สงขลา!S518"")+IMPORTRANGE(""https://docs.google.com/spreadsheets/d/1q9nWasZJ-K8bFGvbE9n0qSRuKGA4Toe3Y89cKCiVtCU/edit?usp=sharing"",""สตูล!S518"")+IMPORTRANGE(""https://docs.google.com/sprea"&amp;"dsheets/d/18T20gbkS_WBjdscyTOV05cvq_JqvqQ17C81mpxf7Ncs/edit?usp=sharing"",""สุราษฎร์ธานี!S518"")"),0)</f>
        <v>0</v>
      </c>
      <c r="T518" s="47">
        <f t="shared" ca="1" si="366"/>
        <v>0</v>
      </c>
      <c r="U518" s="47">
        <f t="shared" ca="1" si="367"/>
        <v>0</v>
      </c>
    </row>
    <row r="519" spans="1:21" ht="18.75" x14ac:dyDescent="0.25">
      <c r="A519" s="128"/>
      <c r="B519" s="41"/>
      <c r="C519" s="41"/>
      <c r="D519" s="42" t="s">
        <v>23</v>
      </c>
      <c r="E519" s="41"/>
      <c r="F519" s="41"/>
      <c r="G519" s="43"/>
      <c r="H519" s="137" t="s">
        <v>14</v>
      </c>
      <c r="I519" s="135"/>
      <c r="J519" s="135"/>
      <c r="K519" s="136"/>
      <c r="L519" s="47">
        <f t="shared" ref="L519:N519" ca="1" si="374">L520+L521</f>
        <v>33423500</v>
      </c>
      <c r="M519" s="47">
        <f t="shared" ca="1" si="374"/>
        <v>33423500</v>
      </c>
      <c r="N519" s="47">
        <f t="shared" ca="1" si="374"/>
        <v>0</v>
      </c>
      <c r="O519" s="47">
        <f t="shared" ca="1" si="363"/>
        <v>0</v>
      </c>
      <c r="P519" s="47">
        <f t="shared" ca="1" si="364"/>
        <v>0</v>
      </c>
      <c r="Q519" s="47">
        <f t="shared" ref="Q519:S519" ca="1" si="375">Q520+Q521</f>
        <v>0</v>
      </c>
      <c r="R519" s="47">
        <f t="shared" ca="1" si="375"/>
        <v>0</v>
      </c>
      <c r="S519" s="47">
        <f t="shared" ca="1" si="375"/>
        <v>0</v>
      </c>
      <c r="T519" s="47">
        <f t="shared" ca="1" si="366"/>
        <v>0</v>
      </c>
      <c r="U519" s="47">
        <f t="shared" ca="1" si="367"/>
        <v>0</v>
      </c>
    </row>
    <row r="520" spans="1:21" ht="18.75" hidden="1" x14ac:dyDescent="0.25">
      <c r="A520" s="128"/>
      <c r="B520" s="41"/>
      <c r="C520" s="41"/>
      <c r="D520" s="41"/>
      <c r="E520" s="48" t="s">
        <v>20</v>
      </c>
      <c r="F520" s="41"/>
      <c r="G520" s="43"/>
      <c r="H520" s="134" t="s">
        <v>14</v>
      </c>
      <c r="I520" s="135"/>
      <c r="J520" s="135"/>
      <c r="K520" s="136"/>
      <c r="L520" s="47">
        <f ca="1">IFERROR(__xludf.DUMMYFUNCTION("IMPORTRANGE(""https://docs.google.com/spreadsheets/d/1kKUcYdkIfrgTSj8iHHHB2MD2FAtwyyocFgqGQn6ADyI/edit?usp=sharing"",""กระบี่!L520"")+IMPORTRANGE(""https://docs.google.com/spreadsheets/d/1GwtLaSlNZkLk7iDqcyZz22giiy40b_usZZBXYciEN1U/edit?usp=sharing"",""ชุ"&amp;"มพร!L520"")+IMPORTRANGE(""https://docs.google.com/spreadsheets/d/16pAz3pOhQEZBhvFNMa5KGgZS6iKWpsKX0pg6tQmwFpo/edit?usp=sharing"",""ตรัง!L520"")+IMPORTRANGE(""https://docs.google.com/spreadsheets/d/1Dj4jcHCTV9JXKCaMoheSXS52JE63kDKyG7bPXnFogHk/edit?usp=shar"&amp;"ing"",""นครศรีธรรมราช!L520"")+IMPORTRANGE(""https://docs.google.com/spreadsheets/d/1iodCdmuK2GR3jzUwk8tpccY2JHQQA-87DLOtJP-ooyU/edit?usp=sharing"",""นราธิวาส!L520"")+IMPORTRANGE(""https://docs.google.com/spreadsheets/d/1SDNX3JhDdYRuIOsj0Wh2M-Qa_eaXl0NbWmh"&amp;"AOTbfQAs/edit?usp=sharing"",""ปัตตานี!L520"")+IMPORTRANGE(""https://docs.google.com/spreadsheets/d/16JDLGguT8s5DsGCND1KcwHP_AWR_zDMTqLHPLJUKhaU/edit?usp=sharing"",""พังงา!L520"")+IMPORTRANGE(""https://docs.google.com/spreadsheets/d/17ht0gPKzzT3PObBL1XJkeR"&amp;"mntBXI7wGjpLV7QorqlTk/edit?usp=sharing"",""พัทลุง!L520"")+IMPORTRANGE(""https://docs.google.com/spreadsheets/d/1rd4qoM1q_hsgaolqNGfrim9gbsoLxQsda4-vOz5x_BM/edit?usp=sharing"",""ภูเก็ต!L520"")+IMPORTRANGE(""https://docs.google.com/spreadsheets/d/1woKwKjgoL"&amp;"ssDvPcPeVyezB5izizAn4X1JDrys69n6xI/edit?usp=sharing"",""ยะลา!L520"")+IMPORTRANGE(""https://docs.google.com/spreadsheets/d/1qfrKjzMhm2HJfxQ-qVlJlJQ25Hne1d0khsySbZyGtPA/edit?usp=sharing"",""ระนอง!L520"")+IMPORTRANGE(""https://docs.google.com/spreadsheets/d/"&amp;"1IbSCnFOKpZsnFogBHJnL_isstZVaOMnFiIN0fGTPZZw/edit?usp=sharing"",""สงขลา!L520"")+IMPORTRANGE(""https://docs.google.com/spreadsheets/d/1q9nWasZJ-K8bFGvbE9n0qSRuKGA4Toe3Y89cKCiVtCU/edit?usp=sharing"",""สตูล!L520"")+IMPORTRANGE(""https://docs.google.com/sprea"&amp;"dsheets/d/18T20gbkS_WBjdscyTOV05cvq_JqvqQ17C81mpxf7Ncs/edit?usp=sharing"",""สุราษฎร์ธานี!L520"")"),0)</f>
        <v>0</v>
      </c>
      <c r="M520" s="47">
        <f ca="1">IFERROR(__xludf.DUMMYFUNCTION("IMPORTRANGE(""https://docs.google.com/spreadsheets/d/1kKUcYdkIfrgTSj8iHHHB2MD2FAtwyyocFgqGQn6ADyI/edit?usp=sharing"",""กระบี่!M520"")+IMPORTRANGE(""https://docs.google.com/spreadsheets/d/1GwtLaSlNZkLk7iDqcyZz22giiy40b_usZZBXYciEN1U/edit?usp=sharing"",""ชุ"&amp;"มพร!M520"")+IMPORTRANGE(""https://docs.google.com/spreadsheets/d/16pAz3pOhQEZBhvFNMa5KGgZS6iKWpsKX0pg6tQmwFpo/edit?usp=sharing"",""ตรัง!M520"")+IMPORTRANGE(""https://docs.google.com/spreadsheets/d/1Dj4jcHCTV9JXKCaMoheSXS52JE63kDKyG7bPXnFogHk/edit?usp=shar"&amp;"ing"",""นครศรีธรรมราช!M520"")+IMPORTRANGE(""https://docs.google.com/spreadsheets/d/1iodCdmuK2GR3jzUwk8tpccY2JHQQA-87DLOtJP-ooyU/edit?usp=sharing"",""นราธิวาส!M520"")+IMPORTRANGE(""https://docs.google.com/spreadsheets/d/1SDNX3JhDdYRuIOsj0Wh2M-Qa_eaXl0NbWmh"&amp;"AOTbfQAs/edit?usp=sharing"",""ปัตตานี!M520"")+IMPORTRANGE(""https://docs.google.com/spreadsheets/d/16JDLGguT8s5DsGCND1KcwHP_AWR_zDMTqLHPLJUKhaU/edit?usp=sharing"",""พังงา!M520"")+IMPORTRANGE(""https://docs.google.com/spreadsheets/d/17ht0gPKzzT3PObBL1XJkeR"&amp;"mntBXI7wGjpLV7QorqlTk/edit?usp=sharing"",""พัทลุง!M520"")+IMPORTRANGE(""https://docs.google.com/spreadsheets/d/1rd4qoM1q_hsgaolqNGfrim9gbsoLxQsda4-vOz5x_BM/edit?usp=sharing"",""ภูเก็ต!M520"")+IMPORTRANGE(""https://docs.google.com/spreadsheets/d/1woKwKjgoL"&amp;"ssDvPcPeVyezB5izizAn4X1JDrys69n6xI/edit?usp=sharing"",""ยะลา!M520"")+IMPORTRANGE(""https://docs.google.com/spreadsheets/d/1qfrKjzMhm2HJfxQ-qVlJlJQ25Hne1d0khsySbZyGtPA/edit?usp=sharing"",""ระนอง!M520"")+IMPORTRANGE(""https://docs.google.com/spreadsheets/d/"&amp;"1IbSCnFOKpZsnFogBHJnL_isstZVaOMnFiIN0fGTPZZw/edit?usp=sharing"",""สงขลา!M520"")+IMPORTRANGE(""https://docs.google.com/spreadsheets/d/1q9nWasZJ-K8bFGvbE9n0qSRuKGA4Toe3Y89cKCiVtCU/edit?usp=sharing"",""สตูล!M520"")+IMPORTRANGE(""https://docs.google.com/sprea"&amp;"dsheets/d/18T20gbkS_WBjdscyTOV05cvq_JqvqQ17C81mpxf7Ncs/edit?usp=sharing"",""สุราษฎร์ธานี!M520"")"),0)</f>
        <v>0</v>
      </c>
      <c r="N520" s="47">
        <f ca="1">IFERROR(__xludf.DUMMYFUNCTION("IMPORTRANGE(""https://docs.google.com/spreadsheets/d/1kKUcYdkIfrgTSj8iHHHB2MD2FAtwyyocFgqGQn6ADyI/edit?usp=sharing"",""กระบี่!N520"")+IMPORTRANGE(""https://docs.google.com/spreadsheets/d/1GwtLaSlNZkLk7iDqcyZz22giiy40b_usZZBXYciEN1U/edit?usp=sharing"",""ชุ"&amp;"มพร!N520"")+IMPORTRANGE(""https://docs.google.com/spreadsheets/d/16pAz3pOhQEZBhvFNMa5KGgZS6iKWpsKX0pg6tQmwFpo/edit?usp=sharing"",""ตรัง!N520"")+IMPORTRANGE(""https://docs.google.com/spreadsheets/d/1Dj4jcHCTV9JXKCaMoheSXS52JE63kDKyG7bPXnFogHk/edit?usp=shar"&amp;"ing"",""นครศรีธรรมราช!N520"")+IMPORTRANGE(""https://docs.google.com/spreadsheets/d/1iodCdmuK2GR3jzUwk8tpccY2JHQQA-87DLOtJP-ooyU/edit?usp=sharing"",""นราธิวาส!N520"")+IMPORTRANGE(""https://docs.google.com/spreadsheets/d/1SDNX3JhDdYRuIOsj0Wh2M-Qa_eaXl0NbWmh"&amp;"AOTbfQAs/edit?usp=sharing"",""ปัตตานี!N520"")+IMPORTRANGE(""https://docs.google.com/spreadsheets/d/16JDLGguT8s5DsGCND1KcwHP_AWR_zDMTqLHPLJUKhaU/edit?usp=sharing"",""พังงา!N520"")+IMPORTRANGE(""https://docs.google.com/spreadsheets/d/17ht0gPKzzT3PObBL1XJkeR"&amp;"mntBXI7wGjpLV7QorqlTk/edit?usp=sharing"",""พัทลุง!N520"")+IMPORTRANGE(""https://docs.google.com/spreadsheets/d/1rd4qoM1q_hsgaolqNGfrim9gbsoLxQsda4-vOz5x_BM/edit?usp=sharing"",""ภูเก็ต!N520"")+IMPORTRANGE(""https://docs.google.com/spreadsheets/d/1woKwKjgoL"&amp;"ssDvPcPeVyezB5izizAn4X1JDrys69n6xI/edit?usp=sharing"",""ยะลา!N520"")+IMPORTRANGE(""https://docs.google.com/spreadsheets/d/1qfrKjzMhm2HJfxQ-qVlJlJQ25Hne1d0khsySbZyGtPA/edit?usp=sharing"",""ระนอง!N520"")+IMPORTRANGE(""https://docs.google.com/spreadsheets/d/"&amp;"1IbSCnFOKpZsnFogBHJnL_isstZVaOMnFiIN0fGTPZZw/edit?usp=sharing"",""สงขลา!N520"")+IMPORTRANGE(""https://docs.google.com/spreadsheets/d/1q9nWasZJ-K8bFGvbE9n0qSRuKGA4Toe3Y89cKCiVtCU/edit?usp=sharing"",""สตูล!N520"")+IMPORTRANGE(""https://docs.google.com/sprea"&amp;"dsheets/d/18T20gbkS_WBjdscyTOV05cvq_JqvqQ17C81mpxf7Ncs/edit?usp=sharing"",""สุราษฎร์ธานี!N520"")"),0)</f>
        <v>0</v>
      </c>
      <c r="O520" s="47">
        <f t="shared" ca="1" si="363"/>
        <v>0</v>
      </c>
      <c r="P520" s="47">
        <f t="shared" ca="1" si="364"/>
        <v>0</v>
      </c>
      <c r="Q520" s="47">
        <f ca="1">IFERROR(__xludf.DUMMYFUNCTION("IMPORTRANGE(""https://docs.google.com/spreadsheets/d/1kKUcYdkIfrgTSj8iHHHB2MD2FAtwyyocFgqGQn6ADyI/edit?usp=sharing"",""กระบี่!Q520"")+IMPORTRANGE(""https://docs.google.com/spreadsheets/d/1GwtLaSlNZkLk7iDqcyZz22giiy40b_usZZBXYciEN1U/edit?usp=sharing"",""ชุ"&amp;"มพร!Q520"")+IMPORTRANGE(""https://docs.google.com/spreadsheets/d/16pAz3pOhQEZBhvFNMa5KGgZS6iKWpsKX0pg6tQmwFpo/edit?usp=sharing"",""ตรัง!Q520"")+IMPORTRANGE(""https://docs.google.com/spreadsheets/d/1Dj4jcHCTV9JXKCaMoheSXS52JE63kDKyG7bPXnFogHk/edit?usp=shar"&amp;"ing"",""นครศรีธรรมราช!Q520"")+IMPORTRANGE(""https://docs.google.com/spreadsheets/d/1iodCdmuK2GR3jzUwk8tpccY2JHQQA-87DLOtJP-ooyU/edit?usp=sharing"",""นราธิวาส!Q520"")+IMPORTRANGE(""https://docs.google.com/spreadsheets/d/1SDNX3JhDdYRuIOsj0Wh2M-Qa_eaXl0NbWmh"&amp;"AOTbfQAs/edit?usp=sharing"",""ปัตตานี!Q520"")+IMPORTRANGE(""https://docs.google.com/spreadsheets/d/16JDLGguT8s5DsGCND1KcwHP_AWR_zDMTqLHPLJUKhaU/edit?usp=sharing"",""พังงา!Q520"")+IMPORTRANGE(""https://docs.google.com/spreadsheets/d/17ht0gPKzzT3PObBL1XJkeR"&amp;"mntBXI7wGjpLV7QorqlTk/edit?usp=sharing"",""พัทลุง!Q520"")+IMPORTRANGE(""https://docs.google.com/spreadsheets/d/1rd4qoM1q_hsgaolqNGfrim9gbsoLxQsda4-vOz5x_BM/edit?usp=sharing"",""ภูเก็ต!Q520"")+IMPORTRANGE(""https://docs.google.com/spreadsheets/d/1woKwKjgoL"&amp;"ssDvPcPeVyezB5izizAn4X1JDrys69n6xI/edit?usp=sharing"",""ยะลา!Q520"")+IMPORTRANGE(""https://docs.google.com/spreadsheets/d/1qfrKjzMhm2HJfxQ-qVlJlJQ25Hne1d0khsySbZyGtPA/edit?usp=sharing"",""ระนอง!Q520"")+IMPORTRANGE(""https://docs.google.com/spreadsheets/d/"&amp;"1IbSCnFOKpZsnFogBHJnL_isstZVaOMnFiIN0fGTPZZw/edit?usp=sharing"",""สงขลา!Q520"")+IMPORTRANGE(""https://docs.google.com/spreadsheets/d/1q9nWasZJ-K8bFGvbE9n0qSRuKGA4Toe3Y89cKCiVtCU/edit?usp=sharing"",""สตูล!Q520"")+IMPORTRANGE(""https://docs.google.com/sprea"&amp;"dsheets/d/18T20gbkS_WBjdscyTOV05cvq_JqvqQ17C81mpxf7Ncs/edit?usp=sharing"",""สุราษฎร์ธานี!Q520"")"),0)</f>
        <v>0</v>
      </c>
      <c r="R520" s="47">
        <f ca="1">IFERROR(__xludf.DUMMYFUNCTION("IMPORTRANGE(""https://docs.google.com/spreadsheets/d/1kKUcYdkIfrgTSj8iHHHB2MD2FAtwyyocFgqGQn6ADyI/edit?usp=sharing"",""กระบี่!R520"")+IMPORTRANGE(""https://docs.google.com/spreadsheets/d/1GwtLaSlNZkLk7iDqcyZz22giiy40b_usZZBXYciEN1U/edit?usp=sharing"",""ชุ"&amp;"มพร!R520"")+IMPORTRANGE(""https://docs.google.com/spreadsheets/d/16pAz3pOhQEZBhvFNMa5KGgZS6iKWpsKX0pg6tQmwFpo/edit?usp=sharing"",""ตรัง!R520"")+IMPORTRANGE(""https://docs.google.com/spreadsheets/d/1Dj4jcHCTV9JXKCaMoheSXS52JE63kDKyG7bPXnFogHk/edit?usp=shar"&amp;"ing"",""นครศรีธรรมราช!R520"")+IMPORTRANGE(""https://docs.google.com/spreadsheets/d/1iodCdmuK2GR3jzUwk8tpccY2JHQQA-87DLOtJP-ooyU/edit?usp=sharing"",""นราธิวาส!R520"")+IMPORTRANGE(""https://docs.google.com/spreadsheets/d/1SDNX3JhDdYRuIOsj0Wh2M-Qa_eaXl0NbWmh"&amp;"AOTbfQAs/edit?usp=sharing"",""ปัตตานี!R520"")+IMPORTRANGE(""https://docs.google.com/spreadsheets/d/16JDLGguT8s5DsGCND1KcwHP_AWR_zDMTqLHPLJUKhaU/edit?usp=sharing"",""พังงา!R520"")+IMPORTRANGE(""https://docs.google.com/spreadsheets/d/17ht0gPKzzT3PObBL1XJkeR"&amp;"mntBXI7wGjpLV7QorqlTk/edit?usp=sharing"",""พัทลุง!R520"")+IMPORTRANGE(""https://docs.google.com/spreadsheets/d/1rd4qoM1q_hsgaolqNGfrim9gbsoLxQsda4-vOz5x_BM/edit?usp=sharing"",""ภูเก็ต!R520"")+IMPORTRANGE(""https://docs.google.com/spreadsheets/d/1woKwKjgoL"&amp;"ssDvPcPeVyezB5izizAn4X1JDrys69n6xI/edit?usp=sharing"",""ยะลา!R520"")+IMPORTRANGE(""https://docs.google.com/spreadsheets/d/1qfrKjzMhm2HJfxQ-qVlJlJQ25Hne1d0khsySbZyGtPA/edit?usp=sharing"",""ระนอง!R520"")+IMPORTRANGE(""https://docs.google.com/spreadsheets/d/"&amp;"1IbSCnFOKpZsnFogBHJnL_isstZVaOMnFiIN0fGTPZZw/edit?usp=sharing"",""สงขลา!R520"")+IMPORTRANGE(""https://docs.google.com/spreadsheets/d/1q9nWasZJ-K8bFGvbE9n0qSRuKGA4Toe3Y89cKCiVtCU/edit?usp=sharing"",""สตูล!R520"")+IMPORTRANGE(""https://docs.google.com/sprea"&amp;"dsheets/d/18T20gbkS_WBjdscyTOV05cvq_JqvqQ17C81mpxf7Ncs/edit?usp=sharing"",""สุราษฎร์ธานี!R520"")"),0)</f>
        <v>0</v>
      </c>
      <c r="S520" s="47">
        <f ca="1">IFERROR(__xludf.DUMMYFUNCTION("IMPORTRANGE(""https://docs.google.com/spreadsheets/d/1kKUcYdkIfrgTSj8iHHHB2MD2FAtwyyocFgqGQn6ADyI/edit?usp=sharing"",""กระบี่!S520"")+IMPORTRANGE(""https://docs.google.com/spreadsheets/d/1GwtLaSlNZkLk7iDqcyZz22giiy40b_usZZBXYciEN1U/edit?usp=sharing"",""ชุ"&amp;"มพร!S520"")+IMPORTRANGE(""https://docs.google.com/spreadsheets/d/16pAz3pOhQEZBhvFNMa5KGgZS6iKWpsKX0pg6tQmwFpo/edit?usp=sharing"",""ตรัง!S520"")+IMPORTRANGE(""https://docs.google.com/spreadsheets/d/1Dj4jcHCTV9JXKCaMoheSXS52JE63kDKyG7bPXnFogHk/edit?usp=shar"&amp;"ing"",""นครศรีธรรมราช!S520"")+IMPORTRANGE(""https://docs.google.com/spreadsheets/d/1iodCdmuK2GR3jzUwk8tpccY2JHQQA-87DLOtJP-ooyU/edit?usp=sharing"",""นราธิวาส!S520"")+IMPORTRANGE(""https://docs.google.com/spreadsheets/d/1SDNX3JhDdYRuIOsj0Wh2M-Qa_eaXl0NbWmh"&amp;"AOTbfQAs/edit?usp=sharing"",""ปัตตานี!S520"")+IMPORTRANGE(""https://docs.google.com/spreadsheets/d/16JDLGguT8s5DsGCND1KcwHP_AWR_zDMTqLHPLJUKhaU/edit?usp=sharing"",""พังงา!S520"")+IMPORTRANGE(""https://docs.google.com/spreadsheets/d/17ht0gPKzzT3PObBL1XJkeR"&amp;"mntBXI7wGjpLV7QorqlTk/edit?usp=sharing"",""พัทลุง!S520"")+IMPORTRANGE(""https://docs.google.com/spreadsheets/d/1rd4qoM1q_hsgaolqNGfrim9gbsoLxQsda4-vOz5x_BM/edit?usp=sharing"",""ภูเก็ต!S520"")+IMPORTRANGE(""https://docs.google.com/spreadsheets/d/1woKwKjgoL"&amp;"ssDvPcPeVyezB5izizAn4X1JDrys69n6xI/edit?usp=sharing"",""ยะลา!S520"")+IMPORTRANGE(""https://docs.google.com/spreadsheets/d/1qfrKjzMhm2HJfxQ-qVlJlJQ25Hne1d0khsySbZyGtPA/edit?usp=sharing"",""ระนอง!S520"")+IMPORTRANGE(""https://docs.google.com/spreadsheets/d/"&amp;"1IbSCnFOKpZsnFogBHJnL_isstZVaOMnFiIN0fGTPZZw/edit?usp=sharing"",""สงขลา!S520"")+IMPORTRANGE(""https://docs.google.com/spreadsheets/d/1q9nWasZJ-K8bFGvbE9n0qSRuKGA4Toe3Y89cKCiVtCU/edit?usp=sharing"",""สตูล!S520"")+IMPORTRANGE(""https://docs.google.com/sprea"&amp;"dsheets/d/18T20gbkS_WBjdscyTOV05cvq_JqvqQ17C81mpxf7Ncs/edit?usp=sharing"",""สุราษฎร์ธานี!S520"")"),0)</f>
        <v>0</v>
      </c>
      <c r="T520" s="49">
        <f t="shared" ca="1" si="366"/>
        <v>0</v>
      </c>
      <c r="U520" s="49">
        <f t="shared" ca="1" si="367"/>
        <v>0</v>
      </c>
    </row>
    <row r="521" spans="1:21" ht="18.75" hidden="1" x14ac:dyDescent="0.25">
      <c r="A521" s="128"/>
      <c r="B521" s="41"/>
      <c r="C521" s="41"/>
      <c r="D521" s="41"/>
      <c r="E521" s="48" t="s">
        <v>21</v>
      </c>
      <c r="F521" s="41"/>
      <c r="G521" s="43"/>
      <c r="H521" s="137" t="s">
        <v>14</v>
      </c>
      <c r="I521" s="135"/>
      <c r="J521" s="135"/>
      <c r="K521" s="136"/>
      <c r="L521" s="47">
        <f ca="1">IFERROR(__xludf.DUMMYFUNCTION("IMPORTRANGE(""https://docs.google.com/spreadsheets/d/1kKUcYdkIfrgTSj8iHHHB2MD2FAtwyyocFgqGQn6ADyI/edit?usp=sharing"",""กระบี่!L521"")+IMPORTRANGE(""https://docs.google.com/spreadsheets/d/1GwtLaSlNZkLk7iDqcyZz22giiy40b_usZZBXYciEN1U/edit?usp=sharing"",""ชุ"&amp;"มพร!L521"")+IMPORTRANGE(""https://docs.google.com/spreadsheets/d/16pAz3pOhQEZBhvFNMa5KGgZS6iKWpsKX0pg6tQmwFpo/edit?usp=sharing"",""ตรัง!L521"")+IMPORTRANGE(""https://docs.google.com/spreadsheets/d/1Dj4jcHCTV9JXKCaMoheSXS52JE63kDKyG7bPXnFogHk/edit?usp=shar"&amp;"ing"",""นครศรีธรรมราช!L521"")+IMPORTRANGE(""https://docs.google.com/spreadsheets/d/1iodCdmuK2GR3jzUwk8tpccY2JHQQA-87DLOtJP-ooyU/edit?usp=sharing"",""นราธิวาส!L521"")+IMPORTRANGE(""https://docs.google.com/spreadsheets/d/1SDNX3JhDdYRuIOsj0Wh2M-Qa_eaXl0NbWmh"&amp;"AOTbfQAs/edit?usp=sharing"",""ปัตตานี!L521"")+IMPORTRANGE(""https://docs.google.com/spreadsheets/d/16JDLGguT8s5DsGCND1KcwHP_AWR_zDMTqLHPLJUKhaU/edit?usp=sharing"",""พังงา!L521"")+IMPORTRANGE(""https://docs.google.com/spreadsheets/d/17ht0gPKzzT3PObBL1XJkeR"&amp;"mntBXI7wGjpLV7QorqlTk/edit?usp=sharing"",""พัทลุง!L521"")+IMPORTRANGE(""https://docs.google.com/spreadsheets/d/1rd4qoM1q_hsgaolqNGfrim9gbsoLxQsda4-vOz5x_BM/edit?usp=sharing"",""ภูเก็ต!L521"")+IMPORTRANGE(""https://docs.google.com/spreadsheets/d/1woKwKjgoL"&amp;"ssDvPcPeVyezB5izizAn4X1JDrys69n6xI/edit?usp=sharing"",""ยะลา!L521"")+IMPORTRANGE(""https://docs.google.com/spreadsheets/d/1qfrKjzMhm2HJfxQ-qVlJlJQ25Hne1d0khsySbZyGtPA/edit?usp=sharing"",""ระนอง!L521"")+IMPORTRANGE(""https://docs.google.com/spreadsheets/d/"&amp;"1IbSCnFOKpZsnFogBHJnL_isstZVaOMnFiIN0fGTPZZw/edit?usp=sharing"",""สงขลา!L521"")+IMPORTRANGE(""https://docs.google.com/spreadsheets/d/1q9nWasZJ-K8bFGvbE9n0qSRuKGA4Toe3Y89cKCiVtCU/edit?usp=sharing"",""สตูล!L521"")+IMPORTRANGE(""https://docs.google.com/sprea"&amp;"dsheets/d/18T20gbkS_WBjdscyTOV05cvq_JqvqQ17C81mpxf7Ncs/edit?usp=sharing"",""สุราษฎร์ธานี!L521"")"),33423500)</f>
        <v>33423500</v>
      </c>
      <c r="M521" s="47">
        <f ca="1">IFERROR(__xludf.DUMMYFUNCTION("IMPORTRANGE(""https://docs.google.com/spreadsheets/d/1kKUcYdkIfrgTSj8iHHHB2MD2FAtwyyocFgqGQn6ADyI/edit?usp=sharing"",""กระบี่!M521"")+IMPORTRANGE(""https://docs.google.com/spreadsheets/d/1GwtLaSlNZkLk7iDqcyZz22giiy40b_usZZBXYciEN1U/edit?usp=sharing"",""ชุ"&amp;"มพร!M521"")+IMPORTRANGE(""https://docs.google.com/spreadsheets/d/16pAz3pOhQEZBhvFNMa5KGgZS6iKWpsKX0pg6tQmwFpo/edit?usp=sharing"",""ตรัง!M521"")+IMPORTRANGE(""https://docs.google.com/spreadsheets/d/1Dj4jcHCTV9JXKCaMoheSXS52JE63kDKyG7bPXnFogHk/edit?usp=shar"&amp;"ing"",""นครศรีธรรมราช!M521"")+IMPORTRANGE(""https://docs.google.com/spreadsheets/d/1iodCdmuK2GR3jzUwk8tpccY2JHQQA-87DLOtJP-ooyU/edit?usp=sharing"",""นราธิวาส!M521"")+IMPORTRANGE(""https://docs.google.com/spreadsheets/d/1SDNX3JhDdYRuIOsj0Wh2M-Qa_eaXl0NbWmh"&amp;"AOTbfQAs/edit?usp=sharing"",""ปัตตานี!M521"")+IMPORTRANGE(""https://docs.google.com/spreadsheets/d/16JDLGguT8s5DsGCND1KcwHP_AWR_zDMTqLHPLJUKhaU/edit?usp=sharing"",""พังงา!M521"")+IMPORTRANGE(""https://docs.google.com/spreadsheets/d/17ht0gPKzzT3PObBL1XJkeR"&amp;"mntBXI7wGjpLV7QorqlTk/edit?usp=sharing"",""พัทลุง!M521"")+IMPORTRANGE(""https://docs.google.com/spreadsheets/d/1rd4qoM1q_hsgaolqNGfrim9gbsoLxQsda4-vOz5x_BM/edit?usp=sharing"",""ภูเก็ต!M521"")+IMPORTRANGE(""https://docs.google.com/spreadsheets/d/1woKwKjgoL"&amp;"ssDvPcPeVyezB5izizAn4X1JDrys69n6xI/edit?usp=sharing"",""ยะลา!M521"")+IMPORTRANGE(""https://docs.google.com/spreadsheets/d/1qfrKjzMhm2HJfxQ-qVlJlJQ25Hne1d0khsySbZyGtPA/edit?usp=sharing"",""ระนอง!M521"")+IMPORTRANGE(""https://docs.google.com/spreadsheets/d/"&amp;"1IbSCnFOKpZsnFogBHJnL_isstZVaOMnFiIN0fGTPZZw/edit?usp=sharing"",""สงขลา!M521"")+IMPORTRANGE(""https://docs.google.com/spreadsheets/d/1q9nWasZJ-K8bFGvbE9n0qSRuKGA4Toe3Y89cKCiVtCU/edit?usp=sharing"",""สตูล!M521"")+IMPORTRANGE(""https://docs.google.com/sprea"&amp;"dsheets/d/18T20gbkS_WBjdscyTOV05cvq_JqvqQ17C81mpxf7Ncs/edit?usp=sharing"",""สุราษฎร์ธานี!M521"")"),33423500)</f>
        <v>33423500</v>
      </c>
      <c r="N521" s="47">
        <f ca="1">IFERROR(__xludf.DUMMYFUNCTION("IMPORTRANGE(""https://docs.google.com/spreadsheets/d/1kKUcYdkIfrgTSj8iHHHB2MD2FAtwyyocFgqGQn6ADyI/edit?usp=sharing"",""กระบี่!N521"")+IMPORTRANGE(""https://docs.google.com/spreadsheets/d/1GwtLaSlNZkLk7iDqcyZz22giiy40b_usZZBXYciEN1U/edit?usp=sharing"",""ชุ"&amp;"มพร!N521"")+IMPORTRANGE(""https://docs.google.com/spreadsheets/d/16pAz3pOhQEZBhvFNMa5KGgZS6iKWpsKX0pg6tQmwFpo/edit?usp=sharing"",""ตรัง!N521"")+IMPORTRANGE(""https://docs.google.com/spreadsheets/d/1Dj4jcHCTV9JXKCaMoheSXS52JE63kDKyG7bPXnFogHk/edit?usp=shar"&amp;"ing"",""นครศรีธรรมราช!N521"")+IMPORTRANGE(""https://docs.google.com/spreadsheets/d/1iodCdmuK2GR3jzUwk8tpccY2JHQQA-87DLOtJP-ooyU/edit?usp=sharing"",""นราธิวาส!N521"")+IMPORTRANGE(""https://docs.google.com/spreadsheets/d/1SDNX3JhDdYRuIOsj0Wh2M-Qa_eaXl0NbWmh"&amp;"AOTbfQAs/edit?usp=sharing"",""ปัตตานี!N521"")+IMPORTRANGE(""https://docs.google.com/spreadsheets/d/16JDLGguT8s5DsGCND1KcwHP_AWR_zDMTqLHPLJUKhaU/edit?usp=sharing"",""พังงา!N521"")+IMPORTRANGE(""https://docs.google.com/spreadsheets/d/17ht0gPKzzT3PObBL1XJkeR"&amp;"mntBXI7wGjpLV7QorqlTk/edit?usp=sharing"",""พัทลุง!N521"")+IMPORTRANGE(""https://docs.google.com/spreadsheets/d/1rd4qoM1q_hsgaolqNGfrim9gbsoLxQsda4-vOz5x_BM/edit?usp=sharing"",""ภูเก็ต!N521"")+IMPORTRANGE(""https://docs.google.com/spreadsheets/d/1woKwKjgoL"&amp;"ssDvPcPeVyezB5izizAn4X1JDrys69n6xI/edit?usp=sharing"",""ยะลา!N521"")+IMPORTRANGE(""https://docs.google.com/spreadsheets/d/1qfrKjzMhm2HJfxQ-qVlJlJQ25Hne1d0khsySbZyGtPA/edit?usp=sharing"",""ระนอง!N521"")+IMPORTRANGE(""https://docs.google.com/spreadsheets/d/"&amp;"1IbSCnFOKpZsnFogBHJnL_isstZVaOMnFiIN0fGTPZZw/edit?usp=sharing"",""สงขลา!N521"")+IMPORTRANGE(""https://docs.google.com/spreadsheets/d/1q9nWasZJ-K8bFGvbE9n0qSRuKGA4Toe3Y89cKCiVtCU/edit?usp=sharing"",""สตูล!N521"")+IMPORTRANGE(""https://docs.google.com/sprea"&amp;"dsheets/d/18T20gbkS_WBjdscyTOV05cvq_JqvqQ17C81mpxf7Ncs/edit?usp=sharing"",""สุราษฎร์ธานี!N521"")"),0)</f>
        <v>0</v>
      </c>
      <c r="O521" s="47">
        <f t="shared" ca="1" si="363"/>
        <v>0</v>
      </c>
      <c r="P521" s="47">
        <f t="shared" ca="1" si="364"/>
        <v>0</v>
      </c>
      <c r="Q521" s="47">
        <f ca="1">IFERROR(__xludf.DUMMYFUNCTION("IMPORTRANGE(""https://docs.google.com/spreadsheets/d/1kKUcYdkIfrgTSj8iHHHB2MD2FAtwyyocFgqGQn6ADyI/edit?usp=sharing"",""กระบี่!Q521"")+IMPORTRANGE(""https://docs.google.com/spreadsheets/d/1GwtLaSlNZkLk7iDqcyZz22giiy40b_usZZBXYciEN1U/edit?usp=sharing"",""ชุ"&amp;"มพร!Q521"")+IMPORTRANGE(""https://docs.google.com/spreadsheets/d/16pAz3pOhQEZBhvFNMa5KGgZS6iKWpsKX0pg6tQmwFpo/edit?usp=sharing"",""ตรัง!Q521"")+IMPORTRANGE(""https://docs.google.com/spreadsheets/d/1Dj4jcHCTV9JXKCaMoheSXS52JE63kDKyG7bPXnFogHk/edit?usp=shar"&amp;"ing"",""นครศรีธรรมราช!Q521"")+IMPORTRANGE(""https://docs.google.com/spreadsheets/d/1iodCdmuK2GR3jzUwk8tpccY2JHQQA-87DLOtJP-ooyU/edit?usp=sharing"",""นราธิวาส!Q521"")+IMPORTRANGE(""https://docs.google.com/spreadsheets/d/1SDNX3JhDdYRuIOsj0Wh2M-Qa_eaXl0NbWmh"&amp;"AOTbfQAs/edit?usp=sharing"",""ปัตตานี!Q521"")+IMPORTRANGE(""https://docs.google.com/spreadsheets/d/16JDLGguT8s5DsGCND1KcwHP_AWR_zDMTqLHPLJUKhaU/edit?usp=sharing"",""พังงา!Q521"")+IMPORTRANGE(""https://docs.google.com/spreadsheets/d/17ht0gPKzzT3PObBL1XJkeR"&amp;"mntBXI7wGjpLV7QorqlTk/edit?usp=sharing"",""พัทลุง!Q521"")+IMPORTRANGE(""https://docs.google.com/spreadsheets/d/1rd4qoM1q_hsgaolqNGfrim9gbsoLxQsda4-vOz5x_BM/edit?usp=sharing"",""ภูเก็ต!Q521"")+IMPORTRANGE(""https://docs.google.com/spreadsheets/d/1woKwKjgoL"&amp;"ssDvPcPeVyezB5izizAn4X1JDrys69n6xI/edit?usp=sharing"",""ยะลา!Q521"")+IMPORTRANGE(""https://docs.google.com/spreadsheets/d/1qfrKjzMhm2HJfxQ-qVlJlJQ25Hne1d0khsySbZyGtPA/edit?usp=sharing"",""ระนอง!Q521"")+IMPORTRANGE(""https://docs.google.com/spreadsheets/d/"&amp;"1IbSCnFOKpZsnFogBHJnL_isstZVaOMnFiIN0fGTPZZw/edit?usp=sharing"",""สงขลา!Q521"")+IMPORTRANGE(""https://docs.google.com/spreadsheets/d/1q9nWasZJ-K8bFGvbE9n0qSRuKGA4Toe3Y89cKCiVtCU/edit?usp=sharing"",""สตูล!Q521"")+IMPORTRANGE(""https://docs.google.com/sprea"&amp;"dsheets/d/18T20gbkS_WBjdscyTOV05cvq_JqvqQ17C81mpxf7Ncs/edit?usp=sharing"",""สุราษฎร์ธานี!Q521"")"),0)</f>
        <v>0</v>
      </c>
      <c r="R521" s="47">
        <f ca="1">IFERROR(__xludf.DUMMYFUNCTION("IMPORTRANGE(""https://docs.google.com/spreadsheets/d/1kKUcYdkIfrgTSj8iHHHB2MD2FAtwyyocFgqGQn6ADyI/edit?usp=sharing"",""กระบี่!R521"")+IMPORTRANGE(""https://docs.google.com/spreadsheets/d/1GwtLaSlNZkLk7iDqcyZz22giiy40b_usZZBXYciEN1U/edit?usp=sharing"",""ชุ"&amp;"มพร!R521"")+IMPORTRANGE(""https://docs.google.com/spreadsheets/d/16pAz3pOhQEZBhvFNMa5KGgZS6iKWpsKX0pg6tQmwFpo/edit?usp=sharing"",""ตรัง!R521"")+IMPORTRANGE(""https://docs.google.com/spreadsheets/d/1Dj4jcHCTV9JXKCaMoheSXS52JE63kDKyG7bPXnFogHk/edit?usp=shar"&amp;"ing"",""นครศรีธรรมราช!R521"")+IMPORTRANGE(""https://docs.google.com/spreadsheets/d/1iodCdmuK2GR3jzUwk8tpccY2JHQQA-87DLOtJP-ooyU/edit?usp=sharing"",""นราธิวาส!R521"")+IMPORTRANGE(""https://docs.google.com/spreadsheets/d/1SDNX3JhDdYRuIOsj0Wh2M-Qa_eaXl0NbWmh"&amp;"AOTbfQAs/edit?usp=sharing"",""ปัตตานี!R521"")+IMPORTRANGE(""https://docs.google.com/spreadsheets/d/16JDLGguT8s5DsGCND1KcwHP_AWR_zDMTqLHPLJUKhaU/edit?usp=sharing"",""พังงา!R521"")+IMPORTRANGE(""https://docs.google.com/spreadsheets/d/17ht0gPKzzT3PObBL1XJkeR"&amp;"mntBXI7wGjpLV7QorqlTk/edit?usp=sharing"",""พัทลุง!R521"")+IMPORTRANGE(""https://docs.google.com/spreadsheets/d/1rd4qoM1q_hsgaolqNGfrim9gbsoLxQsda4-vOz5x_BM/edit?usp=sharing"",""ภูเก็ต!R521"")+IMPORTRANGE(""https://docs.google.com/spreadsheets/d/1woKwKjgoL"&amp;"ssDvPcPeVyezB5izizAn4X1JDrys69n6xI/edit?usp=sharing"",""ยะลา!R521"")+IMPORTRANGE(""https://docs.google.com/spreadsheets/d/1qfrKjzMhm2HJfxQ-qVlJlJQ25Hne1d0khsySbZyGtPA/edit?usp=sharing"",""ระนอง!R521"")+IMPORTRANGE(""https://docs.google.com/spreadsheets/d/"&amp;"1IbSCnFOKpZsnFogBHJnL_isstZVaOMnFiIN0fGTPZZw/edit?usp=sharing"",""สงขลา!R521"")+IMPORTRANGE(""https://docs.google.com/spreadsheets/d/1q9nWasZJ-K8bFGvbE9n0qSRuKGA4Toe3Y89cKCiVtCU/edit?usp=sharing"",""สตูล!R521"")+IMPORTRANGE(""https://docs.google.com/sprea"&amp;"dsheets/d/18T20gbkS_WBjdscyTOV05cvq_JqvqQ17C81mpxf7Ncs/edit?usp=sharing"",""สุราษฎร์ธานี!R521"")"),0)</f>
        <v>0</v>
      </c>
      <c r="S521" s="47">
        <f ca="1">IFERROR(__xludf.DUMMYFUNCTION("IMPORTRANGE(""https://docs.google.com/spreadsheets/d/1kKUcYdkIfrgTSj8iHHHB2MD2FAtwyyocFgqGQn6ADyI/edit?usp=sharing"",""กระบี่!S521"")+IMPORTRANGE(""https://docs.google.com/spreadsheets/d/1GwtLaSlNZkLk7iDqcyZz22giiy40b_usZZBXYciEN1U/edit?usp=sharing"",""ชุ"&amp;"มพร!S521"")+IMPORTRANGE(""https://docs.google.com/spreadsheets/d/16pAz3pOhQEZBhvFNMa5KGgZS6iKWpsKX0pg6tQmwFpo/edit?usp=sharing"",""ตรัง!S521"")+IMPORTRANGE(""https://docs.google.com/spreadsheets/d/1Dj4jcHCTV9JXKCaMoheSXS52JE63kDKyG7bPXnFogHk/edit?usp=shar"&amp;"ing"",""นครศรีธรรมราช!S521"")+IMPORTRANGE(""https://docs.google.com/spreadsheets/d/1iodCdmuK2GR3jzUwk8tpccY2JHQQA-87DLOtJP-ooyU/edit?usp=sharing"",""นราธิวาส!S521"")+IMPORTRANGE(""https://docs.google.com/spreadsheets/d/1SDNX3JhDdYRuIOsj0Wh2M-Qa_eaXl0NbWmh"&amp;"AOTbfQAs/edit?usp=sharing"",""ปัตตานี!S521"")+IMPORTRANGE(""https://docs.google.com/spreadsheets/d/16JDLGguT8s5DsGCND1KcwHP_AWR_zDMTqLHPLJUKhaU/edit?usp=sharing"",""พังงา!S521"")+IMPORTRANGE(""https://docs.google.com/spreadsheets/d/17ht0gPKzzT3PObBL1XJkeR"&amp;"mntBXI7wGjpLV7QorqlTk/edit?usp=sharing"",""พัทลุง!S521"")+IMPORTRANGE(""https://docs.google.com/spreadsheets/d/1rd4qoM1q_hsgaolqNGfrim9gbsoLxQsda4-vOz5x_BM/edit?usp=sharing"",""ภูเก็ต!S521"")+IMPORTRANGE(""https://docs.google.com/spreadsheets/d/1woKwKjgoL"&amp;"ssDvPcPeVyezB5izizAn4X1JDrys69n6xI/edit?usp=sharing"",""ยะลา!S521"")+IMPORTRANGE(""https://docs.google.com/spreadsheets/d/1qfrKjzMhm2HJfxQ-qVlJlJQ25Hne1d0khsySbZyGtPA/edit?usp=sharing"",""ระนอง!S521"")+IMPORTRANGE(""https://docs.google.com/spreadsheets/d/"&amp;"1IbSCnFOKpZsnFogBHJnL_isstZVaOMnFiIN0fGTPZZw/edit?usp=sharing"",""สงขลา!S521"")+IMPORTRANGE(""https://docs.google.com/spreadsheets/d/1q9nWasZJ-K8bFGvbE9n0qSRuKGA4Toe3Y89cKCiVtCU/edit?usp=sharing"",""สตูล!S521"")+IMPORTRANGE(""https://docs.google.com/sprea"&amp;"dsheets/d/18T20gbkS_WBjdscyTOV05cvq_JqvqQ17C81mpxf7Ncs/edit?usp=sharing"",""สุราษฎร์ธานี!S521"")"),0)</f>
        <v>0</v>
      </c>
      <c r="T521" s="47">
        <f t="shared" ca="1" si="366"/>
        <v>0</v>
      </c>
      <c r="U521" s="47">
        <f t="shared" ca="1" si="367"/>
        <v>0</v>
      </c>
    </row>
    <row r="522" spans="1:21" ht="19.5" x14ac:dyDescent="0.3">
      <c r="A522" s="138"/>
      <c r="B522" s="139"/>
      <c r="C522" s="129" t="s">
        <v>18</v>
      </c>
      <c r="D522" s="140" t="s">
        <v>38</v>
      </c>
      <c r="E522" s="141"/>
      <c r="F522" s="141"/>
      <c r="G522" s="142"/>
      <c r="H522" s="143"/>
      <c r="I522" s="135"/>
      <c r="J522" s="45"/>
      <c r="K522" s="46"/>
      <c r="L522" s="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217"/>
      <c r="B523" s="41"/>
      <c r="C523" s="159"/>
      <c r="D523" s="149" t="s">
        <v>208</v>
      </c>
      <c r="E523" s="139"/>
      <c r="F523" s="41"/>
      <c r="G523" s="43"/>
      <c r="H523" s="219" t="s">
        <v>11</v>
      </c>
      <c r="I523" s="152">
        <v>0</v>
      </c>
      <c r="J523" s="152">
        <f ca="1">IFERROR(__xludf.DUMMYFUNCTION("IMPORTRANGE(""https://docs.google.com/spreadsheets/d/1kKUcYdkIfrgTSj8iHHHB2MD2FAtwyyocFgqGQn6ADyI/edit?usp=sharing"",""กระบี่!J523"")+IMPORTRANGE(""https://docs.google.com/spreadsheets/d/1GwtLaSlNZkLk7iDqcyZz22giiy40b_usZZBXYciEN1U/edit?usp=sharing"",""ชุ"&amp;"มพร!J523"")+IMPORTRANGE(""https://docs.google.com/spreadsheets/d/16pAz3pOhQEZBhvFNMa5KGgZS6iKWpsKX0pg6tQmwFpo/edit?usp=sharing"",""ตรัง!J523"")+IMPORTRANGE(""https://docs.google.com/spreadsheets/d/1Dj4jcHCTV9JXKCaMoheSXS52JE63kDKyG7bPXnFogHk/edit?usp=shar"&amp;"ing"",""นครศรีธรรมราช!J523"")+IMPORTRANGE(""https://docs.google.com/spreadsheets/d/1iodCdmuK2GR3jzUwk8tpccY2JHQQA-87DLOtJP-ooyU/edit?usp=sharing"",""นราธิวาส!J523"")+IMPORTRANGE(""https://docs.google.com/spreadsheets/d/1SDNX3JhDdYRuIOsj0Wh2M-Qa_eaXl0NbWmh"&amp;"AOTbfQAs/edit?usp=sharing"",""ปัตตานี!J523"")+IMPORTRANGE(""https://docs.google.com/spreadsheets/d/16JDLGguT8s5DsGCND1KcwHP_AWR_zDMTqLHPLJUKhaU/edit?usp=sharing"",""พังงา!J523"")+IMPORTRANGE(""https://docs.google.com/spreadsheets/d/17ht0gPKzzT3PObBL1XJkeR"&amp;"mntBXI7wGjpLV7QorqlTk/edit?usp=sharing"",""พัทลุง!J523"")+IMPORTRANGE(""https://docs.google.com/spreadsheets/d/1rd4qoM1q_hsgaolqNGfrim9gbsoLxQsda4-vOz5x_BM/edit?usp=sharing"",""ภูเก็ต!J523"")+IMPORTRANGE(""https://docs.google.com/spreadsheets/d/1woKwKjgoL"&amp;"ssDvPcPeVyezB5izizAn4X1JDrys69n6xI/edit?usp=sharing"",""ยะลา!J523"")+IMPORTRANGE(""https://docs.google.com/spreadsheets/d/1qfrKjzMhm2HJfxQ-qVlJlJQ25Hne1d0khsySbZyGtPA/edit?usp=sharing"",""ระนอง!J523"")+IMPORTRANGE(""https://docs.google.com/spreadsheets/d/"&amp;"1IbSCnFOKpZsnFogBHJnL_isstZVaOMnFiIN0fGTPZZw/edit?usp=sharing"",""สงขลา!J523"")+IMPORTRANGE(""https://docs.google.com/spreadsheets/d/1q9nWasZJ-K8bFGvbE9n0qSRuKGA4Toe3Y89cKCiVtCU/edit?usp=sharing"",""สตูล!J523"")+IMPORTRANGE(""https://docs.google.com/sprea"&amp;"dsheets/d/18T20gbkS_WBjdscyTOV05cvq_JqvqQ17C81mpxf7Ncs/edit?usp=sharing"",""สุราษฎร์ธานี!J523"")"),0)</f>
        <v>0</v>
      </c>
      <c r="K523" s="47">
        <f t="shared" ref="K523:K524" si="376">IF(I523&gt;0,J523*100/I523,0)</f>
        <v>0</v>
      </c>
      <c r="L523" s="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350"/>
      <c r="B524" s="1"/>
      <c r="C524" s="3"/>
      <c r="D524" s="379" t="s">
        <v>209</v>
      </c>
      <c r="E524" s="264"/>
      <c r="F524" s="1"/>
      <c r="G524" s="53"/>
      <c r="H524" s="380" t="s">
        <v>61</v>
      </c>
      <c r="I524" s="197">
        <f ca="1">IFERROR(__xludf.DUMMYFUNCTION("IMPORTRANGE(""https://docs.google.com/spreadsheets/d/1kKUcYdkIfrgTSj8iHHHB2MD2FAtwyyocFgqGQn6ADyI/edit?usp=sharing"",""กระบี่!I524"")+IMPORTRANGE(""https://docs.google.com/spreadsheets/d/1GwtLaSlNZkLk7iDqcyZz22giiy40b_usZZBXYciEN1U/edit?usp=sharing"",""ชุ"&amp;"มพร!I524"")+IMPORTRANGE(""https://docs.google.com/spreadsheets/d/16pAz3pOhQEZBhvFNMa5KGgZS6iKWpsKX0pg6tQmwFpo/edit?usp=sharing"",""ตรัง!I524"")+IMPORTRANGE(""https://docs.google.com/spreadsheets/d/1Dj4jcHCTV9JXKCaMoheSXS52JE63kDKyG7bPXnFogHk/edit?usp=shar"&amp;"ing"",""นครศรีธรรมราช!I524"")+IMPORTRANGE(""https://docs.google.com/spreadsheets/d/1iodCdmuK2GR3jzUwk8tpccY2JHQQA-87DLOtJP-ooyU/edit?usp=sharing"",""นราธิวาส!I524"")+IMPORTRANGE(""https://docs.google.com/spreadsheets/d/1SDNX3JhDdYRuIOsj0Wh2M-Qa_eaXl0NbWmh"&amp;"AOTbfQAs/edit?usp=sharing"",""ปัตตานี!I524"")+IMPORTRANGE(""https://docs.google.com/spreadsheets/d/16JDLGguT8s5DsGCND1KcwHP_AWR_zDMTqLHPLJUKhaU/edit?usp=sharing"",""พังงา!I524"")+IMPORTRANGE(""https://docs.google.com/spreadsheets/d/17ht0gPKzzT3PObBL1XJkeR"&amp;"mntBXI7wGjpLV7QorqlTk/edit?usp=sharing"",""พัทลุง!I524"")+IMPORTRANGE(""https://docs.google.com/spreadsheets/d/1rd4qoM1q_hsgaolqNGfrim9gbsoLxQsda4-vOz5x_BM/edit?usp=sharing"",""ภูเก็ต!I524"")+IMPORTRANGE(""https://docs.google.com/spreadsheets/d/1woKwKjgoL"&amp;"ssDvPcPeVyezB5izizAn4X1JDrys69n6xI/edit?usp=sharing"",""ยะลา!I524"")+IMPORTRANGE(""https://docs.google.com/spreadsheets/d/1qfrKjzMhm2HJfxQ-qVlJlJQ25Hne1d0khsySbZyGtPA/edit?usp=sharing"",""ระนอง!I524"")+IMPORTRANGE(""https://docs.google.com/spreadsheets/d/"&amp;"1IbSCnFOKpZsnFogBHJnL_isstZVaOMnFiIN0fGTPZZw/edit?usp=sharing"",""สงขลา!I524"")+IMPORTRANGE(""https://docs.google.com/spreadsheets/d/1q9nWasZJ-K8bFGvbE9n0qSRuKGA4Toe3Y89cKCiVtCU/edit?usp=sharing"",""สตูล!I524"")+IMPORTRANGE(""https://docs.google.com/sprea"&amp;"dsheets/d/18T20gbkS_WBjdscyTOV05cvq_JqvqQ17C81mpxf7Ncs/edit?usp=sharing"",""สุราษฎร์ธานี!I524"")"),1)</f>
        <v>1</v>
      </c>
      <c r="J524" s="197">
        <f ca="1">IFERROR(__xludf.DUMMYFUNCTION("IMPORTRANGE(""https://docs.google.com/spreadsheets/d/1kKUcYdkIfrgTSj8iHHHB2MD2FAtwyyocFgqGQn6ADyI/edit?usp=sharing"",""กระบี่!J524"")+IMPORTRANGE(""https://docs.google.com/spreadsheets/d/1GwtLaSlNZkLk7iDqcyZz22giiy40b_usZZBXYciEN1U/edit?usp=sharing"",""ชุ"&amp;"มพร!J524"")+IMPORTRANGE(""https://docs.google.com/spreadsheets/d/16pAz3pOhQEZBhvFNMa5KGgZS6iKWpsKX0pg6tQmwFpo/edit?usp=sharing"",""ตรัง!J524"")+IMPORTRANGE(""https://docs.google.com/spreadsheets/d/1Dj4jcHCTV9JXKCaMoheSXS52JE63kDKyG7bPXnFogHk/edit?usp=shar"&amp;"ing"",""นครศรีธรรมราช!J524"")+IMPORTRANGE(""https://docs.google.com/spreadsheets/d/1iodCdmuK2GR3jzUwk8tpccY2JHQQA-87DLOtJP-ooyU/edit?usp=sharing"",""นราธิวาส!J524"")+IMPORTRANGE(""https://docs.google.com/spreadsheets/d/1SDNX3JhDdYRuIOsj0Wh2M-Qa_eaXl0NbWmh"&amp;"AOTbfQAs/edit?usp=sharing"",""ปัตตานี!J524"")+IMPORTRANGE(""https://docs.google.com/spreadsheets/d/16JDLGguT8s5DsGCND1KcwHP_AWR_zDMTqLHPLJUKhaU/edit?usp=sharing"",""พังงา!J524"")+IMPORTRANGE(""https://docs.google.com/spreadsheets/d/17ht0gPKzzT3PObBL1XJkeR"&amp;"mntBXI7wGjpLV7QorqlTk/edit?usp=sharing"",""พัทลุง!J524"")+IMPORTRANGE(""https://docs.google.com/spreadsheets/d/1rd4qoM1q_hsgaolqNGfrim9gbsoLxQsda4-vOz5x_BM/edit?usp=sharing"",""ภูเก็ต!J524"")+IMPORTRANGE(""https://docs.google.com/spreadsheets/d/1woKwKjgoL"&amp;"ssDvPcPeVyezB5izizAn4X1JDrys69n6xI/edit?usp=sharing"",""ยะลา!J524"")+IMPORTRANGE(""https://docs.google.com/spreadsheets/d/1qfrKjzMhm2HJfxQ-qVlJlJQ25Hne1d0khsySbZyGtPA/edit?usp=sharing"",""ระนอง!J524"")+IMPORTRANGE(""https://docs.google.com/spreadsheets/d/"&amp;"1IbSCnFOKpZsnFogBHJnL_isstZVaOMnFiIN0fGTPZZw/edit?usp=sharing"",""สงขลา!J524"")+IMPORTRANGE(""https://docs.google.com/spreadsheets/d/1q9nWasZJ-K8bFGvbE9n0qSRuKGA4Toe3Y89cKCiVtCU/edit?usp=sharing"",""สตูล!J524"")+IMPORTRANGE(""https://docs.google.com/sprea"&amp;"dsheets/d/18T20gbkS_WBjdscyTOV05cvq_JqvqQ17C81mpxf7Ncs/edit?usp=sharing"",""สุราษฎร์ธานี!J524"")"),0)</f>
        <v>0</v>
      </c>
      <c r="K524" s="111">
        <f t="shared" ca="1" si="376"/>
        <v>0</v>
      </c>
      <c r="L524" s="4"/>
      <c r="M524" s="4"/>
      <c r="N524" s="4"/>
      <c r="O524" s="4"/>
      <c r="P524" s="4"/>
      <c r="Q524" s="4"/>
      <c r="R524" s="4"/>
      <c r="S524" s="4"/>
      <c r="T524" s="46"/>
      <c r="U524" s="46"/>
    </row>
    <row r="525" spans="1:21" ht="12.75" hidden="1" x14ac:dyDescent="0.2">
      <c r="A525" s="241"/>
      <c r="B525" s="242"/>
      <c r="C525" s="242"/>
      <c r="D525" s="243"/>
      <c r="E525" s="243"/>
      <c r="F525" s="243"/>
      <c r="G525" s="244"/>
      <c r="H525" s="245"/>
      <c r="I525" s="246"/>
      <c r="J525" s="246"/>
      <c r="K525" s="247"/>
      <c r="L525" s="247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247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247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247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247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247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247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336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385">
        <f t="shared" ref="I533:J533" si="377">I544</f>
        <v>0</v>
      </c>
      <c r="J533" s="385">
        <f t="shared" si="377"/>
        <v>0</v>
      </c>
      <c r="K533" s="377">
        <f>IF(I533&gt;0,J533*100/I533,0)</f>
        <v>0</v>
      </c>
      <c r="L533" s="378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x14ac:dyDescent="0.3">
      <c r="A534" s="128"/>
      <c r="B534" s="41"/>
      <c r="C534" s="129" t="s">
        <v>18</v>
      </c>
      <c r="D534" s="130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132">
        <f t="shared" ref="L534:N534" ca="1" si="378">L535+L536</f>
        <v>0</v>
      </c>
      <c r="M534" s="132">
        <f t="shared" ca="1" si="378"/>
        <v>0</v>
      </c>
      <c r="N534" s="132">
        <f t="shared" ca="1" si="378"/>
        <v>0</v>
      </c>
      <c r="O534" s="132">
        <f t="shared" ref="O534:O542" ca="1" si="379">IF(L534&gt;0,N534*100/L534,0)</f>
        <v>0</v>
      </c>
      <c r="P534" s="132">
        <f t="shared" ref="P534:P542" ca="1" si="380">IF(M534&gt;0,N534*100/M534,0)</f>
        <v>0</v>
      </c>
      <c r="Q534" s="132">
        <f t="shared" ref="Q534:S534" ca="1" si="381">Q535+Q536</f>
        <v>0</v>
      </c>
      <c r="R534" s="132">
        <f t="shared" ca="1" si="381"/>
        <v>0</v>
      </c>
      <c r="S534" s="132">
        <f t="shared" ca="1" si="381"/>
        <v>0</v>
      </c>
      <c r="T534" s="132">
        <f t="shared" ref="T534:T542" ca="1" si="382">IF(Q534&gt;0,S534*100/Q534,0)</f>
        <v>0</v>
      </c>
      <c r="U534" s="132">
        <f t="shared" ref="U534:U542" ca="1" si="383"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49">
        <f t="shared" ref="L535:N535" ca="1" si="384">L538+L541</f>
        <v>0</v>
      </c>
      <c r="M535" s="49">
        <f t="shared" ca="1" si="384"/>
        <v>0</v>
      </c>
      <c r="N535" s="49">
        <f t="shared" ca="1" si="384"/>
        <v>0</v>
      </c>
      <c r="O535" s="49">
        <f t="shared" ca="1" si="379"/>
        <v>0</v>
      </c>
      <c r="P535" s="49">
        <f t="shared" ca="1" si="380"/>
        <v>0</v>
      </c>
      <c r="Q535" s="49">
        <f t="shared" ref="Q535:S535" ca="1" si="385">Q538+Q541</f>
        <v>0</v>
      </c>
      <c r="R535" s="49">
        <f t="shared" ca="1" si="385"/>
        <v>0</v>
      </c>
      <c r="S535" s="49">
        <f t="shared" ca="1" si="385"/>
        <v>0</v>
      </c>
      <c r="T535" s="49">
        <f t="shared" ca="1" si="382"/>
        <v>0</v>
      </c>
      <c r="U535" s="49">
        <f t="shared" ca="1" si="383"/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47">
        <f t="shared" ref="L536:N536" ca="1" si="386">L539+L542</f>
        <v>0</v>
      </c>
      <c r="M536" s="47">
        <f t="shared" ca="1" si="386"/>
        <v>0</v>
      </c>
      <c r="N536" s="47">
        <f t="shared" ca="1" si="386"/>
        <v>0</v>
      </c>
      <c r="O536" s="47">
        <f t="shared" ca="1" si="379"/>
        <v>0</v>
      </c>
      <c r="P536" s="47">
        <f t="shared" ca="1" si="380"/>
        <v>0</v>
      </c>
      <c r="Q536" s="47">
        <f t="shared" ref="Q536:S536" ca="1" si="387">Q539+Q542</f>
        <v>0</v>
      </c>
      <c r="R536" s="47">
        <f t="shared" ca="1" si="387"/>
        <v>0</v>
      </c>
      <c r="S536" s="47">
        <f t="shared" ca="1" si="387"/>
        <v>0</v>
      </c>
      <c r="T536" s="47">
        <f t="shared" ca="1" si="382"/>
        <v>0</v>
      </c>
      <c r="U536" s="47">
        <f t="shared" ca="1" si="383"/>
        <v>0</v>
      </c>
    </row>
    <row r="537" spans="1:21" ht="18.75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47">
        <f t="shared" ref="L537:N537" ca="1" si="388">L538+L539</f>
        <v>0</v>
      </c>
      <c r="M537" s="47">
        <f t="shared" ca="1" si="388"/>
        <v>0</v>
      </c>
      <c r="N537" s="47">
        <f t="shared" ca="1" si="388"/>
        <v>0</v>
      </c>
      <c r="O537" s="47">
        <f t="shared" ca="1" si="379"/>
        <v>0</v>
      </c>
      <c r="P537" s="47">
        <f t="shared" ca="1" si="380"/>
        <v>0</v>
      </c>
      <c r="Q537" s="47">
        <f t="shared" ref="Q537:S537" ca="1" si="389">Q538+Q539</f>
        <v>0</v>
      </c>
      <c r="R537" s="47">
        <f t="shared" ca="1" si="389"/>
        <v>0</v>
      </c>
      <c r="S537" s="47">
        <f t="shared" ca="1" si="389"/>
        <v>0</v>
      </c>
      <c r="T537" s="47">
        <f t="shared" ca="1" si="382"/>
        <v>0</v>
      </c>
      <c r="U537" s="47">
        <f t="shared" ca="1" si="383"/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49">
        <f ca="1">IFERROR(__xludf.DUMMYFUNCTION("IMPORTRANGE(""https://docs.google.com/spreadsheets/d/1kKUcYdkIfrgTSj8iHHHB2MD2FAtwyyocFgqGQn6ADyI/edit?usp=sharing"",""กระบี่!L538"")+IMPORTRANGE(""https://docs.google.com/spreadsheets/d/1GwtLaSlNZkLk7iDqcyZz22giiy40b_usZZBXYciEN1U/edit?usp=sharing"",""ชุ"&amp;"มพร!L538"")+IMPORTRANGE(""https://docs.google.com/spreadsheets/d/16pAz3pOhQEZBhvFNMa5KGgZS6iKWpsKX0pg6tQmwFpo/edit?usp=sharing"",""ตรัง!L538"")+IMPORTRANGE(""https://docs.google.com/spreadsheets/d/1Dj4jcHCTV9JXKCaMoheSXS52JE63kDKyG7bPXnFogHk/edit?usp=shar"&amp;"ing"",""นครศรีธรรมราช!L538"")+IMPORTRANGE(""https://docs.google.com/spreadsheets/d/1iodCdmuK2GR3jzUwk8tpccY2JHQQA-87DLOtJP-ooyU/edit?usp=sharing"",""นราธิวาส!L538"")+IMPORTRANGE(""https://docs.google.com/spreadsheets/d/1SDNX3JhDdYRuIOsj0Wh2M-Qa_eaXl0NbWmh"&amp;"AOTbfQAs/edit?usp=sharing"",""ปัตตานี!L538"")+IMPORTRANGE(""https://docs.google.com/spreadsheets/d/16JDLGguT8s5DsGCND1KcwHP_AWR_zDMTqLHPLJUKhaU/edit?usp=sharing"",""พังงา!L538"")+IMPORTRANGE(""https://docs.google.com/spreadsheets/d/17ht0gPKzzT3PObBL1XJkeR"&amp;"mntBXI7wGjpLV7QorqlTk/edit?usp=sharing"",""พัทลุง!L538"")+IMPORTRANGE(""https://docs.google.com/spreadsheets/d/1rd4qoM1q_hsgaolqNGfrim9gbsoLxQsda4-vOz5x_BM/edit?usp=sharing"",""ภูเก็ต!L538"")+IMPORTRANGE(""https://docs.google.com/spreadsheets/d/1woKwKjgoL"&amp;"ssDvPcPeVyezB5izizAn4X1JDrys69n6xI/edit?usp=sharing"",""ยะลา!L538"")+IMPORTRANGE(""https://docs.google.com/spreadsheets/d/1qfrKjzMhm2HJfxQ-qVlJlJQ25Hne1d0khsySbZyGtPA/edit?usp=sharing"",""ระนอง!L538"")+IMPORTRANGE(""https://docs.google.com/spreadsheets/d/"&amp;"1IbSCnFOKpZsnFogBHJnL_isstZVaOMnFiIN0fGTPZZw/edit?usp=sharing"",""สงขลา!L538"")+IMPORTRANGE(""https://docs.google.com/spreadsheets/d/1q9nWasZJ-K8bFGvbE9n0qSRuKGA4Toe3Y89cKCiVtCU/edit?usp=sharing"",""สตูล!L538"")+IMPORTRANGE(""https://docs.google.com/sprea"&amp;"dsheets/d/18T20gbkS_WBjdscyTOV05cvq_JqvqQ17C81mpxf7Ncs/edit?usp=sharing"",""สุราษฎร์ธานี!L538"")"),0)</f>
        <v>0</v>
      </c>
      <c r="M538" s="49">
        <f ca="1">IFERROR(__xludf.DUMMYFUNCTION("IMPORTRANGE(""https://docs.google.com/spreadsheets/d/1kKUcYdkIfrgTSj8iHHHB2MD2FAtwyyocFgqGQn6ADyI/edit?usp=sharing"",""กระบี่!M538"")+IMPORTRANGE(""https://docs.google.com/spreadsheets/d/1GwtLaSlNZkLk7iDqcyZz22giiy40b_usZZBXYciEN1U/edit?usp=sharing"",""ชุ"&amp;"มพร!M538"")+IMPORTRANGE(""https://docs.google.com/spreadsheets/d/16pAz3pOhQEZBhvFNMa5KGgZS6iKWpsKX0pg6tQmwFpo/edit?usp=sharing"",""ตรัง!M538"")+IMPORTRANGE(""https://docs.google.com/spreadsheets/d/1Dj4jcHCTV9JXKCaMoheSXS52JE63kDKyG7bPXnFogHk/edit?usp=shar"&amp;"ing"",""นครศรีธรรมราช!M538"")+IMPORTRANGE(""https://docs.google.com/spreadsheets/d/1iodCdmuK2GR3jzUwk8tpccY2JHQQA-87DLOtJP-ooyU/edit?usp=sharing"",""นราธิวาส!M538"")+IMPORTRANGE(""https://docs.google.com/spreadsheets/d/1SDNX3JhDdYRuIOsj0Wh2M-Qa_eaXl0NbWmh"&amp;"AOTbfQAs/edit?usp=sharing"",""ปัตตานี!M538"")+IMPORTRANGE(""https://docs.google.com/spreadsheets/d/16JDLGguT8s5DsGCND1KcwHP_AWR_zDMTqLHPLJUKhaU/edit?usp=sharing"",""พังงา!M538"")+IMPORTRANGE(""https://docs.google.com/spreadsheets/d/17ht0gPKzzT3PObBL1XJkeR"&amp;"mntBXI7wGjpLV7QorqlTk/edit?usp=sharing"",""พัทลุง!M538"")+IMPORTRANGE(""https://docs.google.com/spreadsheets/d/1rd4qoM1q_hsgaolqNGfrim9gbsoLxQsda4-vOz5x_BM/edit?usp=sharing"",""ภูเก็ต!M538"")+IMPORTRANGE(""https://docs.google.com/spreadsheets/d/1woKwKjgoL"&amp;"ssDvPcPeVyezB5izizAn4X1JDrys69n6xI/edit?usp=sharing"",""ยะลา!M538"")+IMPORTRANGE(""https://docs.google.com/spreadsheets/d/1qfrKjzMhm2HJfxQ-qVlJlJQ25Hne1d0khsySbZyGtPA/edit?usp=sharing"",""ระนอง!M538"")+IMPORTRANGE(""https://docs.google.com/spreadsheets/d/"&amp;"1IbSCnFOKpZsnFogBHJnL_isstZVaOMnFiIN0fGTPZZw/edit?usp=sharing"",""สงขลา!M538"")+IMPORTRANGE(""https://docs.google.com/spreadsheets/d/1q9nWasZJ-K8bFGvbE9n0qSRuKGA4Toe3Y89cKCiVtCU/edit?usp=sharing"",""สตูล!M538"")+IMPORTRANGE(""https://docs.google.com/sprea"&amp;"dsheets/d/18T20gbkS_WBjdscyTOV05cvq_JqvqQ17C81mpxf7Ncs/edit?usp=sharing"",""สุราษฎร์ธานี!M538"")"),0)</f>
        <v>0</v>
      </c>
      <c r="N538" s="49">
        <f ca="1">IFERROR(__xludf.DUMMYFUNCTION("IMPORTRANGE(""https://docs.google.com/spreadsheets/d/1kKUcYdkIfrgTSj8iHHHB2MD2FAtwyyocFgqGQn6ADyI/edit?usp=sharing"",""กระบี่!N538"")+IMPORTRANGE(""https://docs.google.com/spreadsheets/d/1GwtLaSlNZkLk7iDqcyZz22giiy40b_usZZBXYciEN1U/edit?usp=sharing"",""ชุ"&amp;"มพร!N538"")+IMPORTRANGE(""https://docs.google.com/spreadsheets/d/16pAz3pOhQEZBhvFNMa5KGgZS6iKWpsKX0pg6tQmwFpo/edit?usp=sharing"",""ตรัง!N538"")+IMPORTRANGE(""https://docs.google.com/spreadsheets/d/1Dj4jcHCTV9JXKCaMoheSXS52JE63kDKyG7bPXnFogHk/edit?usp=shar"&amp;"ing"",""นครศรีธรรมราช!N538"")+IMPORTRANGE(""https://docs.google.com/spreadsheets/d/1iodCdmuK2GR3jzUwk8tpccY2JHQQA-87DLOtJP-ooyU/edit?usp=sharing"",""นราธิวาส!N538"")+IMPORTRANGE(""https://docs.google.com/spreadsheets/d/1SDNX3JhDdYRuIOsj0Wh2M-Qa_eaXl0NbWmh"&amp;"AOTbfQAs/edit?usp=sharing"",""ปัตตานี!N538"")+IMPORTRANGE(""https://docs.google.com/spreadsheets/d/16JDLGguT8s5DsGCND1KcwHP_AWR_zDMTqLHPLJUKhaU/edit?usp=sharing"",""พังงา!N538"")+IMPORTRANGE(""https://docs.google.com/spreadsheets/d/17ht0gPKzzT3PObBL1XJkeR"&amp;"mntBXI7wGjpLV7QorqlTk/edit?usp=sharing"",""พัทลุง!N538"")+IMPORTRANGE(""https://docs.google.com/spreadsheets/d/1rd4qoM1q_hsgaolqNGfrim9gbsoLxQsda4-vOz5x_BM/edit?usp=sharing"",""ภูเก็ต!N538"")+IMPORTRANGE(""https://docs.google.com/spreadsheets/d/1woKwKjgoL"&amp;"ssDvPcPeVyezB5izizAn4X1JDrys69n6xI/edit?usp=sharing"",""ยะลา!N538"")+IMPORTRANGE(""https://docs.google.com/spreadsheets/d/1qfrKjzMhm2HJfxQ-qVlJlJQ25Hne1d0khsySbZyGtPA/edit?usp=sharing"",""ระนอง!N538"")+IMPORTRANGE(""https://docs.google.com/spreadsheets/d/"&amp;"1IbSCnFOKpZsnFogBHJnL_isstZVaOMnFiIN0fGTPZZw/edit?usp=sharing"",""สงขลา!N538"")+IMPORTRANGE(""https://docs.google.com/spreadsheets/d/1q9nWasZJ-K8bFGvbE9n0qSRuKGA4Toe3Y89cKCiVtCU/edit?usp=sharing"",""สตูล!N538"")+IMPORTRANGE(""https://docs.google.com/sprea"&amp;"dsheets/d/18T20gbkS_WBjdscyTOV05cvq_JqvqQ17C81mpxf7Ncs/edit?usp=sharing"",""สุราษฎร์ธานี!N538"")"),0)</f>
        <v>0</v>
      </c>
      <c r="O538" s="49">
        <f t="shared" ca="1" si="379"/>
        <v>0</v>
      </c>
      <c r="P538" s="49">
        <f t="shared" ca="1" si="380"/>
        <v>0</v>
      </c>
      <c r="Q538" s="49">
        <f ca="1">IFERROR(__xludf.DUMMYFUNCTION("IMPORTRANGE(""https://docs.google.com/spreadsheets/d/1kKUcYdkIfrgTSj8iHHHB2MD2FAtwyyocFgqGQn6ADyI/edit?usp=sharing"",""กระบี่!Q538"")+IMPORTRANGE(""https://docs.google.com/spreadsheets/d/1GwtLaSlNZkLk7iDqcyZz22giiy40b_usZZBXYciEN1U/edit?usp=sharing"",""ชุ"&amp;"มพร!Q538"")+IMPORTRANGE(""https://docs.google.com/spreadsheets/d/16pAz3pOhQEZBhvFNMa5KGgZS6iKWpsKX0pg6tQmwFpo/edit?usp=sharing"",""ตรัง!Q538"")+IMPORTRANGE(""https://docs.google.com/spreadsheets/d/1Dj4jcHCTV9JXKCaMoheSXS52JE63kDKyG7bPXnFogHk/edit?usp=shar"&amp;"ing"",""นครศรีธรรมราช!Q538"")+IMPORTRANGE(""https://docs.google.com/spreadsheets/d/1iodCdmuK2GR3jzUwk8tpccY2JHQQA-87DLOtJP-ooyU/edit?usp=sharing"",""นราธิวาส!Q538"")+IMPORTRANGE(""https://docs.google.com/spreadsheets/d/1SDNX3JhDdYRuIOsj0Wh2M-Qa_eaXl0NbWmh"&amp;"AOTbfQAs/edit?usp=sharing"",""ปัตตานี!Q538"")+IMPORTRANGE(""https://docs.google.com/spreadsheets/d/16JDLGguT8s5DsGCND1KcwHP_AWR_zDMTqLHPLJUKhaU/edit?usp=sharing"",""พังงา!Q538"")+IMPORTRANGE(""https://docs.google.com/spreadsheets/d/17ht0gPKzzT3PObBL1XJkeR"&amp;"mntBXI7wGjpLV7QorqlTk/edit?usp=sharing"",""พัทลุง!Q538"")+IMPORTRANGE(""https://docs.google.com/spreadsheets/d/1rd4qoM1q_hsgaolqNGfrim9gbsoLxQsda4-vOz5x_BM/edit?usp=sharing"",""ภูเก็ต!Q538"")+IMPORTRANGE(""https://docs.google.com/spreadsheets/d/1woKwKjgoL"&amp;"ssDvPcPeVyezB5izizAn4X1JDrys69n6xI/edit?usp=sharing"",""ยะลา!Q538"")+IMPORTRANGE(""https://docs.google.com/spreadsheets/d/1qfrKjzMhm2HJfxQ-qVlJlJQ25Hne1d0khsySbZyGtPA/edit?usp=sharing"",""ระนอง!Q538"")+IMPORTRANGE(""https://docs.google.com/spreadsheets/d/"&amp;"1IbSCnFOKpZsnFogBHJnL_isstZVaOMnFiIN0fGTPZZw/edit?usp=sharing"",""สงขลา!Q538"")+IMPORTRANGE(""https://docs.google.com/spreadsheets/d/1q9nWasZJ-K8bFGvbE9n0qSRuKGA4Toe3Y89cKCiVtCU/edit?usp=sharing"",""สตูล!Q538"")+IMPORTRANGE(""https://docs.google.com/sprea"&amp;"dsheets/d/18T20gbkS_WBjdscyTOV05cvq_JqvqQ17C81mpxf7Ncs/edit?usp=sharing"",""สุราษฎร์ธานี!Q538"")"),0)</f>
        <v>0</v>
      </c>
      <c r="R538" s="49">
        <f ca="1">IFERROR(__xludf.DUMMYFUNCTION("IMPORTRANGE(""https://docs.google.com/spreadsheets/d/1kKUcYdkIfrgTSj8iHHHB2MD2FAtwyyocFgqGQn6ADyI/edit?usp=sharing"",""กระบี่!R538"")+IMPORTRANGE(""https://docs.google.com/spreadsheets/d/1GwtLaSlNZkLk7iDqcyZz22giiy40b_usZZBXYciEN1U/edit?usp=sharing"",""ชุ"&amp;"มพร!R538"")+IMPORTRANGE(""https://docs.google.com/spreadsheets/d/16pAz3pOhQEZBhvFNMa5KGgZS6iKWpsKX0pg6tQmwFpo/edit?usp=sharing"",""ตรัง!R538"")+IMPORTRANGE(""https://docs.google.com/spreadsheets/d/1Dj4jcHCTV9JXKCaMoheSXS52JE63kDKyG7bPXnFogHk/edit?usp=shar"&amp;"ing"",""นครศรีธรรมราช!R538"")+IMPORTRANGE(""https://docs.google.com/spreadsheets/d/1iodCdmuK2GR3jzUwk8tpccY2JHQQA-87DLOtJP-ooyU/edit?usp=sharing"",""นราธิวาส!R538"")+IMPORTRANGE(""https://docs.google.com/spreadsheets/d/1SDNX3JhDdYRuIOsj0Wh2M-Qa_eaXl0NbWmh"&amp;"AOTbfQAs/edit?usp=sharing"",""ปัตตานี!R538"")+IMPORTRANGE(""https://docs.google.com/spreadsheets/d/16JDLGguT8s5DsGCND1KcwHP_AWR_zDMTqLHPLJUKhaU/edit?usp=sharing"",""พังงา!R538"")+IMPORTRANGE(""https://docs.google.com/spreadsheets/d/17ht0gPKzzT3PObBL1XJkeR"&amp;"mntBXI7wGjpLV7QorqlTk/edit?usp=sharing"",""พัทลุง!R538"")+IMPORTRANGE(""https://docs.google.com/spreadsheets/d/1rd4qoM1q_hsgaolqNGfrim9gbsoLxQsda4-vOz5x_BM/edit?usp=sharing"",""ภูเก็ต!R538"")+IMPORTRANGE(""https://docs.google.com/spreadsheets/d/1woKwKjgoL"&amp;"ssDvPcPeVyezB5izizAn4X1JDrys69n6xI/edit?usp=sharing"",""ยะลา!R538"")+IMPORTRANGE(""https://docs.google.com/spreadsheets/d/1qfrKjzMhm2HJfxQ-qVlJlJQ25Hne1d0khsySbZyGtPA/edit?usp=sharing"",""ระนอง!R538"")+IMPORTRANGE(""https://docs.google.com/spreadsheets/d/"&amp;"1IbSCnFOKpZsnFogBHJnL_isstZVaOMnFiIN0fGTPZZw/edit?usp=sharing"",""สงขลา!R538"")+IMPORTRANGE(""https://docs.google.com/spreadsheets/d/1q9nWasZJ-K8bFGvbE9n0qSRuKGA4Toe3Y89cKCiVtCU/edit?usp=sharing"",""สตูล!R538"")+IMPORTRANGE(""https://docs.google.com/sprea"&amp;"dsheets/d/18T20gbkS_WBjdscyTOV05cvq_JqvqQ17C81mpxf7Ncs/edit?usp=sharing"",""สุราษฎร์ธานี!R538"")"),0)</f>
        <v>0</v>
      </c>
      <c r="S538" s="49">
        <f ca="1">IFERROR(__xludf.DUMMYFUNCTION("IMPORTRANGE(""https://docs.google.com/spreadsheets/d/1kKUcYdkIfrgTSj8iHHHB2MD2FAtwyyocFgqGQn6ADyI/edit?usp=sharing"",""กระบี่!S538"")+IMPORTRANGE(""https://docs.google.com/spreadsheets/d/1GwtLaSlNZkLk7iDqcyZz22giiy40b_usZZBXYciEN1U/edit?usp=sharing"",""ชุ"&amp;"มพร!S538"")+IMPORTRANGE(""https://docs.google.com/spreadsheets/d/16pAz3pOhQEZBhvFNMa5KGgZS6iKWpsKX0pg6tQmwFpo/edit?usp=sharing"",""ตรัง!S538"")+IMPORTRANGE(""https://docs.google.com/spreadsheets/d/1Dj4jcHCTV9JXKCaMoheSXS52JE63kDKyG7bPXnFogHk/edit?usp=shar"&amp;"ing"",""นครศรีธรรมราช!S538"")+IMPORTRANGE(""https://docs.google.com/spreadsheets/d/1iodCdmuK2GR3jzUwk8tpccY2JHQQA-87DLOtJP-ooyU/edit?usp=sharing"",""นราธิวาส!S538"")+IMPORTRANGE(""https://docs.google.com/spreadsheets/d/1SDNX3JhDdYRuIOsj0Wh2M-Qa_eaXl0NbWmh"&amp;"AOTbfQAs/edit?usp=sharing"",""ปัตตานี!S538"")+IMPORTRANGE(""https://docs.google.com/spreadsheets/d/16JDLGguT8s5DsGCND1KcwHP_AWR_zDMTqLHPLJUKhaU/edit?usp=sharing"",""พังงา!S538"")+IMPORTRANGE(""https://docs.google.com/spreadsheets/d/17ht0gPKzzT3PObBL1XJkeR"&amp;"mntBXI7wGjpLV7QorqlTk/edit?usp=sharing"",""พัทลุง!S538"")+IMPORTRANGE(""https://docs.google.com/spreadsheets/d/1rd4qoM1q_hsgaolqNGfrim9gbsoLxQsda4-vOz5x_BM/edit?usp=sharing"",""ภูเก็ต!S538"")+IMPORTRANGE(""https://docs.google.com/spreadsheets/d/1woKwKjgoL"&amp;"ssDvPcPeVyezB5izizAn4X1JDrys69n6xI/edit?usp=sharing"",""ยะลา!S538"")+IMPORTRANGE(""https://docs.google.com/spreadsheets/d/1qfrKjzMhm2HJfxQ-qVlJlJQ25Hne1d0khsySbZyGtPA/edit?usp=sharing"",""ระนอง!S538"")+IMPORTRANGE(""https://docs.google.com/spreadsheets/d/"&amp;"1IbSCnFOKpZsnFogBHJnL_isstZVaOMnFiIN0fGTPZZw/edit?usp=sharing"",""สงขลา!S538"")+IMPORTRANGE(""https://docs.google.com/spreadsheets/d/1q9nWasZJ-K8bFGvbE9n0qSRuKGA4Toe3Y89cKCiVtCU/edit?usp=sharing"",""สตูล!S538"")+IMPORTRANGE(""https://docs.google.com/sprea"&amp;"dsheets/d/18T20gbkS_WBjdscyTOV05cvq_JqvqQ17C81mpxf7Ncs/edit?usp=sharing"",""สุราษฎร์ธานี!S538"")"),0)</f>
        <v>0</v>
      </c>
      <c r="T538" s="49">
        <f t="shared" ca="1" si="382"/>
        <v>0</v>
      </c>
      <c r="U538" s="49">
        <f t="shared" ca="1" si="383"/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47">
        <f ca="1">IFERROR(__xludf.DUMMYFUNCTION("IMPORTRANGE(""https://docs.google.com/spreadsheets/d/1kKUcYdkIfrgTSj8iHHHB2MD2FAtwyyocFgqGQn6ADyI/edit?usp=sharing"",""กระบี่!L539"")+IMPORTRANGE(""https://docs.google.com/spreadsheets/d/1GwtLaSlNZkLk7iDqcyZz22giiy40b_usZZBXYciEN1U/edit?usp=sharing"",""ชุ"&amp;"มพร!L539"")+IMPORTRANGE(""https://docs.google.com/spreadsheets/d/16pAz3pOhQEZBhvFNMa5KGgZS6iKWpsKX0pg6tQmwFpo/edit?usp=sharing"",""ตรัง!L539"")+IMPORTRANGE(""https://docs.google.com/spreadsheets/d/1Dj4jcHCTV9JXKCaMoheSXS52JE63kDKyG7bPXnFogHk/edit?usp=shar"&amp;"ing"",""นครศรีธรรมราช!L539"")+IMPORTRANGE(""https://docs.google.com/spreadsheets/d/1iodCdmuK2GR3jzUwk8tpccY2JHQQA-87DLOtJP-ooyU/edit?usp=sharing"",""นราธิวาส!L539"")+IMPORTRANGE(""https://docs.google.com/spreadsheets/d/1SDNX3JhDdYRuIOsj0Wh2M-Qa_eaXl0NbWmh"&amp;"AOTbfQAs/edit?usp=sharing"",""ปัตตานี!L539"")+IMPORTRANGE(""https://docs.google.com/spreadsheets/d/16JDLGguT8s5DsGCND1KcwHP_AWR_zDMTqLHPLJUKhaU/edit?usp=sharing"",""พังงา!L539"")+IMPORTRANGE(""https://docs.google.com/spreadsheets/d/17ht0gPKzzT3PObBL1XJkeR"&amp;"mntBXI7wGjpLV7QorqlTk/edit?usp=sharing"",""พัทลุง!L539"")+IMPORTRANGE(""https://docs.google.com/spreadsheets/d/1rd4qoM1q_hsgaolqNGfrim9gbsoLxQsda4-vOz5x_BM/edit?usp=sharing"",""ภูเก็ต!L539"")+IMPORTRANGE(""https://docs.google.com/spreadsheets/d/1woKwKjgoL"&amp;"ssDvPcPeVyezB5izizAn4X1JDrys69n6xI/edit?usp=sharing"",""ยะลา!L539"")+IMPORTRANGE(""https://docs.google.com/spreadsheets/d/1qfrKjzMhm2HJfxQ-qVlJlJQ25Hne1d0khsySbZyGtPA/edit?usp=sharing"",""ระนอง!L539"")+IMPORTRANGE(""https://docs.google.com/spreadsheets/d/"&amp;"1IbSCnFOKpZsnFogBHJnL_isstZVaOMnFiIN0fGTPZZw/edit?usp=sharing"",""สงขลา!L539"")+IMPORTRANGE(""https://docs.google.com/spreadsheets/d/1q9nWasZJ-K8bFGvbE9n0qSRuKGA4Toe3Y89cKCiVtCU/edit?usp=sharing"",""สตูล!L539"")+IMPORTRANGE(""https://docs.google.com/sprea"&amp;"dsheets/d/18T20gbkS_WBjdscyTOV05cvq_JqvqQ17C81mpxf7Ncs/edit?usp=sharing"",""สุราษฎร์ธานี!L539"")"),0)</f>
        <v>0</v>
      </c>
      <c r="M539" s="47">
        <f ca="1">IFERROR(__xludf.DUMMYFUNCTION("IMPORTRANGE(""https://docs.google.com/spreadsheets/d/1kKUcYdkIfrgTSj8iHHHB2MD2FAtwyyocFgqGQn6ADyI/edit?usp=sharing"",""กระบี่!M539"")+IMPORTRANGE(""https://docs.google.com/spreadsheets/d/1GwtLaSlNZkLk7iDqcyZz22giiy40b_usZZBXYciEN1U/edit?usp=sharing"",""ชุ"&amp;"มพร!M539"")+IMPORTRANGE(""https://docs.google.com/spreadsheets/d/16pAz3pOhQEZBhvFNMa5KGgZS6iKWpsKX0pg6tQmwFpo/edit?usp=sharing"",""ตรัง!M539"")+IMPORTRANGE(""https://docs.google.com/spreadsheets/d/1Dj4jcHCTV9JXKCaMoheSXS52JE63kDKyG7bPXnFogHk/edit?usp=shar"&amp;"ing"",""นครศรีธรรมราช!M539"")+IMPORTRANGE(""https://docs.google.com/spreadsheets/d/1iodCdmuK2GR3jzUwk8tpccY2JHQQA-87DLOtJP-ooyU/edit?usp=sharing"",""นราธิวาส!M539"")+IMPORTRANGE(""https://docs.google.com/spreadsheets/d/1SDNX3JhDdYRuIOsj0Wh2M-Qa_eaXl0NbWmh"&amp;"AOTbfQAs/edit?usp=sharing"",""ปัตตานี!M539"")+IMPORTRANGE(""https://docs.google.com/spreadsheets/d/16JDLGguT8s5DsGCND1KcwHP_AWR_zDMTqLHPLJUKhaU/edit?usp=sharing"",""พังงา!M539"")+IMPORTRANGE(""https://docs.google.com/spreadsheets/d/17ht0gPKzzT3PObBL1XJkeR"&amp;"mntBXI7wGjpLV7QorqlTk/edit?usp=sharing"",""พัทลุง!M539"")+IMPORTRANGE(""https://docs.google.com/spreadsheets/d/1rd4qoM1q_hsgaolqNGfrim9gbsoLxQsda4-vOz5x_BM/edit?usp=sharing"",""ภูเก็ต!M539"")+IMPORTRANGE(""https://docs.google.com/spreadsheets/d/1woKwKjgoL"&amp;"ssDvPcPeVyezB5izizAn4X1JDrys69n6xI/edit?usp=sharing"",""ยะลา!M539"")+IMPORTRANGE(""https://docs.google.com/spreadsheets/d/1qfrKjzMhm2HJfxQ-qVlJlJQ25Hne1d0khsySbZyGtPA/edit?usp=sharing"",""ระนอง!M539"")+IMPORTRANGE(""https://docs.google.com/spreadsheets/d/"&amp;"1IbSCnFOKpZsnFogBHJnL_isstZVaOMnFiIN0fGTPZZw/edit?usp=sharing"",""สงขลา!M539"")+IMPORTRANGE(""https://docs.google.com/spreadsheets/d/1q9nWasZJ-K8bFGvbE9n0qSRuKGA4Toe3Y89cKCiVtCU/edit?usp=sharing"",""สตูล!M539"")+IMPORTRANGE(""https://docs.google.com/sprea"&amp;"dsheets/d/18T20gbkS_WBjdscyTOV05cvq_JqvqQ17C81mpxf7Ncs/edit?usp=sharing"",""สุราษฎร์ธานี!M539"")"),0)</f>
        <v>0</v>
      </c>
      <c r="N539" s="47">
        <f ca="1">IFERROR(__xludf.DUMMYFUNCTION("IMPORTRANGE(""https://docs.google.com/spreadsheets/d/1kKUcYdkIfrgTSj8iHHHB2MD2FAtwyyocFgqGQn6ADyI/edit?usp=sharing"",""กระบี่!N539"")+IMPORTRANGE(""https://docs.google.com/spreadsheets/d/1GwtLaSlNZkLk7iDqcyZz22giiy40b_usZZBXYciEN1U/edit?usp=sharing"",""ชุ"&amp;"มพร!N539"")+IMPORTRANGE(""https://docs.google.com/spreadsheets/d/16pAz3pOhQEZBhvFNMa5KGgZS6iKWpsKX0pg6tQmwFpo/edit?usp=sharing"",""ตรัง!N539"")+IMPORTRANGE(""https://docs.google.com/spreadsheets/d/1Dj4jcHCTV9JXKCaMoheSXS52JE63kDKyG7bPXnFogHk/edit?usp=shar"&amp;"ing"",""นครศรีธรรมราช!N539"")+IMPORTRANGE(""https://docs.google.com/spreadsheets/d/1iodCdmuK2GR3jzUwk8tpccY2JHQQA-87DLOtJP-ooyU/edit?usp=sharing"",""นราธิวาส!N539"")+IMPORTRANGE(""https://docs.google.com/spreadsheets/d/1SDNX3JhDdYRuIOsj0Wh2M-Qa_eaXl0NbWmh"&amp;"AOTbfQAs/edit?usp=sharing"",""ปัตตานี!N539"")+IMPORTRANGE(""https://docs.google.com/spreadsheets/d/16JDLGguT8s5DsGCND1KcwHP_AWR_zDMTqLHPLJUKhaU/edit?usp=sharing"",""พังงา!N539"")+IMPORTRANGE(""https://docs.google.com/spreadsheets/d/17ht0gPKzzT3PObBL1XJkeR"&amp;"mntBXI7wGjpLV7QorqlTk/edit?usp=sharing"",""พัทลุง!N539"")+IMPORTRANGE(""https://docs.google.com/spreadsheets/d/1rd4qoM1q_hsgaolqNGfrim9gbsoLxQsda4-vOz5x_BM/edit?usp=sharing"",""ภูเก็ต!N539"")+IMPORTRANGE(""https://docs.google.com/spreadsheets/d/1woKwKjgoL"&amp;"ssDvPcPeVyezB5izizAn4X1JDrys69n6xI/edit?usp=sharing"",""ยะลา!N539"")+IMPORTRANGE(""https://docs.google.com/spreadsheets/d/1qfrKjzMhm2HJfxQ-qVlJlJQ25Hne1d0khsySbZyGtPA/edit?usp=sharing"",""ระนอง!N539"")+IMPORTRANGE(""https://docs.google.com/spreadsheets/d/"&amp;"1IbSCnFOKpZsnFogBHJnL_isstZVaOMnFiIN0fGTPZZw/edit?usp=sharing"",""สงขลา!N539"")+IMPORTRANGE(""https://docs.google.com/spreadsheets/d/1q9nWasZJ-K8bFGvbE9n0qSRuKGA4Toe3Y89cKCiVtCU/edit?usp=sharing"",""สตูล!N539"")+IMPORTRANGE(""https://docs.google.com/sprea"&amp;"dsheets/d/18T20gbkS_WBjdscyTOV05cvq_JqvqQ17C81mpxf7Ncs/edit?usp=sharing"",""สุราษฎร์ธานี!N539"")"),0)</f>
        <v>0</v>
      </c>
      <c r="O539" s="47">
        <f t="shared" ca="1" si="379"/>
        <v>0</v>
      </c>
      <c r="P539" s="47">
        <f t="shared" ca="1" si="380"/>
        <v>0</v>
      </c>
      <c r="Q539" s="47">
        <f ca="1">IFERROR(__xludf.DUMMYFUNCTION("IMPORTRANGE(""https://docs.google.com/spreadsheets/d/1kKUcYdkIfrgTSj8iHHHB2MD2FAtwyyocFgqGQn6ADyI/edit?usp=sharing"",""กระบี่!Q539"")+IMPORTRANGE(""https://docs.google.com/spreadsheets/d/1GwtLaSlNZkLk7iDqcyZz22giiy40b_usZZBXYciEN1U/edit?usp=sharing"",""ชุ"&amp;"มพร!Q539"")+IMPORTRANGE(""https://docs.google.com/spreadsheets/d/16pAz3pOhQEZBhvFNMa5KGgZS6iKWpsKX0pg6tQmwFpo/edit?usp=sharing"",""ตรัง!Q539"")+IMPORTRANGE(""https://docs.google.com/spreadsheets/d/1Dj4jcHCTV9JXKCaMoheSXS52JE63kDKyG7bPXnFogHk/edit?usp=shar"&amp;"ing"",""นครศรีธรรมราช!Q539"")+IMPORTRANGE(""https://docs.google.com/spreadsheets/d/1iodCdmuK2GR3jzUwk8tpccY2JHQQA-87DLOtJP-ooyU/edit?usp=sharing"",""นราธิวาส!Q539"")+IMPORTRANGE(""https://docs.google.com/spreadsheets/d/1SDNX3JhDdYRuIOsj0Wh2M-Qa_eaXl0NbWmh"&amp;"AOTbfQAs/edit?usp=sharing"",""ปัตตานี!Q539"")+IMPORTRANGE(""https://docs.google.com/spreadsheets/d/16JDLGguT8s5DsGCND1KcwHP_AWR_zDMTqLHPLJUKhaU/edit?usp=sharing"",""พังงา!Q539"")+IMPORTRANGE(""https://docs.google.com/spreadsheets/d/17ht0gPKzzT3PObBL1XJkeR"&amp;"mntBXI7wGjpLV7QorqlTk/edit?usp=sharing"",""พัทลุง!Q539"")+IMPORTRANGE(""https://docs.google.com/spreadsheets/d/1rd4qoM1q_hsgaolqNGfrim9gbsoLxQsda4-vOz5x_BM/edit?usp=sharing"",""ภูเก็ต!Q539"")+IMPORTRANGE(""https://docs.google.com/spreadsheets/d/1woKwKjgoL"&amp;"ssDvPcPeVyezB5izizAn4X1JDrys69n6xI/edit?usp=sharing"",""ยะลา!Q539"")+IMPORTRANGE(""https://docs.google.com/spreadsheets/d/1qfrKjzMhm2HJfxQ-qVlJlJQ25Hne1d0khsySbZyGtPA/edit?usp=sharing"",""ระนอง!Q539"")+IMPORTRANGE(""https://docs.google.com/spreadsheets/d/"&amp;"1IbSCnFOKpZsnFogBHJnL_isstZVaOMnFiIN0fGTPZZw/edit?usp=sharing"",""สงขลา!Q539"")+IMPORTRANGE(""https://docs.google.com/spreadsheets/d/1q9nWasZJ-K8bFGvbE9n0qSRuKGA4Toe3Y89cKCiVtCU/edit?usp=sharing"",""สตูล!Q539"")+IMPORTRANGE(""https://docs.google.com/sprea"&amp;"dsheets/d/18T20gbkS_WBjdscyTOV05cvq_JqvqQ17C81mpxf7Ncs/edit?usp=sharing"",""สุราษฎร์ธานี!Q539"")"),0)</f>
        <v>0</v>
      </c>
      <c r="R539" s="47">
        <f ca="1">IFERROR(__xludf.DUMMYFUNCTION("IMPORTRANGE(""https://docs.google.com/spreadsheets/d/1kKUcYdkIfrgTSj8iHHHB2MD2FAtwyyocFgqGQn6ADyI/edit?usp=sharing"",""กระบี่!R539"")+IMPORTRANGE(""https://docs.google.com/spreadsheets/d/1GwtLaSlNZkLk7iDqcyZz22giiy40b_usZZBXYciEN1U/edit?usp=sharing"",""ชุ"&amp;"มพร!R539"")+IMPORTRANGE(""https://docs.google.com/spreadsheets/d/16pAz3pOhQEZBhvFNMa5KGgZS6iKWpsKX0pg6tQmwFpo/edit?usp=sharing"",""ตรัง!R539"")+IMPORTRANGE(""https://docs.google.com/spreadsheets/d/1Dj4jcHCTV9JXKCaMoheSXS52JE63kDKyG7bPXnFogHk/edit?usp=shar"&amp;"ing"",""นครศรีธรรมราช!R539"")+IMPORTRANGE(""https://docs.google.com/spreadsheets/d/1iodCdmuK2GR3jzUwk8tpccY2JHQQA-87DLOtJP-ooyU/edit?usp=sharing"",""นราธิวาส!R539"")+IMPORTRANGE(""https://docs.google.com/spreadsheets/d/1SDNX3JhDdYRuIOsj0Wh2M-Qa_eaXl0NbWmh"&amp;"AOTbfQAs/edit?usp=sharing"",""ปัตตานี!R539"")+IMPORTRANGE(""https://docs.google.com/spreadsheets/d/16JDLGguT8s5DsGCND1KcwHP_AWR_zDMTqLHPLJUKhaU/edit?usp=sharing"",""พังงา!R539"")+IMPORTRANGE(""https://docs.google.com/spreadsheets/d/17ht0gPKzzT3PObBL1XJkeR"&amp;"mntBXI7wGjpLV7QorqlTk/edit?usp=sharing"",""พัทลุง!R539"")+IMPORTRANGE(""https://docs.google.com/spreadsheets/d/1rd4qoM1q_hsgaolqNGfrim9gbsoLxQsda4-vOz5x_BM/edit?usp=sharing"",""ภูเก็ต!R539"")+IMPORTRANGE(""https://docs.google.com/spreadsheets/d/1woKwKjgoL"&amp;"ssDvPcPeVyezB5izizAn4X1JDrys69n6xI/edit?usp=sharing"",""ยะลา!R539"")+IMPORTRANGE(""https://docs.google.com/spreadsheets/d/1qfrKjzMhm2HJfxQ-qVlJlJQ25Hne1d0khsySbZyGtPA/edit?usp=sharing"",""ระนอง!R539"")+IMPORTRANGE(""https://docs.google.com/spreadsheets/d/"&amp;"1IbSCnFOKpZsnFogBHJnL_isstZVaOMnFiIN0fGTPZZw/edit?usp=sharing"",""สงขลา!R539"")+IMPORTRANGE(""https://docs.google.com/spreadsheets/d/1q9nWasZJ-K8bFGvbE9n0qSRuKGA4Toe3Y89cKCiVtCU/edit?usp=sharing"",""สตูล!R539"")+IMPORTRANGE(""https://docs.google.com/sprea"&amp;"dsheets/d/18T20gbkS_WBjdscyTOV05cvq_JqvqQ17C81mpxf7Ncs/edit?usp=sharing"",""สุราษฎร์ธานี!R539"")"),0)</f>
        <v>0</v>
      </c>
      <c r="S539" s="47">
        <f ca="1">IFERROR(__xludf.DUMMYFUNCTION("IMPORTRANGE(""https://docs.google.com/spreadsheets/d/1kKUcYdkIfrgTSj8iHHHB2MD2FAtwyyocFgqGQn6ADyI/edit?usp=sharing"",""กระบี่!S539"")+IMPORTRANGE(""https://docs.google.com/spreadsheets/d/1GwtLaSlNZkLk7iDqcyZz22giiy40b_usZZBXYciEN1U/edit?usp=sharing"",""ชุ"&amp;"มพร!S539"")+IMPORTRANGE(""https://docs.google.com/spreadsheets/d/16pAz3pOhQEZBhvFNMa5KGgZS6iKWpsKX0pg6tQmwFpo/edit?usp=sharing"",""ตรัง!S539"")+IMPORTRANGE(""https://docs.google.com/spreadsheets/d/1Dj4jcHCTV9JXKCaMoheSXS52JE63kDKyG7bPXnFogHk/edit?usp=shar"&amp;"ing"",""นครศรีธรรมราช!S539"")+IMPORTRANGE(""https://docs.google.com/spreadsheets/d/1iodCdmuK2GR3jzUwk8tpccY2JHQQA-87DLOtJP-ooyU/edit?usp=sharing"",""นราธิวาส!S539"")+IMPORTRANGE(""https://docs.google.com/spreadsheets/d/1SDNX3JhDdYRuIOsj0Wh2M-Qa_eaXl0NbWmh"&amp;"AOTbfQAs/edit?usp=sharing"",""ปัตตานี!S539"")+IMPORTRANGE(""https://docs.google.com/spreadsheets/d/16JDLGguT8s5DsGCND1KcwHP_AWR_zDMTqLHPLJUKhaU/edit?usp=sharing"",""พังงา!S539"")+IMPORTRANGE(""https://docs.google.com/spreadsheets/d/17ht0gPKzzT3PObBL1XJkeR"&amp;"mntBXI7wGjpLV7QorqlTk/edit?usp=sharing"",""พัทลุง!S539"")+IMPORTRANGE(""https://docs.google.com/spreadsheets/d/1rd4qoM1q_hsgaolqNGfrim9gbsoLxQsda4-vOz5x_BM/edit?usp=sharing"",""ภูเก็ต!S539"")+IMPORTRANGE(""https://docs.google.com/spreadsheets/d/1woKwKjgoL"&amp;"ssDvPcPeVyezB5izizAn4X1JDrys69n6xI/edit?usp=sharing"",""ยะลา!S539"")+IMPORTRANGE(""https://docs.google.com/spreadsheets/d/1qfrKjzMhm2HJfxQ-qVlJlJQ25Hne1d0khsySbZyGtPA/edit?usp=sharing"",""ระนอง!S539"")+IMPORTRANGE(""https://docs.google.com/spreadsheets/d/"&amp;"1IbSCnFOKpZsnFogBHJnL_isstZVaOMnFiIN0fGTPZZw/edit?usp=sharing"",""สงขลา!S539"")+IMPORTRANGE(""https://docs.google.com/spreadsheets/d/1q9nWasZJ-K8bFGvbE9n0qSRuKGA4Toe3Y89cKCiVtCU/edit?usp=sharing"",""สตูล!S539"")+IMPORTRANGE(""https://docs.google.com/sprea"&amp;"dsheets/d/18T20gbkS_WBjdscyTOV05cvq_JqvqQ17C81mpxf7Ncs/edit?usp=sharing"",""สุราษฎร์ธานี!S539"")"),0)</f>
        <v>0</v>
      </c>
      <c r="T539" s="47">
        <f t="shared" ca="1" si="382"/>
        <v>0</v>
      </c>
      <c r="U539" s="47">
        <f t="shared" ca="1" si="383"/>
        <v>0</v>
      </c>
    </row>
    <row r="540" spans="1:21" ht="18.75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47">
        <f t="shared" ref="L540:N540" ca="1" si="390">L541+L542</f>
        <v>0</v>
      </c>
      <c r="M540" s="47">
        <f t="shared" ca="1" si="390"/>
        <v>0</v>
      </c>
      <c r="N540" s="47">
        <f t="shared" ca="1" si="390"/>
        <v>0</v>
      </c>
      <c r="O540" s="47">
        <f t="shared" ca="1" si="379"/>
        <v>0</v>
      </c>
      <c r="P540" s="47">
        <f t="shared" ca="1" si="380"/>
        <v>0</v>
      </c>
      <c r="Q540" s="47">
        <f t="shared" ref="Q540:S540" ca="1" si="391">Q541+Q542</f>
        <v>0</v>
      </c>
      <c r="R540" s="47">
        <f t="shared" ca="1" si="391"/>
        <v>0</v>
      </c>
      <c r="S540" s="47">
        <f t="shared" ca="1" si="391"/>
        <v>0</v>
      </c>
      <c r="T540" s="47">
        <f t="shared" ca="1" si="382"/>
        <v>0</v>
      </c>
      <c r="U540" s="47">
        <f t="shared" ca="1" si="383"/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49">
        <f ca="1">IFERROR(__xludf.DUMMYFUNCTION("IMPORTRANGE(""https://docs.google.com/spreadsheets/d/1kKUcYdkIfrgTSj8iHHHB2MD2FAtwyyocFgqGQn6ADyI/edit?usp=sharing"",""กระบี่!L541"")+IMPORTRANGE(""https://docs.google.com/spreadsheets/d/1GwtLaSlNZkLk7iDqcyZz22giiy40b_usZZBXYciEN1U/edit?usp=sharing"",""ชุ"&amp;"มพร!L541"")+IMPORTRANGE(""https://docs.google.com/spreadsheets/d/16pAz3pOhQEZBhvFNMa5KGgZS6iKWpsKX0pg6tQmwFpo/edit?usp=sharing"",""ตรัง!L541"")+IMPORTRANGE(""https://docs.google.com/spreadsheets/d/1Dj4jcHCTV9JXKCaMoheSXS52JE63kDKyG7bPXnFogHk/edit?usp=shar"&amp;"ing"",""นครศรีธรรมราช!L541"")+IMPORTRANGE(""https://docs.google.com/spreadsheets/d/1iodCdmuK2GR3jzUwk8tpccY2JHQQA-87DLOtJP-ooyU/edit?usp=sharing"",""นราธิวาส!L541"")+IMPORTRANGE(""https://docs.google.com/spreadsheets/d/1SDNX3JhDdYRuIOsj0Wh2M-Qa_eaXl0NbWmh"&amp;"AOTbfQAs/edit?usp=sharing"",""ปัตตานี!L541"")+IMPORTRANGE(""https://docs.google.com/spreadsheets/d/16JDLGguT8s5DsGCND1KcwHP_AWR_zDMTqLHPLJUKhaU/edit?usp=sharing"",""พังงา!L541"")+IMPORTRANGE(""https://docs.google.com/spreadsheets/d/17ht0gPKzzT3PObBL1XJkeR"&amp;"mntBXI7wGjpLV7QorqlTk/edit?usp=sharing"",""พัทลุง!L541"")+IMPORTRANGE(""https://docs.google.com/spreadsheets/d/1rd4qoM1q_hsgaolqNGfrim9gbsoLxQsda4-vOz5x_BM/edit?usp=sharing"",""ภูเก็ต!L541"")+IMPORTRANGE(""https://docs.google.com/spreadsheets/d/1woKwKjgoL"&amp;"ssDvPcPeVyezB5izizAn4X1JDrys69n6xI/edit?usp=sharing"",""ยะลา!L541"")+IMPORTRANGE(""https://docs.google.com/spreadsheets/d/1qfrKjzMhm2HJfxQ-qVlJlJQ25Hne1d0khsySbZyGtPA/edit?usp=sharing"",""ระนอง!L541"")+IMPORTRANGE(""https://docs.google.com/spreadsheets/d/"&amp;"1IbSCnFOKpZsnFogBHJnL_isstZVaOMnFiIN0fGTPZZw/edit?usp=sharing"",""สงขลา!L541"")+IMPORTRANGE(""https://docs.google.com/spreadsheets/d/1q9nWasZJ-K8bFGvbE9n0qSRuKGA4Toe3Y89cKCiVtCU/edit?usp=sharing"",""สตูล!L541"")+IMPORTRANGE(""https://docs.google.com/sprea"&amp;"dsheets/d/18T20gbkS_WBjdscyTOV05cvq_JqvqQ17C81mpxf7Ncs/edit?usp=sharing"",""สุราษฎร์ธานี!L541"")"),0)</f>
        <v>0</v>
      </c>
      <c r="M541" s="49">
        <f ca="1">IFERROR(__xludf.DUMMYFUNCTION("IMPORTRANGE(""https://docs.google.com/spreadsheets/d/1kKUcYdkIfrgTSj8iHHHB2MD2FAtwyyocFgqGQn6ADyI/edit?usp=sharing"",""กระบี่!M541"")+IMPORTRANGE(""https://docs.google.com/spreadsheets/d/1GwtLaSlNZkLk7iDqcyZz22giiy40b_usZZBXYciEN1U/edit?usp=sharing"",""ชุ"&amp;"มพร!M541"")+IMPORTRANGE(""https://docs.google.com/spreadsheets/d/16pAz3pOhQEZBhvFNMa5KGgZS6iKWpsKX0pg6tQmwFpo/edit?usp=sharing"",""ตรัง!M541"")+IMPORTRANGE(""https://docs.google.com/spreadsheets/d/1Dj4jcHCTV9JXKCaMoheSXS52JE63kDKyG7bPXnFogHk/edit?usp=shar"&amp;"ing"",""นครศรีธรรมราช!M541"")+IMPORTRANGE(""https://docs.google.com/spreadsheets/d/1iodCdmuK2GR3jzUwk8tpccY2JHQQA-87DLOtJP-ooyU/edit?usp=sharing"",""นราธิวาส!M541"")+IMPORTRANGE(""https://docs.google.com/spreadsheets/d/1SDNX3JhDdYRuIOsj0Wh2M-Qa_eaXl0NbWmh"&amp;"AOTbfQAs/edit?usp=sharing"",""ปัตตานี!M541"")+IMPORTRANGE(""https://docs.google.com/spreadsheets/d/16JDLGguT8s5DsGCND1KcwHP_AWR_zDMTqLHPLJUKhaU/edit?usp=sharing"",""พังงา!M541"")+IMPORTRANGE(""https://docs.google.com/spreadsheets/d/17ht0gPKzzT3PObBL1XJkeR"&amp;"mntBXI7wGjpLV7QorqlTk/edit?usp=sharing"",""พัทลุง!M541"")+IMPORTRANGE(""https://docs.google.com/spreadsheets/d/1rd4qoM1q_hsgaolqNGfrim9gbsoLxQsda4-vOz5x_BM/edit?usp=sharing"",""ภูเก็ต!M541"")+IMPORTRANGE(""https://docs.google.com/spreadsheets/d/1woKwKjgoL"&amp;"ssDvPcPeVyezB5izizAn4X1JDrys69n6xI/edit?usp=sharing"",""ยะลา!M541"")+IMPORTRANGE(""https://docs.google.com/spreadsheets/d/1qfrKjzMhm2HJfxQ-qVlJlJQ25Hne1d0khsySbZyGtPA/edit?usp=sharing"",""ระนอง!M541"")+IMPORTRANGE(""https://docs.google.com/spreadsheets/d/"&amp;"1IbSCnFOKpZsnFogBHJnL_isstZVaOMnFiIN0fGTPZZw/edit?usp=sharing"",""สงขลา!M541"")+IMPORTRANGE(""https://docs.google.com/spreadsheets/d/1q9nWasZJ-K8bFGvbE9n0qSRuKGA4Toe3Y89cKCiVtCU/edit?usp=sharing"",""สตูล!M541"")+IMPORTRANGE(""https://docs.google.com/sprea"&amp;"dsheets/d/18T20gbkS_WBjdscyTOV05cvq_JqvqQ17C81mpxf7Ncs/edit?usp=sharing"",""สุราษฎร์ธานี!M541"")"),0)</f>
        <v>0</v>
      </c>
      <c r="N541" s="49">
        <f ca="1">IFERROR(__xludf.DUMMYFUNCTION("IMPORTRANGE(""https://docs.google.com/spreadsheets/d/1kKUcYdkIfrgTSj8iHHHB2MD2FAtwyyocFgqGQn6ADyI/edit?usp=sharing"",""กระบี่!N541"")+IMPORTRANGE(""https://docs.google.com/spreadsheets/d/1GwtLaSlNZkLk7iDqcyZz22giiy40b_usZZBXYciEN1U/edit?usp=sharing"",""ชุ"&amp;"มพร!N541"")+IMPORTRANGE(""https://docs.google.com/spreadsheets/d/16pAz3pOhQEZBhvFNMa5KGgZS6iKWpsKX0pg6tQmwFpo/edit?usp=sharing"",""ตรัง!N541"")+IMPORTRANGE(""https://docs.google.com/spreadsheets/d/1Dj4jcHCTV9JXKCaMoheSXS52JE63kDKyG7bPXnFogHk/edit?usp=shar"&amp;"ing"",""นครศรีธรรมราช!N541"")+IMPORTRANGE(""https://docs.google.com/spreadsheets/d/1iodCdmuK2GR3jzUwk8tpccY2JHQQA-87DLOtJP-ooyU/edit?usp=sharing"",""นราธิวาส!N541"")+IMPORTRANGE(""https://docs.google.com/spreadsheets/d/1SDNX3JhDdYRuIOsj0Wh2M-Qa_eaXl0NbWmh"&amp;"AOTbfQAs/edit?usp=sharing"",""ปัตตานี!N541"")+IMPORTRANGE(""https://docs.google.com/spreadsheets/d/16JDLGguT8s5DsGCND1KcwHP_AWR_zDMTqLHPLJUKhaU/edit?usp=sharing"",""พังงา!N541"")+IMPORTRANGE(""https://docs.google.com/spreadsheets/d/17ht0gPKzzT3PObBL1XJkeR"&amp;"mntBXI7wGjpLV7QorqlTk/edit?usp=sharing"",""พัทลุง!N541"")+IMPORTRANGE(""https://docs.google.com/spreadsheets/d/1rd4qoM1q_hsgaolqNGfrim9gbsoLxQsda4-vOz5x_BM/edit?usp=sharing"",""ภูเก็ต!N541"")+IMPORTRANGE(""https://docs.google.com/spreadsheets/d/1woKwKjgoL"&amp;"ssDvPcPeVyezB5izizAn4X1JDrys69n6xI/edit?usp=sharing"",""ยะลา!N541"")+IMPORTRANGE(""https://docs.google.com/spreadsheets/d/1qfrKjzMhm2HJfxQ-qVlJlJQ25Hne1d0khsySbZyGtPA/edit?usp=sharing"",""ระนอง!N541"")+IMPORTRANGE(""https://docs.google.com/spreadsheets/d/"&amp;"1IbSCnFOKpZsnFogBHJnL_isstZVaOMnFiIN0fGTPZZw/edit?usp=sharing"",""สงขลา!N541"")+IMPORTRANGE(""https://docs.google.com/spreadsheets/d/1q9nWasZJ-K8bFGvbE9n0qSRuKGA4Toe3Y89cKCiVtCU/edit?usp=sharing"",""สตูล!N541"")+IMPORTRANGE(""https://docs.google.com/sprea"&amp;"dsheets/d/18T20gbkS_WBjdscyTOV05cvq_JqvqQ17C81mpxf7Ncs/edit?usp=sharing"",""สุราษฎร์ธานี!N541"")"),0)</f>
        <v>0</v>
      </c>
      <c r="O541" s="49">
        <f t="shared" ca="1" si="379"/>
        <v>0</v>
      </c>
      <c r="P541" s="49">
        <f t="shared" ca="1" si="380"/>
        <v>0</v>
      </c>
      <c r="Q541" s="49">
        <f ca="1">IFERROR(__xludf.DUMMYFUNCTION("IMPORTRANGE(""https://docs.google.com/spreadsheets/d/1kKUcYdkIfrgTSj8iHHHB2MD2FAtwyyocFgqGQn6ADyI/edit?usp=sharing"",""กระบี่!Q541"")+IMPORTRANGE(""https://docs.google.com/spreadsheets/d/1GwtLaSlNZkLk7iDqcyZz22giiy40b_usZZBXYciEN1U/edit?usp=sharing"",""ชุ"&amp;"มพร!Q541"")+IMPORTRANGE(""https://docs.google.com/spreadsheets/d/16pAz3pOhQEZBhvFNMa5KGgZS6iKWpsKX0pg6tQmwFpo/edit?usp=sharing"",""ตรัง!Q541"")+IMPORTRANGE(""https://docs.google.com/spreadsheets/d/1Dj4jcHCTV9JXKCaMoheSXS52JE63kDKyG7bPXnFogHk/edit?usp=shar"&amp;"ing"",""นครศรีธรรมราช!Q541"")+IMPORTRANGE(""https://docs.google.com/spreadsheets/d/1iodCdmuK2GR3jzUwk8tpccY2JHQQA-87DLOtJP-ooyU/edit?usp=sharing"",""นราธิวาส!Q541"")+IMPORTRANGE(""https://docs.google.com/spreadsheets/d/1SDNX3JhDdYRuIOsj0Wh2M-Qa_eaXl0NbWmh"&amp;"AOTbfQAs/edit?usp=sharing"",""ปัตตานี!Q541"")+IMPORTRANGE(""https://docs.google.com/spreadsheets/d/16JDLGguT8s5DsGCND1KcwHP_AWR_zDMTqLHPLJUKhaU/edit?usp=sharing"",""พังงา!Q541"")+IMPORTRANGE(""https://docs.google.com/spreadsheets/d/17ht0gPKzzT3PObBL1XJkeR"&amp;"mntBXI7wGjpLV7QorqlTk/edit?usp=sharing"",""พัทลุง!Q541"")+IMPORTRANGE(""https://docs.google.com/spreadsheets/d/1rd4qoM1q_hsgaolqNGfrim9gbsoLxQsda4-vOz5x_BM/edit?usp=sharing"",""ภูเก็ต!Q541"")+IMPORTRANGE(""https://docs.google.com/spreadsheets/d/1woKwKjgoL"&amp;"ssDvPcPeVyezB5izizAn4X1JDrys69n6xI/edit?usp=sharing"",""ยะลา!Q541"")+IMPORTRANGE(""https://docs.google.com/spreadsheets/d/1qfrKjzMhm2HJfxQ-qVlJlJQ25Hne1d0khsySbZyGtPA/edit?usp=sharing"",""ระนอง!Q541"")+IMPORTRANGE(""https://docs.google.com/spreadsheets/d/"&amp;"1IbSCnFOKpZsnFogBHJnL_isstZVaOMnFiIN0fGTPZZw/edit?usp=sharing"",""สงขลา!Q541"")+IMPORTRANGE(""https://docs.google.com/spreadsheets/d/1q9nWasZJ-K8bFGvbE9n0qSRuKGA4Toe3Y89cKCiVtCU/edit?usp=sharing"",""สตูล!Q541"")+IMPORTRANGE(""https://docs.google.com/sprea"&amp;"dsheets/d/18T20gbkS_WBjdscyTOV05cvq_JqvqQ17C81mpxf7Ncs/edit?usp=sharing"",""สุราษฎร์ธานี!Q541"")"),0)</f>
        <v>0</v>
      </c>
      <c r="R541" s="49">
        <f ca="1">IFERROR(__xludf.DUMMYFUNCTION("IMPORTRANGE(""https://docs.google.com/spreadsheets/d/1kKUcYdkIfrgTSj8iHHHB2MD2FAtwyyocFgqGQn6ADyI/edit?usp=sharing"",""กระบี่!R541"")+IMPORTRANGE(""https://docs.google.com/spreadsheets/d/1GwtLaSlNZkLk7iDqcyZz22giiy40b_usZZBXYciEN1U/edit?usp=sharing"",""ชุ"&amp;"มพร!R541"")+IMPORTRANGE(""https://docs.google.com/spreadsheets/d/16pAz3pOhQEZBhvFNMa5KGgZS6iKWpsKX0pg6tQmwFpo/edit?usp=sharing"",""ตรัง!R541"")+IMPORTRANGE(""https://docs.google.com/spreadsheets/d/1Dj4jcHCTV9JXKCaMoheSXS52JE63kDKyG7bPXnFogHk/edit?usp=shar"&amp;"ing"",""นครศรีธรรมราช!R541"")+IMPORTRANGE(""https://docs.google.com/spreadsheets/d/1iodCdmuK2GR3jzUwk8tpccY2JHQQA-87DLOtJP-ooyU/edit?usp=sharing"",""นราธิวาส!R541"")+IMPORTRANGE(""https://docs.google.com/spreadsheets/d/1SDNX3JhDdYRuIOsj0Wh2M-Qa_eaXl0NbWmh"&amp;"AOTbfQAs/edit?usp=sharing"",""ปัตตานี!R541"")+IMPORTRANGE(""https://docs.google.com/spreadsheets/d/16JDLGguT8s5DsGCND1KcwHP_AWR_zDMTqLHPLJUKhaU/edit?usp=sharing"",""พังงา!R541"")+IMPORTRANGE(""https://docs.google.com/spreadsheets/d/17ht0gPKzzT3PObBL1XJkeR"&amp;"mntBXI7wGjpLV7QorqlTk/edit?usp=sharing"",""พัทลุง!R541"")+IMPORTRANGE(""https://docs.google.com/spreadsheets/d/1rd4qoM1q_hsgaolqNGfrim9gbsoLxQsda4-vOz5x_BM/edit?usp=sharing"",""ภูเก็ต!R541"")+IMPORTRANGE(""https://docs.google.com/spreadsheets/d/1woKwKjgoL"&amp;"ssDvPcPeVyezB5izizAn4X1JDrys69n6xI/edit?usp=sharing"",""ยะลา!R541"")+IMPORTRANGE(""https://docs.google.com/spreadsheets/d/1qfrKjzMhm2HJfxQ-qVlJlJQ25Hne1d0khsySbZyGtPA/edit?usp=sharing"",""ระนอง!R541"")+IMPORTRANGE(""https://docs.google.com/spreadsheets/d/"&amp;"1IbSCnFOKpZsnFogBHJnL_isstZVaOMnFiIN0fGTPZZw/edit?usp=sharing"",""สงขลา!R541"")+IMPORTRANGE(""https://docs.google.com/spreadsheets/d/1q9nWasZJ-K8bFGvbE9n0qSRuKGA4Toe3Y89cKCiVtCU/edit?usp=sharing"",""สตูล!R541"")+IMPORTRANGE(""https://docs.google.com/sprea"&amp;"dsheets/d/18T20gbkS_WBjdscyTOV05cvq_JqvqQ17C81mpxf7Ncs/edit?usp=sharing"",""สุราษฎร์ธานี!R541"")"),0)</f>
        <v>0</v>
      </c>
      <c r="S541" s="49">
        <f ca="1">IFERROR(__xludf.DUMMYFUNCTION("IMPORTRANGE(""https://docs.google.com/spreadsheets/d/1kKUcYdkIfrgTSj8iHHHB2MD2FAtwyyocFgqGQn6ADyI/edit?usp=sharing"",""กระบี่!S541"")+IMPORTRANGE(""https://docs.google.com/spreadsheets/d/1GwtLaSlNZkLk7iDqcyZz22giiy40b_usZZBXYciEN1U/edit?usp=sharing"",""ชุ"&amp;"มพร!S541"")+IMPORTRANGE(""https://docs.google.com/spreadsheets/d/16pAz3pOhQEZBhvFNMa5KGgZS6iKWpsKX0pg6tQmwFpo/edit?usp=sharing"",""ตรัง!S541"")+IMPORTRANGE(""https://docs.google.com/spreadsheets/d/1Dj4jcHCTV9JXKCaMoheSXS52JE63kDKyG7bPXnFogHk/edit?usp=shar"&amp;"ing"",""นครศรีธรรมราช!S541"")+IMPORTRANGE(""https://docs.google.com/spreadsheets/d/1iodCdmuK2GR3jzUwk8tpccY2JHQQA-87DLOtJP-ooyU/edit?usp=sharing"",""นราธิวาส!S541"")+IMPORTRANGE(""https://docs.google.com/spreadsheets/d/1SDNX3JhDdYRuIOsj0Wh2M-Qa_eaXl0NbWmh"&amp;"AOTbfQAs/edit?usp=sharing"",""ปัตตานี!S541"")+IMPORTRANGE(""https://docs.google.com/spreadsheets/d/16JDLGguT8s5DsGCND1KcwHP_AWR_zDMTqLHPLJUKhaU/edit?usp=sharing"",""พังงา!S541"")+IMPORTRANGE(""https://docs.google.com/spreadsheets/d/17ht0gPKzzT3PObBL1XJkeR"&amp;"mntBXI7wGjpLV7QorqlTk/edit?usp=sharing"",""พัทลุง!S541"")+IMPORTRANGE(""https://docs.google.com/spreadsheets/d/1rd4qoM1q_hsgaolqNGfrim9gbsoLxQsda4-vOz5x_BM/edit?usp=sharing"",""ภูเก็ต!S541"")+IMPORTRANGE(""https://docs.google.com/spreadsheets/d/1woKwKjgoL"&amp;"ssDvPcPeVyezB5izizAn4X1JDrys69n6xI/edit?usp=sharing"",""ยะลา!S541"")+IMPORTRANGE(""https://docs.google.com/spreadsheets/d/1qfrKjzMhm2HJfxQ-qVlJlJQ25Hne1d0khsySbZyGtPA/edit?usp=sharing"",""ระนอง!S541"")+IMPORTRANGE(""https://docs.google.com/spreadsheets/d/"&amp;"1IbSCnFOKpZsnFogBHJnL_isstZVaOMnFiIN0fGTPZZw/edit?usp=sharing"",""สงขลา!S541"")+IMPORTRANGE(""https://docs.google.com/spreadsheets/d/1q9nWasZJ-K8bFGvbE9n0qSRuKGA4Toe3Y89cKCiVtCU/edit?usp=sharing"",""สตูล!S541"")+IMPORTRANGE(""https://docs.google.com/sprea"&amp;"dsheets/d/18T20gbkS_WBjdscyTOV05cvq_JqvqQ17C81mpxf7Ncs/edit?usp=sharing"",""สุราษฎร์ธานี!S541"")"),0)</f>
        <v>0</v>
      </c>
      <c r="T541" s="49">
        <f t="shared" ca="1" si="382"/>
        <v>0</v>
      </c>
      <c r="U541" s="49">
        <f t="shared" ca="1" si="383"/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47">
        <f ca="1">IFERROR(__xludf.DUMMYFUNCTION("IMPORTRANGE(""https://docs.google.com/spreadsheets/d/1kKUcYdkIfrgTSj8iHHHB2MD2FAtwyyocFgqGQn6ADyI/edit?usp=sharing"",""กระบี่!L542"")+IMPORTRANGE(""https://docs.google.com/spreadsheets/d/1GwtLaSlNZkLk7iDqcyZz22giiy40b_usZZBXYciEN1U/edit?usp=sharing"",""ชุ"&amp;"มพร!L542"")+IMPORTRANGE(""https://docs.google.com/spreadsheets/d/16pAz3pOhQEZBhvFNMa5KGgZS6iKWpsKX0pg6tQmwFpo/edit?usp=sharing"",""ตรัง!L542"")+IMPORTRANGE(""https://docs.google.com/spreadsheets/d/1Dj4jcHCTV9JXKCaMoheSXS52JE63kDKyG7bPXnFogHk/edit?usp=shar"&amp;"ing"",""นครศรีธรรมราช!L542"")+IMPORTRANGE(""https://docs.google.com/spreadsheets/d/1iodCdmuK2GR3jzUwk8tpccY2JHQQA-87DLOtJP-ooyU/edit?usp=sharing"",""นราธิวาส!L542"")+IMPORTRANGE(""https://docs.google.com/spreadsheets/d/1SDNX3JhDdYRuIOsj0Wh2M-Qa_eaXl0NbWmh"&amp;"AOTbfQAs/edit?usp=sharing"",""ปัตตานี!L542"")+IMPORTRANGE(""https://docs.google.com/spreadsheets/d/16JDLGguT8s5DsGCND1KcwHP_AWR_zDMTqLHPLJUKhaU/edit?usp=sharing"",""พังงา!L542"")+IMPORTRANGE(""https://docs.google.com/spreadsheets/d/17ht0gPKzzT3PObBL1XJkeR"&amp;"mntBXI7wGjpLV7QorqlTk/edit?usp=sharing"",""พัทลุง!L542"")+IMPORTRANGE(""https://docs.google.com/spreadsheets/d/1rd4qoM1q_hsgaolqNGfrim9gbsoLxQsda4-vOz5x_BM/edit?usp=sharing"",""ภูเก็ต!L542"")+IMPORTRANGE(""https://docs.google.com/spreadsheets/d/1woKwKjgoL"&amp;"ssDvPcPeVyezB5izizAn4X1JDrys69n6xI/edit?usp=sharing"",""ยะลา!L542"")+IMPORTRANGE(""https://docs.google.com/spreadsheets/d/1qfrKjzMhm2HJfxQ-qVlJlJQ25Hne1d0khsySbZyGtPA/edit?usp=sharing"",""ระนอง!L542"")+IMPORTRANGE(""https://docs.google.com/spreadsheets/d/"&amp;"1IbSCnFOKpZsnFogBHJnL_isstZVaOMnFiIN0fGTPZZw/edit?usp=sharing"",""สงขลา!L542"")+IMPORTRANGE(""https://docs.google.com/spreadsheets/d/1q9nWasZJ-K8bFGvbE9n0qSRuKGA4Toe3Y89cKCiVtCU/edit?usp=sharing"",""สตูล!L542"")+IMPORTRANGE(""https://docs.google.com/sprea"&amp;"dsheets/d/18T20gbkS_WBjdscyTOV05cvq_JqvqQ17C81mpxf7Ncs/edit?usp=sharing"",""สุราษฎร์ธานี!L542"")"),0)</f>
        <v>0</v>
      </c>
      <c r="M542" s="47">
        <f ca="1">IFERROR(__xludf.DUMMYFUNCTION("IMPORTRANGE(""https://docs.google.com/spreadsheets/d/1kKUcYdkIfrgTSj8iHHHB2MD2FAtwyyocFgqGQn6ADyI/edit?usp=sharing"",""กระบี่!M542"")+IMPORTRANGE(""https://docs.google.com/spreadsheets/d/1GwtLaSlNZkLk7iDqcyZz22giiy40b_usZZBXYciEN1U/edit?usp=sharing"",""ชุ"&amp;"มพร!M542"")+IMPORTRANGE(""https://docs.google.com/spreadsheets/d/16pAz3pOhQEZBhvFNMa5KGgZS6iKWpsKX0pg6tQmwFpo/edit?usp=sharing"",""ตรัง!M542"")+IMPORTRANGE(""https://docs.google.com/spreadsheets/d/1Dj4jcHCTV9JXKCaMoheSXS52JE63kDKyG7bPXnFogHk/edit?usp=shar"&amp;"ing"",""นครศรีธรรมราช!M542"")+IMPORTRANGE(""https://docs.google.com/spreadsheets/d/1iodCdmuK2GR3jzUwk8tpccY2JHQQA-87DLOtJP-ooyU/edit?usp=sharing"",""นราธิวาส!M542"")+IMPORTRANGE(""https://docs.google.com/spreadsheets/d/1SDNX3JhDdYRuIOsj0Wh2M-Qa_eaXl0NbWmh"&amp;"AOTbfQAs/edit?usp=sharing"",""ปัตตานี!M542"")+IMPORTRANGE(""https://docs.google.com/spreadsheets/d/16JDLGguT8s5DsGCND1KcwHP_AWR_zDMTqLHPLJUKhaU/edit?usp=sharing"",""พังงา!M542"")+IMPORTRANGE(""https://docs.google.com/spreadsheets/d/17ht0gPKzzT3PObBL1XJkeR"&amp;"mntBXI7wGjpLV7QorqlTk/edit?usp=sharing"",""พัทลุง!M542"")+IMPORTRANGE(""https://docs.google.com/spreadsheets/d/1rd4qoM1q_hsgaolqNGfrim9gbsoLxQsda4-vOz5x_BM/edit?usp=sharing"",""ภูเก็ต!M542"")+IMPORTRANGE(""https://docs.google.com/spreadsheets/d/1woKwKjgoL"&amp;"ssDvPcPeVyezB5izizAn4X1JDrys69n6xI/edit?usp=sharing"",""ยะลา!M542"")+IMPORTRANGE(""https://docs.google.com/spreadsheets/d/1qfrKjzMhm2HJfxQ-qVlJlJQ25Hne1d0khsySbZyGtPA/edit?usp=sharing"",""ระนอง!M542"")+IMPORTRANGE(""https://docs.google.com/spreadsheets/d/"&amp;"1IbSCnFOKpZsnFogBHJnL_isstZVaOMnFiIN0fGTPZZw/edit?usp=sharing"",""สงขลา!M542"")+IMPORTRANGE(""https://docs.google.com/spreadsheets/d/1q9nWasZJ-K8bFGvbE9n0qSRuKGA4Toe3Y89cKCiVtCU/edit?usp=sharing"",""สตูล!M542"")+IMPORTRANGE(""https://docs.google.com/sprea"&amp;"dsheets/d/18T20gbkS_WBjdscyTOV05cvq_JqvqQ17C81mpxf7Ncs/edit?usp=sharing"",""สุราษฎร์ธานี!M542"")"),0)</f>
        <v>0</v>
      </c>
      <c r="N542" s="47">
        <f ca="1">IFERROR(__xludf.DUMMYFUNCTION("IMPORTRANGE(""https://docs.google.com/spreadsheets/d/1kKUcYdkIfrgTSj8iHHHB2MD2FAtwyyocFgqGQn6ADyI/edit?usp=sharing"",""กระบี่!N542"")+IMPORTRANGE(""https://docs.google.com/spreadsheets/d/1GwtLaSlNZkLk7iDqcyZz22giiy40b_usZZBXYciEN1U/edit?usp=sharing"",""ชุ"&amp;"มพร!N542"")+IMPORTRANGE(""https://docs.google.com/spreadsheets/d/16pAz3pOhQEZBhvFNMa5KGgZS6iKWpsKX0pg6tQmwFpo/edit?usp=sharing"",""ตรัง!N542"")+IMPORTRANGE(""https://docs.google.com/spreadsheets/d/1Dj4jcHCTV9JXKCaMoheSXS52JE63kDKyG7bPXnFogHk/edit?usp=shar"&amp;"ing"",""นครศรีธรรมราช!N542"")+IMPORTRANGE(""https://docs.google.com/spreadsheets/d/1iodCdmuK2GR3jzUwk8tpccY2JHQQA-87DLOtJP-ooyU/edit?usp=sharing"",""นราธิวาส!N542"")+IMPORTRANGE(""https://docs.google.com/spreadsheets/d/1SDNX3JhDdYRuIOsj0Wh2M-Qa_eaXl0NbWmh"&amp;"AOTbfQAs/edit?usp=sharing"",""ปัตตานี!N542"")+IMPORTRANGE(""https://docs.google.com/spreadsheets/d/16JDLGguT8s5DsGCND1KcwHP_AWR_zDMTqLHPLJUKhaU/edit?usp=sharing"",""พังงา!N542"")+IMPORTRANGE(""https://docs.google.com/spreadsheets/d/17ht0gPKzzT3PObBL1XJkeR"&amp;"mntBXI7wGjpLV7QorqlTk/edit?usp=sharing"",""พัทลุง!N542"")+IMPORTRANGE(""https://docs.google.com/spreadsheets/d/1rd4qoM1q_hsgaolqNGfrim9gbsoLxQsda4-vOz5x_BM/edit?usp=sharing"",""ภูเก็ต!N542"")+IMPORTRANGE(""https://docs.google.com/spreadsheets/d/1woKwKjgoL"&amp;"ssDvPcPeVyezB5izizAn4X1JDrys69n6xI/edit?usp=sharing"",""ยะลา!N542"")+IMPORTRANGE(""https://docs.google.com/spreadsheets/d/1qfrKjzMhm2HJfxQ-qVlJlJQ25Hne1d0khsySbZyGtPA/edit?usp=sharing"",""ระนอง!N542"")+IMPORTRANGE(""https://docs.google.com/spreadsheets/d/"&amp;"1IbSCnFOKpZsnFogBHJnL_isstZVaOMnFiIN0fGTPZZw/edit?usp=sharing"",""สงขลา!N542"")+IMPORTRANGE(""https://docs.google.com/spreadsheets/d/1q9nWasZJ-K8bFGvbE9n0qSRuKGA4Toe3Y89cKCiVtCU/edit?usp=sharing"",""สตูล!N542"")+IMPORTRANGE(""https://docs.google.com/sprea"&amp;"dsheets/d/18T20gbkS_WBjdscyTOV05cvq_JqvqQ17C81mpxf7Ncs/edit?usp=sharing"",""สุราษฎร์ธานี!N542"")"),0)</f>
        <v>0</v>
      </c>
      <c r="O542" s="47">
        <f t="shared" ca="1" si="379"/>
        <v>0</v>
      </c>
      <c r="P542" s="47">
        <f t="shared" ca="1" si="380"/>
        <v>0</v>
      </c>
      <c r="Q542" s="47">
        <f ca="1">IFERROR(__xludf.DUMMYFUNCTION("IMPORTRANGE(""https://docs.google.com/spreadsheets/d/1kKUcYdkIfrgTSj8iHHHB2MD2FAtwyyocFgqGQn6ADyI/edit?usp=sharing"",""กระบี่!Q542"")+IMPORTRANGE(""https://docs.google.com/spreadsheets/d/1GwtLaSlNZkLk7iDqcyZz22giiy40b_usZZBXYciEN1U/edit?usp=sharing"",""ชุ"&amp;"มพร!Q542"")+IMPORTRANGE(""https://docs.google.com/spreadsheets/d/16pAz3pOhQEZBhvFNMa5KGgZS6iKWpsKX0pg6tQmwFpo/edit?usp=sharing"",""ตรัง!Q542"")+IMPORTRANGE(""https://docs.google.com/spreadsheets/d/1Dj4jcHCTV9JXKCaMoheSXS52JE63kDKyG7bPXnFogHk/edit?usp=shar"&amp;"ing"",""นครศรีธรรมราช!Q542"")+IMPORTRANGE(""https://docs.google.com/spreadsheets/d/1iodCdmuK2GR3jzUwk8tpccY2JHQQA-87DLOtJP-ooyU/edit?usp=sharing"",""นราธิวาส!Q542"")+IMPORTRANGE(""https://docs.google.com/spreadsheets/d/1SDNX3JhDdYRuIOsj0Wh2M-Qa_eaXl0NbWmh"&amp;"AOTbfQAs/edit?usp=sharing"",""ปัตตานี!Q542"")+IMPORTRANGE(""https://docs.google.com/spreadsheets/d/16JDLGguT8s5DsGCND1KcwHP_AWR_zDMTqLHPLJUKhaU/edit?usp=sharing"",""พังงา!Q542"")+IMPORTRANGE(""https://docs.google.com/spreadsheets/d/17ht0gPKzzT3PObBL1XJkeR"&amp;"mntBXI7wGjpLV7QorqlTk/edit?usp=sharing"",""พัทลุง!Q542"")+IMPORTRANGE(""https://docs.google.com/spreadsheets/d/1rd4qoM1q_hsgaolqNGfrim9gbsoLxQsda4-vOz5x_BM/edit?usp=sharing"",""ภูเก็ต!Q542"")+IMPORTRANGE(""https://docs.google.com/spreadsheets/d/1woKwKjgoL"&amp;"ssDvPcPeVyezB5izizAn4X1JDrys69n6xI/edit?usp=sharing"",""ยะลา!Q542"")+IMPORTRANGE(""https://docs.google.com/spreadsheets/d/1qfrKjzMhm2HJfxQ-qVlJlJQ25Hne1d0khsySbZyGtPA/edit?usp=sharing"",""ระนอง!Q542"")+IMPORTRANGE(""https://docs.google.com/spreadsheets/d/"&amp;"1IbSCnFOKpZsnFogBHJnL_isstZVaOMnFiIN0fGTPZZw/edit?usp=sharing"",""สงขลา!Q542"")+IMPORTRANGE(""https://docs.google.com/spreadsheets/d/1q9nWasZJ-K8bFGvbE9n0qSRuKGA4Toe3Y89cKCiVtCU/edit?usp=sharing"",""สตูล!Q542"")+IMPORTRANGE(""https://docs.google.com/sprea"&amp;"dsheets/d/18T20gbkS_WBjdscyTOV05cvq_JqvqQ17C81mpxf7Ncs/edit?usp=sharing"",""สุราษฎร์ธานี!Q542"")"),0)</f>
        <v>0</v>
      </c>
      <c r="R542" s="47">
        <f ca="1">IFERROR(__xludf.DUMMYFUNCTION("IMPORTRANGE(""https://docs.google.com/spreadsheets/d/1kKUcYdkIfrgTSj8iHHHB2MD2FAtwyyocFgqGQn6ADyI/edit?usp=sharing"",""กระบี่!R542"")+IMPORTRANGE(""https://docs.google.com/spreadsheets/d/1GwtLaSlNZkLk7iDqcyZz22giiy40b_usZZBXYciEN1U/edit?usp=sharing"",""ชุ"&amp;"มพร!R542"")+IMPORTRANGE(""https://docs.google.com/spreadsheets/d/16pAz3pOhQEZBhvFNMa5KGgZS6iKWpsKX0pg6tQmwFpo/edit?usp=sharing"",""ตรัง!R542"")+IMPORTRANGE(""https://docs.google.com/spreadsheets/d/1Dj4jcHCTV9JXKCaMoheSXS52JE63kDKyG7bPXnFogHk/edit?usp=shar"&amp;"ing"",""นครศรีธรรมราช!R542"")+IMPORTRANGE(""https://docs.google.com/spreadsheets/d/1iodCdmuK2GR3jzUwk8tpccY2JHQQA-87DLOtJP-ooyU/edit?usp=sharing"",""นราธิวาส!R542"")+IMPORTRANGE(""https://docs.google.com/spreadsheets/d/1SDNX3JhDdYRuIOsj0Wh2M-Qa_eaXl0NbWmh"&amp;"AOTbfQAs/edit?usp=sharing"",""ปัตตานี!R542"")+IMPORTRANGE(""https://docs.google.com/spreadsheets/d/16JDLGguT8s5DsGCND1KcwHP_AWR_zDMTqLHPLJUKhaU/edit?usp=sharing"",""พังงา!R542"")+IMPORTRANGE(""https://docs.google.com/spreadsheets/d/17ht0gPKzzT3PObBL1XJkeR"&amp;"mntBXI7wGjpLV7QorqlTk/edit?usp=sharing"",""พัทลุง!R542"")+IMPORTRANGE(""https://docs.google.com/spreadsheets/d/1rd4qoM1q_hsgaolqNGfrim9gbsoLxQsda4-vOz5x_BM/edit?usp=sharing"",""ภูเก็ต!R542"")+IMPORTRANGE(""https://docs.google.com/spreadsheets/d/1woKwKjgoL"&amp;"ssDvPcPeVyezB5izizAn4X1JDrys69n6xI/edit?usp=sharing"",""ยะลา!R542"")+IMPORTRANGE(""https://docs.google.com/spreadsheets/d/1qfrKjzMhm2HJfxQ-qVlJlJQ25Hne1d0khsySbZyGtPA/edit?usp=sharing"",""ระนอง!R542"")+IMPORTRANGE(""https://docs.google.com/spreadsheets/d/"&amp;"1IbSCnFOKpZsnFogBHJnL_isstZVaOMnFiIN0fGTPZZw/edit?usp=sharing"",""สงขลา!R542"")+IMPORTRANGE(""https://docs.google.com/spreadsheets/d/1q9nWasZJ-K8bFGvbE9n0qSRuKGA4Toe3Y89cKCiVtCU/edit?usp=sharing"",""สตูล!R542"")+IMPORTRANGE(""https://docs.google.com/sprea"&amp;"dsheets/d/18T20gbkS_WBjdscyTOV05cvq_JqvqQ17C81mpxf7Ncs/edit?usp=sharing"",""สุราษฎร์ธานี!R542"")"),0)</f>
        <v>0</v>
      </c>
      <c r="S542" s="47">
        <f ca="1">IFERROR(__xludf.DUMMYFUNCTION("IMPORTRANGE(""https://docs.google.com/spreadsheets/d/1kKUcYdkIfrgTSj8iHHHB2MD2FAtwyyocFgqGQn6ADyI/edit?usp=sharing"",""กระบี่!S542"")+IMPORTRANGE(""https://docs.google.com/spreadsheets/d/1GwtLaSlNZkLk7iDqcyZz22giiy40b_usZZBXYciEN1U/edit?usp=sharing"",""ชุ"&amp;"มพร!S542"")+IMPORTRANGE(""https://docs.google.com/spreadsheets/d/16pAz3pOhQEZBhvFNMa5KGgZS6iKWpsKX0pg6tQmwFpo/edit?usp=sharing"",""ตรัง!S542"")+IMPORTRANGE(""https://docs.google.com/spreadsheets/d/1Dj4jcHCTV9JXKCaMoheSXS52JE63kDKyG7bPXnFogHk/edit?usp=shar"&amp;"ing"",""นครศรีธรรมราช!S542"")+IMPORTRANGE(""https://docs.google.com/spreadsheets/d/1iodCdmuK2GR3jzUwk8tpccY2JHQQA-87DLOtJP-ooyU/edit?usp=sharing"",""นราธิวาส!S542"")+IMPORTRANGE(""https://docs.google.com/spreadsheets/d/1SDNX3JhDdYRuIOsj0Wh2M-Qa_eaXl0NbWmh"&amp;"AOTbfQAs/edit?usp=sharing"",""ปัตตานี!S542"")+IMPORTRANGE(""https://docs.google.com/spreadsheets/d/16JDLGguT8s5DsGCND1KcwHP_AWR_zDMTqLHPLJUKhaU/edit?usp=sharing"",""พังงา!S542"")+IMPORTRANGE(""https://docs.google.com/spreadsheets/d/17ht0gPKzzT3PObBL1XJkeR"&amp;"mntBXI7wGjpLV7QorqlTk/edit?usp=sharing"",""พัทลุง!S542"")+IMPORTRANGE(""https://docs.google.com/spreadsheets/d/1rd4qoM1q_hsgaolqNGfrim9gbsoLxQsda4-vOz5x_BM/edit?usp=sharing"",""ภูเก็ต!S542"")+IMPORTRANGE(""https://docs.google.com/spreadsheets/d/1woKwKjgoL"&amp;"ssDvPcPeVyezB5izizAn4X1JDrys69n6xI/edit?usp=sharing"",""ยะลา!S542"")+IMPORTRANGE(""https://docs.google.com/spreadsheets/d/1qfrKjzMhm2HJfxQ-qVlJlJQ25Hne1d0khsySbZyGtPA/edit?usp=sharing"",""ระนอง!S542"")+IMPORTRANGE(""https://docs.google.com/spreadsheets/d/"&amp;"1IbSCnFOKpZsnFogBHJnL_isstZVaOMnFiIN0fGTPZZw/edit?usp=sharing"",""สงขลา!S542"")+IMPORTRANGE(""https://docs.google.com/spreadsheets/d/1q9nWasZJ-K8bFGvbE9n0qSRuKGA4Toe3Y89cKCiVtCU/edit?usp=sharing"",""สตูล!S542"")+IMPORTRANGE(""https://docs.google.com/sprea"&amp;"dsheets/d/18T20gbkS_WBjdscyTOV05cvq_JqvqQ17C81mpxf7Ncs/edit?usp=sharing"",""สุราษฎร์ธานี!S542"")"),0)</f>
        <v>0</v>
      </c>
      <c r="T542" s="47">
        <f t="shared" ca="1" si="382"/>
        <v>0</v>
      </c>
      <c r="U542" s="47">
        <f t="shared" ca="1" si="383"/>
        <v>0</v>
      </c>
    </row>
    <row r="543" spans="1:21" ht="19.5" x14ac:dyDescent="0.3">
      <c r="A543" s="138"/>
      <c r="B543" s="139"/>
      <c r="C543" s="386" t="s">
        <v>18</v>
      </c>
      <c r="D543" s="140" t="s">
        <v>38</v>
      </c>
      <c r="E543" s="141"/>
      <c r="F543" s="141"/>
      <c r="G543" s="142"/>
      <c r="H543" s="143"/>
      <c r="I543" s="135"/>
      <c r="J543" s="45"/>
      <c r="K543" s="46"/>
      <c r="L543" s="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8.75" x14ac:dyDescent="0.25">
      <c r="A544" s="387"/>
      <c r="B544" s="388"/>
      <c r="C544" s="342"/>
      <c r="D544" s="389" t="s">
        <v>209</v>
      </c>
      <c r="E544" s="342"/>
      <c r="F544" s="388"/>
      <c r="G544" s="390"/>
      <c r="H544" s="391" t="s">
        <v>61</v>
      </c>
      <c r="I544" s="392">
        <v>0</v>
      </c>
      <c r="J544" s="392">
        <v>0</v>
      </c>
      <c r="K544" s="176">
        <f>IF(I544&gt;0,J544*100/I544,0)</f>
        <v>0</v>
      </c>
      <c r="L544" s="177"/>
      <c r="M544" s="177"/>
      <c r="N544" s="177"/>
      <c r="O544" s="177"/>
      <c r="P544" s="177"/>
      <c r="Q544" s="177"/>
      <c r="R544" s="177"/>
      <c r="S544" s="177"/>
      <c r="T544" s="177"/>
      <c r="U544" s="17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247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247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247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247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247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247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247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247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336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385">
        <f t="shared" ref="I554:J554" si="392">I566</f>
        <v>0</v>
      </c>
      <c r="J554" s="385">
        <f t="shared" si="392"/>
        <v>0</v>
      </c>
      <c r="K554" s="377">
        <f>IF(I554&gt;0,J554*100/I554,0)</f>
        <v>0</v>
      </c>
      <c r="L554" s="378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130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132">
        <f t="shared" ref="L555:N555" ca="1" si="393">L556+L557</f>
        <v>0</v>
      </c>
      <c r="M555" s="132">
        <f t="shared" ca="1" si="393"/>
        <v>0</v>
      </c>
      <c r="N555" s="132">
        <f t="shared" ca="1" si="393"/>
        <v>0</v>
      </c>
      <c r="O555" s="132">
        <f t="shared" ref="O555:O563" ca="1" si="394">IF(L555&gt;0,N555*100/L555,0)</f>
        <v>0</v>
      </c>
      <c r="P555" s="132">
        <f t="shared" ref="P555:P563" ca="1" si="395">IF(M555&gt;0,N555*100/M555,0)</f>
        <v>0</v>
      </c>
      <c r="Q555" s="132">
        <f t="shared" ref="Q555:S555" ca="1" si="396">Q556+Q557</f>
        <v>0</v>
      </c>
      <c r="R555" s="132">
        <f t="shared" ca="1" si="396"/>
        <v>0</v>
      </c>
      <c r="S555" s="132">
        <f t="shared" ca="1" si="396"/>
        <v>0</v>
      </c>
      <c r="T555" s="132">
        <f t="shared" ref="T555:T563" ca="1" si="397">IF(Q555&gt;0,S555*100/Q555,0)</f>
        <v>0</v>
      </c>
      <c r="U555" s="132">
        <f t="shared" ref="U555:U563" ca="1" si="398"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49">
        <f t="shared" ref="L556:N556" ca="1" si="399">L559+L562</f>
        <v>0</v>
      </c>
      <c r="M556" s="49">
        <f t="shared" ca="1" si="399"/>
        <v>0</v>
      </c>
      <c r="N556" s="49">
        <f t="shared" ca="1" si="399"/>
        <v>0</v>
      </c>
      <c r="O556" s="49">
        <f t="shared" ca="1" si="394"/>
        <v>0</v>
      </c>
      <c r="P556" s="49">
        <f t="shared" ca="1" si="395"/>
        <v>0</v>
      </c>
      <c r="Q556" s="49">
        <f t="shared" ref="Q556:S556" ca="1" si="400">Q559+Q562</f>
        <v>0</v>
      </c>
      <c r="R556" s="49">
        <f t="shared" ca="1" si="400"/>
        <v>0</v>
      </c>
      <c r="S556" s="49">
        <f t="shared" ca="1" si="400"/>
        <v>0</v>
      </c>
      <c r="T556" s="49">
        <f t="shared" ca="1" si="397"/>
        <v>0</v>
      </c>
      <c r="U556" s="49">
        <f t="shared" ca="1" si="398"/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47">
        <f t="shared" ref="L557:N557" ca="1" si="401">L560+L563</f>
        <v>0</v>
      </c>
      <c r="M557" s="47">
        <f t="shared" ca="1" si="401"/>
        <v>0</v>
      </c>
      <c r="N557" s="47">
        <f t="shared" ca="1" si="401"/>
        <v>0</v>
      </c>
      <c r="O557" s="47">
        <f t="shared" ca="1" si="394"/>
        <v>0</v>
      </c>
      <c r="P557" s="47">
        <f t="shared" ca="1" si="395"/>
        <v>0</v>
      </c>
      <c r="Q557" s="47">
        <f t="shared" ref="Q557:S557" ca="1" si="402">Q560+Q563</f>
        <v>0</v>
      </c>
      <c r="R557" s="47">
        <f t="shared" ca="1" si="402"/>
        <v>0</v>
      </c>
      <c r="S557" s="47">
        <f t="shared" ca="1" si="402"/>
        <v>0</v>
      </c>
      <c r="T557" s="47">
        <f t="shared" ca="1" si="397"/>
        <v>0</v>
      </c>
      <c r="U557" s="47">
        <f t="shared" ca="1" si="398"/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47">
        <f t="shared" ref="L558:N558" ca="1" si="403">L559+L560</f>
        <v>0</v>
      </c>
      <c r="M558" s="47">
        <f t="shared" ca="1" si="403"/>
        <v>0</v>
      </c>
      <c r="N558" s="47">
        <f t="shared" ca="1" si="403"/>
        <v>0</v>
      </c>
      <c r="O558" s="47">
        <f t="shared" ca="1" si="394"/>
        <v>0</v>
      </c>
      <c r="P558" s="47">
        <f t="shared" ca="1" si="395"/>
        <v>0</v>
      </c>
      <c r="Q558" s="47">
        <f t="shared" ref="Q558:S558" ca="1" si="404">Q559+Q560</f>
        <v>0</v>
      </c>
      <c r="R558" s="47">
        <f t="shared" ca="1" si="404"/>
        <v>0</v>
      </c>
      <c r="S558" s="47">
        <f t="shared" ca="1" si="404"/>
        <v>0</v>
      </c>
      <c r="T558" s="47">
        <f t="shared" ca="1" si="397"/>
        <v>0</v>
      </c>
      <c r="U558" s="47">
        <f t="shared" ca="1" si="398"/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49">
        <f ca="1">IFERROR(__xludf.DUMMYFUNCTION("IMPORTRANGE(""https://docs.google.com/spreadsheets/d/1kKUcYdkIfrgTSj8iHHHB2MD2FAtwyyocFgqGQn6ADyI/edit?usp=sharing"",""กระบี่!L559"")+IMPORTRANGE(""https://docs.google.com/spreadsheets/d/1GwtLaSlNZkLk7iDqcyZz22giiy40b_usZZBXYciEN1U/edit?usp=sharing"",""ชุ"&amp;"มพร!L559"")+IMPORTRANGE(""https://docs.google.com/spreadsheets/d/16pAz3pOhQEZBhvFNMa5KGgZS6iKWpsKX0pg6tQmwFpo/edit?usp=sharing"",""ตรัง!L559"")+IMPORTRANGE(""https://docs.google.com/spreadsheets/d/1Dj4jcHCTV9JXKCaMoheSXS52JE63kDKyG7bPXnFogHk/edit?usp=shar"&amp;"ing"",""นครศรีธรรมราช!L559"")+IMPORTRANGE(""https://docs.google.com/spreadsheets/d/1iodCdmuK2GR3jzUwk8tpccY2JHQQA-87DLOtJP-ooyU/edit?usp=sharing"",""นราธิวาส!L559"")+IMPORTRANGE(""https://docs.google.com/spreadsheets/d/1SDNX3JhDdYRuIOsj0Wh2M-Qa_eaXl0NbWmh"&amp;"AOTbfQAs/edit?usp=sharing"",""ปัตตานี!L559"")+IMPORTRANGE(""https://docs.google.com/spreadsheets/d/16JDLGguT8s5DsGCND1KcwHP_AWR_zDMTqLHPLJUKhaU/edit?usp=sharing"",""พังงา!L559"")+IMPORTRANGE(""https://docs.google.com/spreadsheets/d/17ht0gPKzzT3PObBL1XJkeR"&amp;"mntBXI7wGjpLV7QorqlTk/edit?usp=sharing"",""พัทลุง!L559"")+IMPORTRANGE(""https://docs.google.com/spreadsheets/d/1rd4qoM1q_hsgaolqNGfrim9gbsoLxQsda4-vOz5x_BM/edit?usp=sharing"",""ภูเก็ต!L559"")+IMPORTRANGE(""https://docs.google.com/spreadsheets/d/1woKwKjgoL"&amp;"ssDvPcPeVyezB5izizAn4X1JDrys69n6xI/edit?usp=sharing"",""ยะลา!L559"")+IMPORTRANGE(""https://docs.google.com/spreadsheets/d/1qfrKjzMhm2HJfxQ-qVlJlJQ25Hne1d0khsySbZyGtPA/edit?usp=sharing"",""ระนอง!L559"")+IMPORTRANGE(""https://docs.google.com/spreadsheets/d/"&amp;"1IbSCnFOKpZsnFogBHJnL_isstZVaOMnFiIN0fGTPZZw/edit?usp=sharing"",""สงขลา!L559"")+IMPORTRANGE(""https://docs.google.com/spreadsheets/d/1q9nWasZJ-K8bFGvbE9n0qSRuKGA4Toe3Y89cKCiVtCU/edit?usp=sharing"",""สตูล!L559"")+IMPORTRANGE(""https://docs.google.com/sprea"&amp;"dsheets/d/18T20gbkS_WBjdscyTOV05cvq_JqvqQ17C81mpxf7Ncs/edit?usp=sharing"",""สุราษฎร์ธานี!L559"")"),0)</f>
        <v>0</v>
      </c>
      <c r="M559" s="49">
        <f ca="1">IFERROR(__xludf.DUMMYFUNCTION("IMPORTRANGE(""https://docs.google.com/spreadsheets/d/1kKUcYdkIfrgTSj8iHHHB2MD2FAtwyyocFgqGQn6ADyI/edit?usp=sharing"",""กระบี่!M559"")+IMPORTRANGE(""https://docs.google.com/spreadsheets/d/1GwtLaSlNZkLk7iDqcyZz22giiy40b_usZZBXYciEN1U/edit?usp=sharing"",""ชุ"&amp;"มพร!M559"")+IMPORTRANGE(""https://docs.google.com/spreadsheets/d/16pAz3pOhQEZBhvFNMa5KGgZS6iKWpsKX0pg6tQmwFpo/edit?usp=sharing"",""ตรัง!M559"")+IMPORTRANGE(""https://docs.google.com/spreadsheets/d/1Dj4jcHCTV9JXKCaMoheSXS52JE63kDKyG7bPXnFogHk/edit?usp=shar"&amp;"ing"",""นครศรีธรรมราช!M559"")+IMPORTRANGE(""https://docs.google.com/spreadsheets/d/1iodCdmuK2GR3jzUwk8tpccY2JHQQA-87DLOtJP-ooyU/edit?usp=sharing"",""นราธิวาส!M559"")+IMPORTRANGE(""https://docs.google.com/spreadsheets/d/1SDNX3JhDdYRuIOsj0Wh2M-Qa_eaXl0NbWmh"&amp;"AOTbfQAs/edit?usp=sharing"",""ปัตตานี!M559"")+IMPORTRANGE(""https://docs.google.com/spreadsheets/d/16JDLGguT8s5DsGCND1KcwHP_AWR_zDMTqLHPLJUKhaU/edit?usp=sharing"",""พังงา!M559"")+IMPORTRANGE(""https://docs.google.com/spreadsheets/d/17ht0gPKzzT3PObBL1XJkeR"&amp;"mntBXI7wGjpLV7QorqlTk/edit?usp=sharing"",""พัทลุง!M559"")+IMPORTRANGE(""https://docs.google.com/spreadsheets/d/1rd4qoM1q_hsgaolqNGfrim9gbsoLxQsda4-vOz5x_BM/edit?usp=sharing"",""ภูเก็ต!M559"")+IMPORTRANGE(""https://docs.google.com/spreadsheets/d/1woKwKjgoL"&amp;"ssDvPcPeVyezB5izizAn4X1JDrys69n6xI/edit?usp=sharing"",""ยะลา!M559"")+IMPORTRANGE(""https://docs.google.com/spreadsheets/d/1qfrKjzMhm2HJfxQ-qVlJlJQ25Hne1d0khsySbZyGtPA/edit?usp=sharing"",""ระนอง!M559"")+IMPORTRANGE(""https://docs.google.com/spreadsheets/d/"&amp;"1IbSCnFOKpZsnFogBHJnL_isstZVaOMnFiIN0fGTPZZw/edit?usp=sharing"",""สงขลา!M559"")+IMPORTRANGE(""https://docs.google.com/spreadsheets/d/1q9nWasZJ-K8bFGvbE9n0qSRuKGA4Toe3Y89cKCiVtCU/edit?usp=sharing"",""สตูล!M559"")+IMPORTRANGE(""https://docs.google.com/sprea"&amp;"dsheets/d/18T20gbkS_WBjdscyTOV05cvq_JqvqQ17C81mpxf7Ncs/edit?usp=sharing"",""สุราษฎร์ธานี!M559"")"),0)</f>
        <v>0</v>
      </c>
      <c r="N559" s="49">
        <f ca="1">IFERROR(__xludf.DUMMYFUNCTION("IMPORTRANGE(""https://docs.google.com/spreadsheets/d/1kKUcYdkIfrgTSj8iHHHB2MD2FAtwyyocFgqGQn6ADyI/edit?usp=sharing"",""กระบี่!N559"")+IMPORTRANGE(""https://docs.google.com/spreadsheets/d/1GwtLaSlNZkLk7iDqcyZz22giiy40b_usZZBXYciEN1U/edit?usp=sharing"",""ชุ"&amp;"มพร!N559"")+IMPORTRANGE(""https://docs.google.com/spreadsheets/d/16pAz3pOhQEZBhvFNMa5KGgZS6iKWpsKX0pg6tQmwFpo/edit?usp=sharing"",""ตรัง!N559"")+IMPORTRANGE(""https://docs.google.com/spreadsheets/d/1Dj4jcHCTV9JXKCaMoheSXS52JE63kDKyG7bPXnFogHk/edit?usp=shar"&amp;"ing"",""นครศรีธรรมราช!N559"")+IMPORTRANGE(""https://docs.google.com/spreadsheets/d/1iodCdmuK2GR3jzUwk8tpccY2JHQQA-87DLOtJP-ooyU/edit?usp=sharing"",""นราธิวาส!N559"")+IMPORTRANGE(""https://docs.google.com/spreadsheets/d/1SDNX3JhDdYRuIOsj0Wh2M-Qa_eaXl0NbWmh"&amp;"AOTbfQAs/edit?usp=sharing"",""ปัตตานี!N559"")+IMPORTRANGE(""https://docs.google.com/spreadsheets/d/16JDLGguT8s5DsGCND1KcwHP_AWR_zDMTqLHPLJUKhaU/edit?usp=sharing"",""พังงา!N559"")+IMPORTRANGE(""https://docs.google.com/spreadsheets/d/17ht0gPKzzT3PObBL1XJkeR"&amp;"mntBXI7wGjpLV7QorqlTk/edit?usp=sharing"",""พัทลุง!N559"")+IMPORTRANGE(""https://docs.google.com/spreadsheets/d/1rd4qoM1q_hsgaolqNGfrim9gbsoLxQsda4-vOz5x_BM/edit?usp=sharing"",""ภูเก็ต!N559"")+IMPORTRANGE(""https://docs.google.com/spreadsheets/d/1woKwKjgoL"&amp;"ssDvPcPeVyezB5izizAn4X1JDrys69n6xI/edit?usp=sharing"",""ยะลา!N559"")+IMPORTRANGE(""https://docs.google.com/spreadsheets/d/1qfrKjzMhm2HJfxQ-qVlJlJQ25Hne1d0khsySbZyGtPA/edit?usp=sharing"",""ระนอง!N559"")+IMPORTRANGE(""https://docs.google.com/spreadsheets/d/"&amp;"1IbSCnFOKpZsnFogBHJnL_isstZVaOMnFiIN0fGTPZZw/edit?usp=sharing"",""สงขลา!N559"")+IMPORTRANGE(""https://docs.google.com/spreadsheets/d/1q9nWasZJ-K8bFGvbE9n0qSRuKGA4Toe3Y89cKCiVtCU/edit?usp=sharing"",""สตูล!N559"")+IMPORTRANGE(""https://docs.google.com/sprea"&amp;"dsheets/d/18T20gbkS_WBjdscyTOV05cvq_JqvqQ17C81mpxf7Ncs/edit?usp=sharing"",""สุราษฎร์ธานี!N559"")"),0)</f>
        <v>0</v>
      </c>
      <c r="O559" s="49">
        <f t="shared" ca="1" si="394"/>
        <v>0</v>
      </c>
      <c r="P559" s="49">
        <f t="shared" ca="1" si="395"/>
        <v>0</v>
      </c>
      <c r="Q559" s="49">
        <f ca="1">IFERROR(__xludf.DUMMYFUNCTION("IMPORTRANGE(""https://docs.google.com/spreadsheets/d/1kKUcYdkIfrgTSj8iHHHB2MD2FAtwyyocFgqGQn6ADyI/edit?usp=sharing"",""กระบี่!Q559"")+IMPORTRANGE(""https://docs.google.com/spreadsheets/d/1GwtLaSlNZkLk7iDqcyZz22giiy40b_usZZBXYciEN1U/edit?usp=sharing"",""ชุ"&amp;"มพร!Q559"")+IMPORTRANGE(""https://docs.google.com/spreadsheets/d/16pAz3pOhQEZBhvFNMa5KGgZS6iKWpsKX0pg6tQmwFpo/edit?usp=sharing"",""ตรัง!Q559"")+IMPORTRANGE(""https://docs.google.com/spreadsheets/d/1Dj4jcHCTV9JXKCaMoheSXS52JE63kDKyG7bPXnFogHk/edit?usp=shar"&amp;"ing"",""นครศรีธรรมราช!Q559"")+IMPORTRANGE(""https://docs.google.com/spreadsheets/d/1iodCdmuK2GR3jzUwk8tpccY2JHQQA-87DLOtJP-ooyU/edit?usp=sharing"",""นราธิวาส!Q559"")+IMPORTRANGE(""https://docs.google.com/spreadsheets/d/1SDNX3JhDdYRuIOsj0Wh2M-Qa_eaXl0NbWmh"&amp;"AOTbfQAs/edit?usp=sharing"",""ปัตตานี!Q559"")+IMPORTRANGE(""https://docs.google.com/spreadsheets/d/16JDLGguT8s5DsGCND1KcwHP_AWR_zDMTqLHPLJUKhaU/edit?usp=sharing"",""พังงา!Q559"")+IMPORTRANGE(""https://docs.google.com/spreadsheets/d/17ht0gPKzzT3PObBL1XJkeR"&amp;"mntBXI7wGjpLV7QorqlTk/edit?usp=sharing"",""พัทลุง!Q559"")+IMPORTRANGE(""https://docs.google.com/spreadsheets/d/1rd4qoM1q_hsgaolqNGfrim9gbsoLxQsda4-vOz5x_BM/edit?usp=sharing"",""ภูเก็ต!Q559"")+IMPORTRANGE(""https://docs.google.com/spreadsheets/d/1woKwKjgoL"&amp;"ssDvPcPeVyezB5izizAn4X1JDrys69n6xI/edit?usp=sharing"",""ยะลา!Q559"")+IMPORTRANGE(""https://docs.google.com/spreadsheets/d/1qfrKjzMhm2HJfxQ-qVlJlJQ25Hne1d0khsySbZyGtPA/edit?usp=sharing"",""ระนอง!Q559"")+IMPORTRANGE(""https://docs.google.com/spreadsheets/d/"&amp;"1IbSCnFOKpZsnFogBHJnL_isstZVaOMnFiIN0fGTPZZw/edit?usp=sharing"",""สงขลา!Q559"")+IMPORTRANGE(""https://docs.google.com/spreadsheets/d/1q9nWasZJ-K8bFGvbE9n0qSRuKGA4Toe3Y89cKCiVtCU/edit?usp=sharing"",""สตูล!Q559"")+IMPORTRANGE(""https://docs.google.com/sprea"&amp;"dsheets/d/18T20gbkS_WBjdscyTOV05cvq_JqvqQ17C81mpxf7Ncs/edit?usp=sharing"",""สุราษฎร์ธานี!Q559"")"),0)</f>
        <v>0</v>
      </c>
      <c r="R559" s="49">
        <f ca="1">IFERROR(__xludf.DUMMYFUNCTION("IMPORTRANGE(""https://docs.google.com/spreadsheets/d/1kKUcYdkIfrgTSj8iHHHB2MD2FAtwyyocFgqGQn6ADyI/edit?usp=sharing"",""กระบี่!R559"")+IMPORTRANGE(""https://docs.google.com/spreadsheets/d/1GwtLaSlNZkLk7iDqcyZz22giiy40b_usZZBXYciEN1U/edit?usp=sharing"",""ชุ"&amp;"มพร!R559"")+IMPORTRANGE(""https://docs.google.com/spreadsheets/d/16pAz3pOhQEZBhvFNMa5KGgZS6iKWpsKX0pg6tQmwFpo/edit?usp=sharing"",""ตรัง!R559"")+IMPORTRANGE(""https://docs.google.com/spreadsheets/d/1Dj4jcHCTV9JXKCaMoheSXS52JE63kDKyG7bPXnFogHk/edit?usp=shar"&amp;"ing"",""นครศรีธรรมราช!R559"")+IMPORTRANGE(""https://docs.google.com/spreadsheets/d/1iodCdmuK2GR3jzUwk8tpccY2JHQQA-87DLOtJP-ooyU/edit?usp=sharing"",""นราธิวาส!R559"")+IMPORTRANGE(""https://docs.google.com/spreadsheets/d/1SDNX3JhDdYRuIOsj0Wh2M-Qa_eaXl0NbWmh"&amp;"AOTbfQAs/edit?usp=sharing"",""ปัตตานี!R559"")+IMPORTRANGE(""https://docs.google.com/spreadsheets/d/16JDLGguT8s5DsGCND1KcwHP_AWR_zDMTqLHPLJUKhaU/edit?usp=sharing"",""พังงา!R559"")+IMPORTRANGE(""https://docs.google.com/spreadsheets/d/17ht0gPKzzT3PObBL1XJkeR"&amp;"mntBXI7wGjpLV7QorqlTk/edit?usp=sharing"",""พัทลุง!R559"")+IMPORTRANGE(""https://docs.google.com/spreadsheets/d/1rd4qoM1q_hsgaolqNGfrim9gbsoLxQsda4-vOz5x_BM/edit?usp=sharing"",""ภูเก็ต!R559"")+IMPORTRANGE(""https://docs.google.com/spreadsheets/d/1woKwKjgoL"&amp;"ssDvPcPeVyezB5izizAn4X1JDrys69n6xI/edit?usp=sharing"",""ยะลา!R559"")+IMPORTRANGE(""https://docs.google.com/spreadsheets/d/1qfrKjzMhm2HJfxQ-qVlJlJQ25Hne1d0khsySbZyGtPA/edit?usp=sharing"",""ระนอง!R559"")+IMPORTRANGE(""https://docs.google.com/spreadsheets/d/"&amp;"1IbSCnFOKpZsnFogBHJnL_isstZVaOMnFiIN0fGTPZZw/edit?usp=sharing"",""สงขลา!R559"")+IMPORTRANGE(""https://docs.google.com/spreadsheets/d/1q9nWasZJ-K8bFGvbE9n0qSRuKGA4Toe3Y89cKCiVtCU/edit?usp=sharing"",""สตูล!R559"")+IMPORTRANGE(""https://docs.google.com/sprea"&amp;"dsheets/d/18T20gbkS_WBjdscyTOV05cvq_JqvqQ17C81mpxf7Ncs/edit?usp=sharing"",""สุราษฎร์ธานี!R559"")"),0)</f>
        <v>0</v>
      </c>
      <c r="S559" s="49">
        <f ca="1">IFERROR(__xludf.DUMMYFUNCTION("IMPORTRANGE(""https://docs.google.com/spreadsheets/d/1kKUcYdkIfrgTSj8iHHHB2MD2FAtwyyocFgqGQn6ADyI/edit?usp=sharing"",""กระบี่!S559"")+IMPORTRANGE(""https://docs.google.com/spreadsheets/d/1GwtLaSlNZkLk7iDqcyZz22giiy40b_usZZBXYciEN1U/edit?usp=sharing"",""ชุ"&amp;"มพร!S559"")+IMPORTRANGE(""https://docs.google.com/spreadsheets/d/16pAz3pOhQEZBhvFNMa5KGgZS6iKWpsKX0pg6tQmwFpo/edit?usp=sharing"",""ตรัง!S559"")+IMPORTRANGE(""https://docs.google.com/spreadsheets/d/1Dj4jcHCTV9JXKCaMoheSXS52JE63kDKyG7bPXnFogHk/edit?usp=shar"&amp;"ing"",""นครศรีธรรมราช!S559"")+IMPORTRANGE(""https://docs.google.com/spreadsheets/d/1iodCdmuK2GR3jzUwk8tpccY2JHQQA-87DLOtJP-ooyU/edit?usp=sharing"",""นราธิวาส!S559"")+IMPORTRANGE(""https://docs.google.com/spreadsheets/d/1SDNX3JhDdYRuIOsj0Wh2M-Qa_eaXl0NbWmh"&amp;"AOTbfQAs/edit?usp=sharing"",""ปัตตานี!S559"")+IMPORTRANGE(""https://docs.google.com/spreadsheets/d/16JDLGguT8s5DsGCND1KcwHP_AWR_zDMTqLHPLJUKhaU/edit?usp=sharing"",""พังงา!S559"")+IMPORTRANGE(""https://docs.google.com/spreadsheets/d/17ht0gPKzzT3PObBL1XJkeR"&amp;"mntBXI7wGjpLV7QorqlTk/edit?usp=sharing"",""พัทลุง!S559"")+IMPORTRANGE(""https://docs.google.com/spreadsheets/d/1rd4qoM1q_hsgaolqNGfrim9gbsoLxQsda4-vOz5x_BM/edit?usp=sharing"",""ภูเก็ต!S559"")+IMPORTRANGE(""https://docs.google.com/spreadsheets/d/1woKwKjgoL"&amp;"ssDvPcPeVyezB5izizAn4X1JDrys69n6xI/edit?usp=sharing"",""ยะลา!S559"")+IMPORTRANGE(""https://docs.google.com/spreadsheets/d/1qfrKjzMhm2HJfxQ-qVlJlJQ25Hne1d0khsySbZyGtPA/edit?usp=sharing"",""ระนอง!S559"")+IMPORTRANGE(""https://docs.google.com/spreadsheets/d/"&amp;"1IbSCnFOKpZsnFogBHJnL_isstZVaOMnFiIN0fGTPZZw/edit?usp=sharing"",""สงขลา!S559"")+IMPORTRANGE(""https://docs.google.com/spreadsheets/d/1q9nWasZJ-K8bFGvbE9n0qSRuKGA4Toe3Y89cKCiVtCU/edit?usp=sharing"",""สตูล!S559"")+IMPORTRANGE(""https://docs.google.com/sprea"&amp;"dsheets/d/18T20gbkS_WBjdscyTOV05cvq_JqvqQ17C81mpxf7Ncs/edit?usp=sharing"",""สุราษฎร์ธานี!S559"")"),0)</f>
        <v>0</v>
      </c>
      <c r="T559" s="49">
        <f t="shared" ca="1" si="397"/>
        <v>0</v>
      </c>
      <c r="U559" s="49">
        <f t="shared" ca="1" si="398"/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47">
        <f ca="1">IFERROR(__xludf.DUMMYFUNCTION("IMPORTRANGE(""https://docs.google.com/spreadsheets/d/1kKUcYdkIfrgTSj8iHHHB2MD2FAtwyyocFgqGQn6ADyI/edit?usp=sharing"",""กระบี่!L560"")+IMPORTRANGE(""https://docs.google.com/spreadsheets/d/1GwtLaSlNZkLk7iDqcyZz22giiy40b_usZZBXYciEN1U/edit?usp=sharing"",""ชุ"&amp;"มพร!L560"")+IMPORTRANGE(""https://docs.google.com/spreadsheets/d/16pAz3pOhQEZBhvFNMa5KGgZS6iKWpsKX0pg6tQmwFpo/edit?usp=sharing"",""ตรัง!L560"")+IMPORTRANGE(""https://docs.google.com/spreadsheets/d/1Dj4jcHCTV9JXKCaMoheSXS52JE63kDKyG7bPXnFogHk/edit?usp=shar"&amp;"ing"",""นครศรีธรรมราช!L560"")+IMPORTRANGE(""https://docs.google.com/spreadsheets/d/1iodCdmuK2GR3jzUwk8tpccY2JHQQA-87DLOtJP-ooyU/edit?usp=sharing"",""นราธิวาส!L560"")+IMPORTRANGE(""https://docs.google.com/spreadsheets/d/1SDNX3JhDdYRuIOsj0Wh2M-Qa_eaXl0NbWmh"&amp;"AOTbfQAs/edit?usp=sharing"",""ปัตตานี!L560"")+IMPORTRANGE(""https://docs.google.com/spreadsheets/d/16JDLGguT8s5DsGCND1KcwHP_AWR_zDMTqLHPLJUKhaU/edit?usp=sharing"",""พังงา!L560"")+IMPORTRANGE(""https://docs.google.com/spreadsheets/d/17ht0gPKzzT3PObBL1XJkeR"&amp;"mntBXI7wGjpLV7QorqlTk/edit?usp=sharing"",""พัทลุง!L560"")+IMPORTRANGE(""https://docs.google.com/spreadsheets/d/1rd4qoM1q_hsgaolqNGfrim9gbsoLxQsda4-vOz5x_BM/edit?usp=sharing"",""ภูเก็ต!L560"")+IMPORTRANGE(""https://docs.google.com/spreadsheets/d/1woKwKjgoL"&amp;"ssDvPcPeVyezB5izizAn4X1JDrys69n6xI/edit?usp=sharing"",""ยะลา!L560"")+IMPORTRANGE(""https://docs.google.com/spreadsheets/d/1qfrKjzMhm2HJfxQ-qVlJlJQ25Hne1d0khsySbZyGtPA/edit?usp=sharing"",""ระนอง!L560"")+IMPORTRANGE(""https://docs.google.com/spreadsheets/d/"&amp;"1IbSCnFOKpZsnFogBHJnL_isstZVaOMnFiIN0fGTPZZw/edit?usp=sharing"",""สงขลา!L560"")+IMPORTRANGE(""https://docs.google.com/spreadsheets/d/1q9nWasZJ-K8bFGvbE9n0qSRuKGA4Toe3Y89cKCiVtCU/edit?usp=sharing"",""สตูล!L560"")+IMPORTRANGE(""https://docs.google.com/sprea"&amp;"dsheets/d/18T20gbkS_WBjdscyTOV05cvq_JqvqQ17C81mpxf7Ncs/edit?usp=sharing"",""สุราษฎร์ธานี!L560"")"),0)</f>
        <v>0</v>
      </c>
      <c r="M560" s="47">
        <f ca="1">IFERROR(__xludf.DUMMYFUNCTION("IMPORTRANGE(""https://docs.google.com/spreadsheets/d/1kKUcYdkIfrgTSj8iHHHB2MD2FAtwyyocFgqGQn6ADyI/edit?usp=sharing"",""กระบี่!M560"")+IMPORTRANGE(""https://docs.google.com/spreadsheets/d/1GwtLaSlNZkLk7iDqcyZz22giiy40b_usZZBXYciEN1U/edit?usp=sharing"",""ชุ"&amp;"มพร!M560"")+IMPORTRANGE(""https://docs.google.com/spreadsheets/d/16pAz3pOhQEZBhvFNMa5KGgZS6iKWpsKX0pg6tQmwFpo/edit?usp=sharing"",""ตรัง!M560"")+IMPORTRANGE(""https://docs.google.com/spreadsheets/d/1Dj4jcHCTV9JXKCaMoheSXS52JE63kDKyG7bPXnFogHk/edit?usp=shar"&amp;"ing"",""นครศรีธรรมราช!M560"")+IMPORTRANGE(""https://docs.google.com/spreadsheets/d/1iodCdmuK2GR3jzUwk8tpccY2JHQQA-87DLOtJP-ooyU/edit?usp=sharing"",""นราธิวาส!M560"")+IMPORTRANGE(""https://docs.google.com/spreadsheets/d/1SDNX3JhDdYRuIOsj0Wh2M-Qa_eaXl0NbWmh"&amp;"AOTbfQAs/edit?usp=sharing"",""ปัตตานี!M560"")+IMPORTRANGE(""https://docs.google.com/spreadsheets/d/16JDLGguT8s5DsGCND1KcwHP_AWR_zDMTqLHPLJUKhaU/edit?usp=sharing"",""พังงา!M560"")+IMPORTRANGE(""https://docs.google.com/spreadsheets/d/17ht0gPKzzT3PObBL1XJkeR"&amp;"mntBXI7wGjpLV7QorqlTk/edit?usp=sharing"",""พัทลุง!M560"")+IMPORTRANGE(""https://docs.google.com/spreadsheets/d/1rd4qoM1q_hsgaolqNGfrim9gbsoLxQsda4-vOz5x_BM/edit?usp=sharing"",""ภูเก็ต!M560"")+IMPORTRANGE(""https://docs.google.com/spreadsheets/d/1woKwKjgoL"&amp;"ssDvPcPeVyezB5izizAn4X1JDrys69n6xI/edit?usp=sharing"",""ยะลา!M560"")+IMPORTRANGE(""https://docs.google.com/spreadsheets/d/1qfrKjzMhm2HJfxQ-qVlJlJQ25Hne1d0khsySbZyGtPA/edit?usp=sharing"",""ระนอง!M560"")+IMPORTRANGE(""https://docs.google.com/spreadsheets/d/"&amp;"1IbSCnFOKpZsnFogBHJnL_isstZVaOMnFiIN0fGTPZZw/edit?usp=sharing"",""สงขลา!M560"")+IMPORTRANGE(""https://docs.google.com/spreadsheets/d/1q9nWasZJ-K8bFGvbE9n0qSRuKGA4Toe3Y89cKCiVtCU/edit?usp=sharing"",""สตูล!M560"")+IMPORTRANGE(""https://docs.google.com/sprea"&amp;"dsheets/d/18T20gbkS_WBjdscyTOV05cvq_JqvqQ17C81mpxf7Ncs/edit?usp=sharing"",""สุราษฎร์ธานี!M560"")"),0)</f>
        <v>0</v>
      </c>
      <c r="N560" s="47">
        <f ca="1">IFERROR(__xludf.DUMMYFUNCTION("IMPORTRANGE(""https://docs.google.com/spreadsheets/d/1kKUcYdkIfrgTSj8iHHHB2MD2FAtwyyocFgqGQn6ADyI/edit?usp=sharing"",""กระบี่!N560"")+IMPORTRANGE(""https://docs.google.com/spreadsheets/d/1GwtLaSlNZkLk7iDqcyZz22giiy40b_usZZBXYciEN1U/edit?usp=sharing"",""ชุ"&amp;"มพร!N560"")+IMPORTRANGE(""https://docs.google.com/spreadsheets/d/16pAz3pOhQEZBhvFNMa5KGgZS6iKWpsKX0pg6tQmwFpo/edit?usp=sharing"",""ตรัง!N560"")+IMPORTRANGE(""https://docs.google.com/spreadsheets/d/1Dj4jcHCTV9JXKCaMoheSXS52JE63kDKyG7bPXnFogHk/edit?usp=shar"&amp;"ing"",""นครศรีธรรมราช!N560"")+IMPORTRANGE(""https://docs.google.com/spreadsheets/d/1iodCdmuK2GR3jzUwk8tpccY2JHQQA-87DLOtJP-ooyU/edit?usp=sharing"",""นราธิวาส!N560"")+IMPORTRANGE(""https://docs.google.com/spreadsheets/d/1SDNX3JhDdYRuIOsj0Wh2M-Qa_eaXl0NbWmh"&amp;"AOTbfQAs/edit?usp=sharing"",""ปัตตานี!N560"")+IMPORTRANGE(""https://docs.google.com/spreadsheets/d/16JDLGguT8s5DsGCND1KcwHP_AWR_zDMTqLHPLJUKhaU/edit?usp=sharing"",""พังงา!N560"")+IMPORTRANGE(""https://docs.google.com/spreadsheets/d/17ht0gPKzzT3PObBL1XJkeR"&amp;"mntBXI7wGjpLV7QorqlTk/edit?usp=sharing"",""พัทลุง!N560"")+IMPORTRANGE(""https://docs.google.com/spreadsheets/d/1rd4qoM1q_hsgaolqNGfrim9gbsoLxQsda4-vOz5x_BM/edit?usp=sharing"",""ภูเก็ต!N560"")+IMPORTRANGE(""https://docs.google.com/spreadsheets/d/1woKwKjgoL"&amp;"ssDvPcPeVyezB5izizAn4X1JDrys69n6xI/edit?usp=sharing"",""ยะลา!N560"")+IMPORTRANGE(""https://docs.google.com/spreadsheets/d/1qfrKjzMhm2HJfxQ-qVlJlJQ25Hne1d0khsySbZyGtPA/edit?usp=sharing"",""ระนอง!N560"")+IMPORTRANGE(""https://docs.google.com/spreadsheets/d/"&amp;"1IbSCnFOKpZsnFogBHJnL_isstZVaOMnFiIN0fGTPZZw/edit?usp=sharing"",""สงขลา!N560"")+IMPORTRANGE(""https://docs.google.com/spreadsheets/d/1q9nWasZJ-K8bFGvbE9n0qSRuKGA4Toe3Y89cKCiVtCU/edit?usp=sharing"",""สตูล!N560"")+IMPORTRANGE(""https://docs.google.com/sprea"&amp;"dsheets/d/18T20gbkS_WBjdscyTOV05cvq_JqvqQ17C81mpxf7Ncs/edit?usp=sharing"",""สุราษฎร์ธานี!N560"")"),0)</f>
        <v>0</v>
      </c>
      <c r="O560" s="47">
        <f t="shared" ca="1" si="394"/>
        <v>0</v>
      </c>
      <c r="P560" s="47">
        <f t="shared" ca="1" si="395"/>
        <v>0</v>
      </c>
      <c r="Q560" s="47">
        <f ca="1">IFERROR(__xludf.DUMMYFUNCTION("IMPORTRANGE(""https://docs.google.com/spreadsheets/d/1kKUcYdkIfrgTSj8iHHHB2MD2FAtwyyocFgqGQn6ADyI/edit?usp=sharing"",""กระบี่!Q560"")+IMPORTRANGE(""https://docs.google.com/spreadsheets/d/1GwtLaSlNZkLk7iDqcyZz22giiy40b_usZZBXYciEN1U/edit?usp=sharing"",""ชุ"&amp;"มพร!Q560"")+IMPORTRANGE(""https://docs.google.com/spreadsheets/d/16pAz3pOhQEZBhvFNMa5KGgZS6iKWpsKX0pg6tQmwFpo/edit?usp=sharing"",""ตรัง!Q560"")+IMPORTRANGE(""https://docs.google.com/spreadsheets/d/1Dj4jcHCTV9JXKCaMoheSXS52JE63kDKyG7bPXnFogHk/edit?usp=shar"&amp;"ing"",""นครศรีธรรมราช!Q560"")+IMPORTRANGE(""https://docs.google.com/spreadsheets/d/1iodCdmuK2GR3jzUwk8tpccY2JHQQA-87DLOtJP-ooyU/edit?usp=sharing"",""นราธิวาส!Q560"")+IMPORTRANGE(""https://docs.google.com/spreadsheets/d/1SDNX3JhDdYRuIOsj0Wh2M-Qa_eaXl0NbWmh"&amp;"AOTbfQAs/edit?usp=sharing"",""ปัตตานี!Q560"")+IMPORTRANGE(""https://docs.google.com/spreadsheets/d/16JDLGguT8s5DsGCND1KcwHP_AWR_zDMTqLHPLJUKhaU/edit?usp=sharing"",""พังงา!Q560"")+IMPORTRANGE(""https://docs.google.com/spreadsheets/d/17ht0gPKzzT3PObBL1XJkeR"&amp;"mntBXI7wGjpLV7QorqlTk/edit?usp=sharing"",""พัทลุง!Q560"")+IMPORTRANGE(""https://docs.google.com/spreadsheets/d/1rd4qoM1q_hsgaolqNGfrim9gbsoLxQsda4-vOz5x_BM/edit?usp=sharing"",""ภูเก็ต!Q560"")+IMPORTRANGE(""https://docs.google.com/spreadsheets/d/1woKwKjgoL"&amp;"ssDvPcPeVyezB5izizAn4X1JDrys69n6xI/edit?usp=sharing"",""ยะลา!Q560"")+IMPORTRANGE(""https://docs.google.com/spreadsheets/d/1qfrKjzMhm2HJfxQ-qVlJlJQ25Hne1d0khsySbZyGtPA/edit?usp=sharing"",""ระนอง!Q560"")+IMPORTRANGE(""https://docs.google.com/spreadsheets/d/"&amp;"1IbSCnFOKpZsnFogBHJnL_isstZVaOMnFiIN0fGTPZZw/edit?usp=sharing"",""สงขลา!Q560"")+IMPORTRANGE(""https://docs.google.com/spreadsheets/d/1q9nWasZJ-K8bFGvbE9n0qSRuKGA4Toe3Y89cKCiVtCU/edit?usp=sharing"",""สตูล!Q560"")+IMPORTRANGE(""https://docs.google.com/sprea"&amp;"dsheets/d/18T20gbkS_WBjdscyTOV05cvq_JqvqQ17C81mpxf7Ncs/edit?usp=sharing"",""สุราษฎร์ธานี!Q560"")"),0)</f>
        <v>0</v>
      </c>
      <c r="R560" s="47">
        <f ca="1">IFERROR(__xludf.DUMMYFUNCTION("IMPORTRANGE(""https://docs.google.com/spreadsheets/d/1kKUcYdkIfrgTSj8iHHHB2MD2FAtwyyocFgqGQn6ADyI/edit?usp=sharing"",""กระบี่!R560"")+IMPORTRANGE(""https://docs.google.com/spreadsheets/d/1GwtLaSlNZkLk7iDqcyZz22giiy40b_usZZBXYciEN1U/edit?usp=sharing"",""ชุ"&amp;"มพร!R560"")+IMPORTRANGE(""https://docs.google.com/spreadsheets/d/16pAz3pOhQEZBhvFNMa5KGgZS6iKWpsKX0pg6tQmwFpo/edit?usp=sharing"",""ตรัง!R560"")+IMPORTRANGE(""https://docs.google.com/spreadsheets/d/1Dj4jcHCTV9JXKCaMoheSXS52JE63kDKyG7bPXnFogHk/edit?usp=shar"&amp;"ing"",""นครศรีธรรมราช!R560"")+IMPORTRANGE(""https://docs.google.com/spreadsheets/d/1iodCdmuK2GR3jzUwk8tpccY2JHQQA-87DLOtJP-ooyU/edit?usp=sharing"",""นราธิวาส!R560"")+IMPORTRANGE(""https://docs.google.com/spreadsheets/d/1SDNX3JhDdYRuIOsj0Wh2M-Qa_eaXl0NbWmh"&amp;"AOTbfQAs/edit?usp=sharing"",""ปัตตานี!R560"")+IMPORTRANGE(""https://docs.google.com/spreadsheets/d/16JDLGguT8s5DsGCND1KcwHP_AWR_zDMTqLHPLJUKhaU/edit?usp=sharing"",""พังงา!R560"")+IMPORTRANGE(""https://docs.google.com/spreadsheets/d/17ht0gPKzzT3PObBL1XJkeR"&amp;"mntBXI7wGjpLV7QorqlTk/edit?usp=sharing"",""พัทลุง!R560"")+IMPORTRANGE(""https://docs.google.com/spreadsheets/d/1rd4qoM1q_hsgaolqNGfrim9gbsoLxQsda4-vOz5x_BM/edit?usp=sharing"",""ภูเก็ต!R560"")+IMPORTRANGE(""https://docs.google.com/spreadsheets/d/1woKwKjgoL"&amp;"ssDvPcPeVyezB5izizAn4X1JDrys69n6xI/edit?usp=sharing"",""ยะลา!R560"")+IMPORTRANGE(""https://docs.google.com/spreadsheets/d/1qfrKjzMhm2HJfxQ-qVlJlJQ25Hne1d0khsySbZyGtPA/edit?usp=sharing"",""ระนอง!R560"")+IMPORTRANGE(""https://docs.google.com/spreadsheets/d/"&amp;"1IbSCnFOKpZsnFogBHJnL_isstZVaOMnFiIN0fGTPZZw/edit?usp=sharing"",""สงขลา!R560"")+IMPORTRANGE(""https://docs.google.com/spreadsheets/d/1q9nWasZJ-K8bFGvbE9n0qSRuKGA4Toe3Y89cKCiVtCU/edit?usp=sharing"",""สตูล!R560"")+IMPORTRANGE(""https://docs.google.com/sprea"&amp;"dsheets/d/18T20gbkS_WBjdscyTOV05cvq_JqvqQ17C81mpxf7Ncs/edit?usp=sharing"",""สุราษฎร์ธานี!R560"")"),0)</f>
        <v>0</v>
      </c>
      <c r="S560" s="47">
        <f ca="1">IFERROR(__xludf.DUMMYFUNCTION("IMPORTRANGE(""https://docs.google.com/spreadsheets/d/1kKUcYdkIfrgTSj8iHHHB2MD2FAtwyyocFgqGQn6ADyI/edit?usp=sharing"",""กระบี่!S560"")+IMPORTRANGE(""https://docs.google.com/spreadsheets/d/1GwtLaSlNZkLk7iDqcyZz22giiy40b_usZZBXYciEN1U/edit?usp=sharing"",""ชุ"&amp;"มพร!S560"")+IMPORTRANGE(""https://docs.google.com/spreadsheets/d/16pAz3pOhQEZBhvFNMa5KGgZS6iKWpsKX0pg6tQmwFpo/edit?usp=sharing"",""ตรัง!S560"")+IMPORTRANGE(""https://docs.google.com/spreadsheets/d/1Dj4jcHCTV9JXKCaMoheSXS52JE63kDKyG7bPXnFogHk/edit?usp=shar"&amp;"ing"",""นครศรีธรรมราช!S560"")+IMPORTRANGE(""https://docs.google.com/spreadsheets/d/1iodCdmuK2GR3jzUwk8tpccY2JHQQA-87DLOtJP-ooyU/edit?usp=sharing"",""นราธิวาส!S560"")+IMPORTRANGE(""https://docs.google.com/spreadsheets/d/1SDNX3JhDdYRuIOsj0Wh2M-Qa_eaXl0NbWmh"&amp;"AOTbfQAs/edit?usp=sharing"",""ปัตตานี!S560"")+IMPORTRANGE(""https://docs.google.com/spreadsheets/d/16JDLGguT8s5DsGCND1KcwHP_AWR_zDMTqLHPLJUKhaU/edit?usp=sharing"",""พังงา!S560"")+IMPORTRANGE(""https://docs.google.com/spreadsheets/d/17ht0gPKzzT3PObBL1XJkeR"&amp;"mntBXI7wGjpLV7QorqlTk/edit?usp=sharing"",""พัทลุง!S560"")+IMPORTRANGE(""https://docs.google.com/spreadsheets/d/1rd4qoM1q_hsgaolqNGfrim9gbsoLxQsda4-vOz5x_BM/edit?usp=sharing"",""ภูเก็ต!S560"")+IMPORTRANGE(""https://docs.google.com/spreadsheets/d/1woKwKjgoL"&amp;"ssDvPcPeVyezB5izizAn4X1JDrys69n6xI/edit?usp=sharing"",""ยะลา!S560"")+IMPORTRANGE(""https://docs.google.com/spreadsheets/d/1qfrKjzMhm2HJfxQ-qVlJlJQ25Hne1d0khsySbZyGtPA/edit?usp=sharing"",""ระนอง!S560"")+IMPORTRANGE(""https://docs.google.com/spreadsheets/d/"&amp;"1IbSCnFOKpZsnFogBHJnL_isstZVaOMnFiIN0fGTPZZw/edit?usp=sharing"",""สงขลา!S560"")+IMPORTRANGE(""https://docs.google.com/spreadsheets/d/1q9nWasZJ-K8bFGvbE9n0qSRuKGA4Toe3Y89cKCiVtCU/edit?usp=sharing"",""สตูล!S560"")+IMPORTRANGE(""https://docs.google.com/sprea"&amp;"dsheets/d/18T20gbkS_WBjdscyTOV05cvq_JqvqQ17C81mpxf7Ncs/edit?usp=sharing"",""สุราษฎร์ธานี!S560"")"),0)</f>
        <v>0</v>
      </c>
      <c r="T560" s="47">
        <f t="shared" ca="1" si="397"/>
        <v>0</v>
      </c>
      <c r="U560" s="47">
        <f t="shared" ca="1" si="398"/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47">
        <f t="shared" ref="L561:N561" ca="1" si="405">L562+L563</f>
        <v>0</v>
      </c>
      <c r="M561" s="47">
        <f t="shared" ca="1" si="405"/>
        <v>0</v>
      </c>
      <c r="N561" s="47">
        <f t="shared" ca="1" si="405"/>
        <v>0</v>
      </c>
      <c r="O561" s="47">
        <f t="shared" ca="1" si="394"/>
        <v>0</v>
      </c>
      <c r="P561" s="47">
        <f t="shared" ca="1" si="395"/>
        <v>0</v>
      </c>
      <c r="Q561" s="47">
        <f t="shared" ref="Q561:S561" ca="1" si="406">Q562+Q563</f>
        <v>0</v>
      </c>
      <c r="R561" s="47">
        <f t="shared" ca="1" si="406"/>
        <v>0</v>
      </c>
      <c r="S561" s="47">
        <f t="shared" ca="1" si="406"/>
        <v>0</v>
      </c>
      <c r="T561" s="47">
        <f t="shared" ca="1" si="397"/>
        <v>0</v>
      </c>
      <c r="U561" s="47">
        <f t="shared" ca="1" si="398"/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49">
        <f ca="1">IFERROR(__xludf.DUMMYFUNCTION("IMPORTRANGE(""https://docs.google.com/spreadsheets/d/1kKUcYdkIfrgTSj8iHHHB2MD2FAtwyyocFgqGQn6ADyI/edit?usp=sharing"",""กระบี่!L562"")+IMPORTRANGE(""https://docs.google.com/spreadsheets/d/1GwtLaSlNZkLk7iDqcyZz22giiy40b_usZZBXYciEN1U/edit?usp=sharing"",""ชุ"&amp;"มพร!L562"")+IMPORTRANGE(""https://docs.google.com/spreadsheets/d/16pAz3pOhQEZBhvFNMa5KGgZS6iKWpsKX0pg6tQmwFpo/edit?usp=sharing"",""ตรัง!L562"")+IMPORTRANGE(""https://docs.google.com/spreadsheets/d/1Dj4jcHCTV9JXKCaMoheSXS52JE63kDKyG7bPXnFogHk/edit?usp=shar"&amp;"ing"",""นครศรีธรรมราช!L562"")+IMPORTRANGE(""https://docs.google.com/spreadsheets/d/1iodCdmuK2GR3jzUwk8tpccY2JHQQA-87DLOtJP-ooyU/edit?usp=sharing"",""นราธิวาส!L562"")+IMPORTRANGE(""https://docs.google.com/spreadsheets/d/1SDNX3JhDdYRuIOsj0Wh2M-Qa_eaXl0NbWmh"&amp;"AOTbfQAs/edit?usp=sharing"",""ปัตตานี!L562"")+IMPORTRANGE(""https://docs.google.com/spreadsheets/d/16JDLGguT8s5DsGCND1KcwHP_AWR_zDMTqLHPLJUKhaU/edit?usp=sharing"",""พังงา!L562"")+IMPORTRANGE(""https://docs.google.com/spreadsheets/d/17ht0gPKzzT3PObBL1XJkeR"&amp;"mntBXI7wGjpLV7QorqlTk/edit?usp=sharing"",""พัทลุง!L562"")+IMPORTRANGE(""https://docs.google.com/spreadsheets/d/1rd4qoM1q_hsgaolqNGfrim9gbsoLxQsda4-vOz5x_BM/edit?usp=sharing"",""ภูเก็ต!L562"")+IMPORTRANGE(""https://docs.google.com/spreadsheets/d/1woKwKjgoL"&amp;"ssDvPcPeVyezB5izizAn4X1JDrys69n6xI/edit?usp=sharing"",""ยะลา!L562"")+IMPORTRANGE(""https://docs.google.com/spreadsheets/d/1qfrKjzMhm2HJfxQ-qVlJlJQ25Hne1d0khsySbZyGtPA/edit?usp=sharing"",""ระนอง!L562"")+IMPORTRANGE(""https://docs.google.com/spreadsheets/d/"&amp;"1IbSCnFOKpZsnFogBHJnL_isstZVaOMnFiIN0fGTPZZw/edit?usp=sharing"",""สงขลา!L562"")+IMPORTRANGE(""https://docs.google.com/spreadsheets/d/1q9nWasZJ-K8bFGvbE9n0qSRuKGA4Toe3Y89cKCiVtCU/edit?usp=sharing"",""สตูล!L562"")+IMPORTRANGE(""https://docs.google.com/sprea"&amp;"dsheets/d/18T20gbkS_WBjdscyTOV05cvq_JqvqQ17C81mpxf7Ncs/edit?usp=sharing"",""สุราษฎร์ธานี!L562"")"),0)</f>
        <v>0</v>
      </c>
      <c r="M562" s="49">
        <f ca="1">IFERROR(__xludf.DUMMYFUNCTION("IMPORTRANGE(""https://docs.google.com/spreadsheets/d/1kKUcYdkIfrgTSj8iHHHB2MD2FAtwyyocFgqGQn6ADyI/edit?usp=sharing"",""กระบี่!M562"")+IMPORTRANGE(""https://docs.google.com/spreadsheets/d/1GwtLaSlNZkLk7iDqcyZz22giiy40b_usZZBXYciEN1U/edit?usp=sharing"",""ชุ"&amp;"มพร!M562"")+IMPORTRANGE(""https://docs.google.com/spreadsheets/d/16pAz3pOhQEZBhvFNMa5KGgZS6iKWpsKX0pg6tQmwFpo/edit?usp=sharing"",""ตรัง!M562"")+IMPORTRANGE(""https://docs.google.com/spreadsheets/d/1Dj4jcHCTV9JXKCaMoheSXS52JE63kDKyG7bPXnFogHk/edit?usp=shar"&amp;"ing"",""นครศรีธรรมราช!M562"")+IMPORTRANGE(""https://docs.google.com/spreadsheets/d/1iodCdmuK2GR3jzUwk8tpccY2JHQQA-87DLOtJP-ooyU/edit?usp=sharing"",""นราธิวาส!M562"")+IMPORTRANGE(""https://docs.google.com/spreadsheets/d/1SDNX3JhDdYRuIOsj0Wh2M-Qa_eaXl0NbWmh"&amp;"AOTbfQAs/edit?usp=sharing"",""ปัตตานี!M562"")+IMPORTRANGE(""https://docs.google.com/spreadsheets/d/16JDLGguT8s5DsGCND1KcwHP_AWR_zDMTqLHPLJUKhaU/edit?usp=sharing"",""พังงา!M562"")+IMPORTRANGE(""https://docs.google.com/spreadsheets/d/17ht0gPKzzT3PObBL1XJkeR"&amp;"mntBXI7wGjpLV7QorqlTk/edit?usp=sharing"",""พัทลุง!M562"")+IMPORTRANGE(""https://docs.google.com/spreadsheets/d/1rd4qoM1q_hsgaolqNGfrim9gbsoLxQsda4-vOz5x_BM/edit?usp=sharing"",""ภูเก็ต!M562"")+IMPORTRANGE(""https://docs.google.com/spreadsheets/d/1woKwKjgoL"&amp;"ssDvPcPeVyezB5izizAn4X1JDrys69n6xI/edit?usp=sharing"",""ยะลา!M562"")+IMPORTRANGE(""https://docs.google.com/spreadsheets/d/1qfrKjzMhm2HJfxQ-qVlJlJQ25Hne1d0khsySbZyGtPA/edit?usp=sharing"",""ระนอง!M562"")+IMPORTRANGE(""https://docs.google.com/spreadsheets/d/"&amp;"1IbSCnFOKpZsnFogBHJnL_isstZVaOMnFiIN0fGTPZZw/edit?usp=sharing"",""สงขลา!M562"")+IMPORTRANGE(""https://docs.google.com/spreadsheets/d/1q9nWasZJ-K8bFGvbE9n0qSRuKGA4Toe3Y89cKCiVtCU/edit?usp=sharing"",""สตูล!M562"")+IMPORTRANGE(""https://docs.google.com/sprea"&amp;"dsheets/d/18T20gbkS_WBjdscyTOV05cvq_JqvqQ17C81mpxf7Ncs/edit?usp=sharing"",""สุราษฎร์ธานี!M562"")"),0)</f>
        <v>0</v>
      </c>
      <c r="N562" s="49">
        <f ca="1">IFERROR(__xludf.DUMMYFUNCTION("IMPORTRANGE(""https://docs.google.com/spreadsheets/d/1kKUcYdkIfrgTSj8iHHHB2MD2FAtwyyocFgqGQn6ADyI/edit?usp=sharing"",""กระบี่!N562"")+IMPORTRANGE(""https://docs.google.com/spreadsheets/d/1GwtLaSlNZkLk7iDqcyZz22giiy40b_usZZBXYciEN1U/edit?usp=sharing"",""ชุ"&amp;"มพร!N562"")+IMPORTRANGE(""https://docs.google.com/spreadsheets/d/16pAz3pOhQEZBhvFNMa5KGgZS6iKWpsKX0pg6tQmwFpo/edit?usp=sharing"",""ตรัง!N562"")+IMPORTRANGE(""https://docs.google.com/spreadsheets/d/1Dj4jcHCTV9JXKCaMoheSXS52JE63kDKyG7bPXnFogHk/edit?usp=shar"&amp;"ing"",""นครศรีธรรมราช!N562"")+IMPORTRANGE(""https://docs.google.com/spreadsheets/d/1iodCdmuK2GR3jzUwk8tpccY2JHQQA-87DLOtJP-ooyU/edit?usp=sharing"",""นราธิวาส!N562"")+IMPORTRANGE(""https://docs.google.com/spreadsheets/d/1SDNX3JhDdYRuIOsj0Wh2M-Qa_eaXl0NbWmh"&amp;"AOTbfQAs/edit?usp=sharing"",""ปัตตานี!N562"")+IMPORTRANGE(""https://docs.google.com/spreadsheets/d/16JDLGguT8s5DsGCND1KcwHP_AWR_zDMTqLHPLJUKhaU/edit?usp=sharing"",""พังงา!N562"")+IMPORTRANGE(""https://docs.google.com/spreadsheets/d/17ht0gPKzzT3PObBL1XJkeR"&amp;"mntBXI7wGjpLV7QorqlTk/edit?usp=sharing"",""พัทลุง!N562"")+IMPORTRANGE(""https://docs.google.com/spreadsheets/d/1rd4qoM1q_hsgaolqNGfrim9gbsoLxQsda4-vOz5x_BM/edit?usp=sharing"",""ภูเก็ต!N562"")+IMPORTRANGE(""https://docs.google.com/spreadsheets/d/1woKwKjgoL"&amp;"ssDvPcPeVyezB5izizAn4X1JDrys69n6xI/edit?usp=sharing"",""ยะลา!N562"")+IMPORTRANGE(""https://docs.google.com/spreadsheets/d/1qfrKjzMhm2HJfxQ-qVlJlJQ25Hne1d0khsySbZyGtPA/edit?usp=sharing"",""ระนอง!N562"")+IMPORTRANGE(""https://docs.google.com/spreadsheets/d/"&amp;"1IbSCnFOKpZsnFogBHJnL_isstZVaOMnFiIN0fGTPZZw/edit?usp=sharing"",""สงขลา!N562"")+IMPORTRANGE(""https://docs.google.com/spreadsheets/d/1q9nWasZJ-K8bFGvbE9n0qSRuKGA4Toe3Y89cKCiVtCU/edit?usp=sharing"",""สตูล!N562"")+IMPORTRANGE(""https://docs.google.com/sprea"&amp;"dsheets/d/18T20gbkS_WBjdscyTOV05cvq_JqvqQ17C81mpxf7Ncs/edit?usp=sharing"",""สุราษฎร์ธานี!N562"")"),0)</f>
        <v>0</v>
      </c>
      <c r="O562" s="49">
        <f t="shared" ca="1" si="394"/>
        <v>0</v>
      </c>
      <c r="P562" s="49">
        <f t="shared" ca="1" si="395"/>
        <v>0</v>
      </c>
      <c r="Q562" s="49">
        <f ca="1">IFERROR(__xludf.DUMMYFUNCTION("IMPORTRANGE(""https://docs.google.com/spreadsheets/d/1kKUcYdkIfrgTSj8iHHHB2MD2FAtwyyocFgqGQn6ADyI/edit?usp=sharing"",""กระบี่!Q562"")+IMPORTRANGE(""https://docs.google.com/spreadsheets/d/1GwtLaSlNZkLk7iDqcyZz22giiy40b_usZZBXYciEN1U/edit?usp=sharing"",""ชุ"&amp;"มพร!Q562"")+IMPORTRANGE(""https://docs.google.com/spreadsheets/d/16pAz3pOhQEZBhvFNMa5KGgZS6iKWpsKX0pg6tQmwFpo/edit?usp=sharing"",""ตรัง!Q562"")+IMPORTRANGE(""https://docs.google.com/spreadsheets/d/1Dj4jcHCTV9JXKCaMoheSXS52JE63kDKyG7bPXnFogHk/edit?usp=shar"&amp;"ing"",""นครศรีธรรมราช!Q562"")+IMPORTRANGE(""https://docs.google.com/spreadsheets/d/1iodCdmuK2GR3jzUwk8tpccY2JHQQA-87DLOtJP-ooyU/edit?usp=sharing"",""นราธิวาส!Q562"")+IMPORTRANGE(""https://docs.google.com/spreadsheets/d/1SDNX3JhDdYRuIOsj0Wh2M-Qa_eaXl0NbWmh"&amp;"AOTbfQAs/edit?usp=sharing"",""ปัตตานี!Q562"")+IMPORTRANGE(""https://docs.google.com/spreadsheets/d/16JDLGguT8s5DsGCND1KcwHP_AWR_zDMTqLHPLJUKhaU/edit?usp=sharing"",""พังงา!Q562"")+IMPORTRANGE(""https://docs.google.com/spreadsheets/d/17ht0gPKzzT3PObBL1XJkeR"&amp;"mntBXI7wGjpLV7QorqlTk/edit?usp=sharing"",""พัทลุง!Q562"")+IMPORTRANGE(""https://docs.google.com/spreadsheets/d/1rd4qoM1q_hsgaolqNGfrim9gbsoLxQsda4-vOz5x_BM/edit?usp=sharing"",""ภูเก็ต!Q562"")+IMPORTRANGE(""https://docs.google.com/spreadsheets/d/1woKwKjgoL"&amp;"ssDvPcPeVyezB5izizAn4X1JDrys69n6xI/edit?usp=sharing"",""ยะลา!Q562"")+IMPORTRANGE(""https://docs.google.com/spreadsheets/d/1qfrKjzMhm2HJfxQ-qVlJlJQ25Hne1d0khsySbZyGtPA/edit?usp=sharing"",""ระนอง!Q562"")+IMPORTRANGE(""https://docs.google.com/spreadsheets/d/"&amp;"1IbSCnFOKpZsnFogBHJnL_isstZVaOMnFiIN0fGTPZZw/edit?usp=sharing"",""สงขลา!Q562"")+IMPORTRANGE(""https://docs.google.com/spreadsheets/d/1q9nWasZJ-K8bFGvbE9n0qSRuKGA4Toe3Y89cKCiVtCU/edit?usp=sharing"",""สตูล!Q562"")+IMPORTRANGE(""https://docs.google.com/sprea"&amp;"dsheets/d/18T20gbkS_WBjdscyTOV05cvq_JqvqQ17C81mpxf7Ncs/edit?usp=sharing"",""สุราษฎร์ธานี!Q562"")"),0)</f>
        <v>0</v>
      </c>
      <c r="R562" s="49">
        <f ca="1">IFERROR(__xludf.DUMMYFUNCTION("IMPORTRANGE(""https://docs.google.com/spreadsheets/d/1kKUcYdkIfrgTSj8iHHHB2MD2FAtwyyocFgqGQn6ADyI/edit?usp=sharing"",""กระบี่!R562"")+IMPORTRANGE(""https://docs.google.com/spreadsheets/d/1GwtLaSlNZkLk7iDqcyZz22giiy40b_usZZBXYciEN1U/edit?usp=sharing"",""ชุ"&amp;"มพร!R562"")+IMPORTRANGE(""https://docs.google.com/spreadsheets/d/16pAz3pOhQEZBhvFNMa5KGgZS6iKWpsKX0pg6tQmwFpo/edit?usp=sharing"",""ตรัง!R562"")+IMPORTRANGE(""https://docs.google.com/spreadsheets/d/1Dj4jcHCTV9JXKCaMoheSXS52JE63kDKyG7bPXnFogHk/edit?usp=shar"&amp;"ing"",""นครศรีธรรมราช!R562"")+IMPORTRANGE(""https://docs.google.com/spreadsheets/d/1iodCdmuK2GR3jzUwk8tpccY2JHQQA-87DLOtJP-ooyU/edit?usp=sharing"",""นราธิวาส!R562"")+IMPORTRANGE(""https://docs.google.com/spreadsheets/d/1SDNX3JhDdYRuIOsj0Wh2M-Qa_eaXl0NbWmh"&amp;"AOTbfQAs/edit?usp=sharing"",""ปัตตานี!R562"")+IMPORTRANGE(""https://docs.google.com/spreadsheets/d/16JDLGguT8s5DsGCND1KcwHP_AWR_zDMTqLHPLJUKhaU/edit?usp=sharing"",""พังงา!R562"")+IMPORTRANGE(""https://docs.google.com/spreadsheets/d/17ht0gPKzzT3PObBL1XJkeR"&amp;"mntBXI7wGjpLV7QorqlTk/edit?usp=sharing"",""พัทลุง!R562"")+IMPORTRANGE(""https://docs.google.com/spreadsheets/d/1rd4qoM1q_hsgaolqNGfrim9gbsoLxQsda4-vOz5x_BM/edit?usp=sharing"",""ภูเก็ต!R562"")+IMPORTRANGE(""https://docs.google.com/spreadsheets/d/1woKwKjgoL"&amp;"ssDvPcPeVyezB5izizAn4X1JDrys69n6xI/edit?usp=sharing"",""ยะลา!R562"")+IMPORTRANGE(""https://docs.google.com/spreadsheets/d/1qfrKjzMhm2HJfxQ-qVlJlJQ25Hne1d0khsySbZyGtPA/edit?usp=sharing"",""ระนอง!R562"")+IMPORTRANGE(""https://docs.google.com/spreadsheets/d/"&amp;"1IbSCnFOKpZsnFogBHJnL_isstZVaOMnFiIN0fGTPZZw/edit?usp=sharing"",""สงขลา!R562"")+IMPORTRANGE(""https://docs.google.com/spreadsheets/d/1q9nWasZJ-K8bFGvbE9n0qSRuKGA4Toe3Y89cKCiVtCU/edit?usp=sharing"",""สตูล!R562"")+IMPORTRANGE(""https://docs.google.com/sprea"&amp;"dsheets/d/18T20gbkS_WBjdscyTOV05cvq_JqvqQ17C81mpxf7Ncs/edit?usp=sharing"",""สุราษฎร์ธานี!R562"")"),0)</f>
        <v>0</v>
      </c>
      <c r="S562" s="49">
        <f ca="1">IFERROR(__xludf.DUMMYFUNCTION("IMPORTRANGE(""https://docs.google.com/spreadsheets/d/1kKUcYdkIfrgTSj8iHHHB2MD2FAtwyyocFgqGQn6ADyI/edit?usp=sharing"",""กระบี่!S562"")+IMPORTRANGE(""https://docs.google.com/spreadsheets/d/1GwtLaSlNZkLk7iDqcyZz22giiy40b_usZZBXYciEN1U/edit?usp=sharing"",""ชุ"&amp;"มพร!S562"")+IMPORTRANGE(""https://docs.google.com/spreadsheets/d/16pAz3pOhQEZBhvFNMa5KGgZS6iKWpsKX0pg6tQmwFpo/edit?usp=sharing"",""ตรัง!S562"")+IMPORTRANGE(""https://docs.google.com/spreadsheets/d/1Dj4jcHCTV9JXKCaMoheSXS52JE63kDKyG7bPXnFogHk/edit?usp=shar"&amp;"ing"",""นครศรีธรรมราช!S562"")+IMPORTRANGE(""https://docs.google.com/spreadsheets/d/1iodCdmuK2GR3jzUwk8tpccY2JHQQA-87DLOtJP-ooyU/edit?usp=sharing"",""นราธิวาส!S562"")+IMPORTRANGE(""https://docs.google.com/spreadsheets/d/1SDNX3JhDdYRuIOsj0Wh2M-Qa_eaXl0NbWmh"&amp;"AOTbfQAs/edit?usp=sharing"",""ปัตตานี!S562"")+IMPORTRANGE(""https://docs.google.com/spreadsheets/d/16JDLGguT8s5DsGCND1KcwHP_AWR_zDMTqLHPLJUKhaU/edit?usp=sharing"",""พังงา!S562"")+IMPORTRANGE(""https://docs.google.com/spreadsheets/d/17ht0gPKzzT3PObBL1XJkeR"&amp;"mntBXI7wGjpLV7QorqlTk/edit?usp=sharing"",""พัทลุง!S562"")+IMPORTRANGE(""https://docs.google.com/spreadsheets/d/1rd4qoM1q_hsgaolqNGfrim9gbsoLxQsda4-vOz5x_BM/edit?usp=sharing"",""ภูเก็ต!S562"")+IMPORTRANGE(""https://docs.google.com/spreadsheets/d/1woKwKjgoL"&amp;"ssDvPcPeVyezB5izizAn4X1JDrys69n6xI/edit?usp=sharing"",""ยะลา!S562"")+IMPORTRANGE(""https://docs.google.com/spreadsheets/d/1qfrKjzMhm2HJfxQ-qVlJlJQ25Hne1d0khsySbZyGtPA/edit?usp=sharing"",""ระนอง!S562"")+IMPORTRANGE(""https://docs.google.com/spreadsheets/d/"&amp;"1IbSCnFOKpZsnFogBHJnL_isstZVaOMnFiIN0fGTPZZw/edit?usp=sharing"",""สงขลา!S562"")+IMPORTRANGE(""https://docs.google.com/spreadsheets/d/1q9nWasZJ-K8bFGvbE9n0qSRuKGA4Toe3Y89cKCiVtCU/edit?usp=sharing"",""สตูล!S562"")+IMPORTRANGE(""https://docs.google.com/sprea"&amp;"dsheets/d/18T20gbkS_WBjdscyTOV05cvq_JqvqQ17C81mpxf7Ncs/edit?usp=sharing"",""สุราษฎร์ธานี!S562"")"),0)</f>
        <v>0</v>
      </c>
      <c r="T562" s="49">
        <f t="shared" ca="1" si="397"/>
        <v>0</v>
      </c>
      <c r="U562" s="49">
        <f t="shared" ca="1" si="398"/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47">
        <f ca="1">IFERROR(__xludf.DUMMYFUNCTION("IMPORTRANGE(""https://docs.google.com/spreadsheets/d/1kKUcYdkIfrgTSj8iHHHB2MD2FAtwyyocFgqGQn6ADyI/edit?usp=sharing"",""กระบี่!L563"")+IMPORTRANGE(""https://docs.google.com/spreadsheets/d/1GwtLaSlNZkLk7iDqcyZz22giiy40b_usZZBXYciEN1U/edit?usp=sharing"",""ชุ"&amp;"มพร!L563"")+IMPORTRANGE(""https://docs.google.com/spreadsheets/d/16pAz3pOhQEZBhvFNMa5KGgZS6iKWpsKX0pg6tQmwFpo/edit?usp=sharing"",""ตรัง!L563"")+IMPORTRANGE(""https://docs.google.com/spreadsheets/d/1Dj4jcHCTV9JXKCaMoheSXS52JE63kDKyG7bPXnFogHk/edit?usp=shar"&amp;"ing"",""นครศรีธรรมราช!L563"")+IMPORTRANGE(""https://docs.google.com/spreadsheets/d/1iodCdmuK2GR3jzUwk8tpccY2JHQQA-87DLOtJP-ooyU/edit?usp=sharing"",""นราธิวาส!L563"")+IMPORTRANGE(""https://docs.google.com/spreadsheets/d/1SDNX3JhDdYRuIOsj0Wh2M-Qa_eaXl0NbWmh"&amp;"AOTbfQAs/edit?usp=sharing"",""ปัตตานี!L563"")+IMPORTRANGE(""https://docs.google.com/spreadsheets/d/16JDLGguT8s5DsGCND1KcwHP_AWR_zDMTqLHPLJUKhaU/edit?usp=sharing"",""พังงา!L563"")+IMPORTRANGE(""https://docs.google.com/spreadsheets/d/17ht0gPKzzT3PObBL1XJkeR"&amp;"mntBXI7wGjpLV7QorqlTk/edit?usp=sharing"",""พัทลุง!L563"")+IMPORTRANGE(""https://docs.google.com/spreadsheets/d/1rd4qoM1q_hsgaolqNGfrim9gbsoLxQsda4-vOz5x_BM/edit?usp=sharing"",""ภูเก็ต!L563"")+IMPORTRANGE(""https://docs.google.com/spreadsheets/d/1woKwKjgoL"&amp;"ssDvPcPeVyezB5izizAn4X1JDrys69n6xI/edit?usp=sharing"",""ยะลา!L563"")+IMPORTRANGE(""https://docs.google.com/spreadsheets/d/1qfrKjzMhm2HJfxQ-qVlJlJQ25Hne1d0khsySbZyGtPA/edit?usp=sharing"",""ระนอง!L563"")+IMPORTRANGE(""https://docs.google.com/spreadsheets/d/"&amp;"1IbSCnFOKpZsnFogBHJnL_isstZVaOMnFiIN0fGTPZZw/edit?usp=sharing"",""สงขลา!L563"")+IMPORTRANGE(""https://docs.google.com/spreadsheets/d/1q9nWasZJ-K8bFGvbE9n0qSRuKGA4Toe3Y89cKCiVtCU/edit?usp=sharing"",""สตูล!L563"")+IMPORTRANGE(""https://docs.google.com/sprea"&amp;"dsheets/d/18T20gbkS_WBjdscyTOV05cvq_JqvqQ17C81mpxf7Ncs/edit?usp=sharing"",""สุราษฎร์ธานี!L563"")"),0)</f>
        <v>0</v>
      </c>
      <c r="M563" s="47">
        <f ca="1">IFERROR(__xludf.DUMMYFUNCTION("IMPORTRANGE(""https://docs.google.com/spreadsheets/d/1kKUcYdkIfrgTSj8iHHHB2MD2FAtwyyocFgqGQn6ADyI/edit?usp=sharing"",""กระบี่!M563"")+IMPORTRANGE(""https://docs.google.com/spreadsheets/d/1GwtLaSlNZkLk7iDqcyZz22giiy40b_usZZBXYciEN1U/edit?usp=sharing"",""ชุ"&amp;"มพร!M563"")+IMPORTRANGE(""https://docs.google.com/spreadsheets/d/16pAz3pOhQEZBhvFNMa5KGgZS6iKWpsKX0pg6tQmwFpo/edit?usp=sharing"",""ตรัง!M563"")+IMPORTRANGE(""https://docs.google.com/spreadsheets/d/1Dj4jcHCTV9JXKCaMoheSXS52JE63kDKyG7bPXnFogHk/edit?usp=shar"&amp;"ing"",""นครศรีธรรมราช!M563"")+IMPORTRANGE(""https://docs.google.com/spreadsheets/d/1iodCdmuK2GR3jzUwk8tpccY2JHQQA-87DLOtJP-ooyU/edit?usp=sharing"",""นราธิวาส!M563"")+IMPORTRANGE(""https://docs.google.com/spreadsheets/d/1SDNX3JhDdYRuIOsj0Wh2M-Qa_eaXl0NbWmh"&amp;"AOTbfQAs/edit?usp=sharing"",""ปัตตานี!M563"")+IMPORTRANGE(""https://docs.google.com/spreadsheets/d/16JDLGguT8s5DsGCND1KcwHP_AWR_zDMTqLHPLJUKhaU/edit?usp=sharing"",""พังงา!M563"")+IMPORTRANGE(""https://docs.google.com/spreadsheets/d/17ht0gPKzzT3PObBL1XJkeR"&amp;"mntBXI7wGjpLV7QorqlTk/edit?usp=sharing"",""พัทลุง!M563"")+IMPORTRANGE(""https://docs.google.com/spreadsheets/d/1rd4qoM1q_hsgaolqNGfrim9gbsoLxQsda4-vOz5x_BM/edit?usp=sharing"",""ภูเก็ต!M563"")+IMPORTRANGE(""https://docs.google.com/spreadsheets/d/1woKwKjgoL"&amp;"ssDvPcPeVyezB5izizAn4X1JDrys69n6xI/edit?usp=sharing"",""ยะลา!M563"")+IMPORTRANGE(""https://docs.google.com/spreadsheets/d/1qfrKjzMhm2HJfxQ-qVlJlJQ25Hne1d0khsySbZyGtPA/edit?usp=sharing"",""ระนอง!M563"")+IMPORTRANGE(""https://docs.google.com/spreadsheets/d/"&amp;"1IbSCnFOKpZsnFogBHJnL_isstZVaOMnFiIN0fGTPZZw/edit?usp=sharing"",""สงขลา!M563"")+IMPORTRANGE(""https://docs.google.com/spreadsheets/d/1q9nWasZJ-K8bFGvbE9n0qSRuKGA4Toe3Y89cKCiVtCU/edit?usp=sharing"",""สตูล!M563"")+IMPORTRANGE(""https://docs.google.com/sprea"&amp;"dsheets/d/18T20gbkS_WBjdscyTOV05cvq_JqvqQ17C81mpxf7Ncs/edit?usp=sharing"",""สุราษฎร์ธานี!M563"")"),0)</f>
        <v>0</v>
      </c>
      <c r="N563" s="47">
        <f ca="1">IFERROR(__xludf.DUMMYFUNCTION("IMPORTRANGE(""https://docs.google.com/spreadsheets/d/1kKUcYdkIfrgTSj8iHHHB2MD2FAtwyyocFgqGQn6ADyI/edit?usp=sharing"",""กระบี่!N563"")+IMPORTRANGE(""https://docs.google.com/spreadsheets/d/1GwtLaSlNZkLk7iDqcyZz22giiy40b_usZZBXYciEN1U/edit?usp=sharing"",""ชุ"&amp;"มพร!N563"")+IMPORTRANGE(""https://docs.google.com/spreadsheets/d/16pAz3pOhQEZBhvFNMa5KGgZS6iKWpsKX0pg6tQmwFpo/edit?usp=sharing"",""ตรัง!N563"")+IMPORTRANGE(""https://docs.google.com/spreadsheets/d/1Dj4jcHCTV9JXKCaMoheSXS52JE63kDKyG7bPXnFogHk/edit?usp=shar"&amp;"ing"",""นครศรีธรรมราช!N563"")+IMPORTRANGE(""https://docs.google.com/spreadsheets/d/1iodCdmuK2GR3jzUwk8tpccY2JHQQA-87DLOtJP-ooyU/edit?usp=sharing"",""นราธิวาส!N563"")+IMPORTRANGE(""https://docs.google.com/spreadsheets/d/1SDNX3JhDdYRuIOsj0Wh2M-Qa_eaXl0NbWmh"&amp;"AOTbfQAs/edit?usp=sharing"",""ปัตตานี!N563"")+IMPORTRANGE(""https://docs.google.com/spreadsheets/d/16JDLGguT8s5DsGCND1KcwHP_AWR_zDMTqLHPLJUKhaU/edit?usp=sharing"",""พังงา!N563"")+IMPORTRANGE(""https://docs.google.com/spreadsheets/d/17ht0gPKzzT3PObBL1XJkeR"&amp;"mntBXI7wGjpLV7QorqlTk/edit?usp=sharing"",""พัทลุง!N563"")+IMPORTRANGE(""https://docs.google.com/spreadsheets/d/1rd4qoM1q_hsgaolqNGfrim9gbsoLxQsda4-vOz5x_BM/edit?usp=sharing"",""ภูเก็ต!N563"")+IMPORTRANGE(""https://docs.google.com/spreadsheets/d/1woKwKjgoL"&amp;"ssDvPcPeVyezB5izizAn4X1JDrys69n6xI/edit?usp=sharing"",""ยะลา!N563"")+IMPORTRANGE(""https://docs.google.com/spreadsheets/d/1qfrKjzMhm2HJfxQ-qVlJlJQ25Hne1d0khsySbZyGtPA/edit?usp=sharing"",""ระนอง!N563"")+IMPORTRANGE(""https://docs.google.com/spreadsheets/d/"&amp;"1IbSCnFOKpZsnFogBHJnL_isstZVaOMnFiIN0fGTPZZw/edit?usp=sharing"",""สงขลา!N563"")+IMPORTRANGE(""https://docs.google.com/spreadsheets/d/1q9nWasZJ-K8bFGvbE9n0qSRuKGA4Toe3Y89cKCiVtCU/edit?usp=sharing"",""สตูล!N563"")+IMPORTRANGE(""https://docs.google.com/sprea"&amp;"dsheets/d/18T20gbkS_WBjdscyTOV05cvq_JqvqQ17C81mpxf7Ncs/edit?usp=sharing"",""สุราษฎร์ธานี!N563"")"),0)</f>
        <v>0</v>
      </c>
      <c r="O563" s="47">
        <f t="shared" ca="1" si="394"/>
        <v>0</v>
      </c>
      <c r="P563" s="47">
        <f t="shared" ca="1" si="395"/>
        <v>0</v>
      </c>
      <c r="Q563" s="47">
        <f ca="1">IFERROR(__xludf.DUMMYFUNCTION("IMPORTRANGE(""https://docs.google.com/spreadsheets/d/1kKUcYdkIfrgTSj8iHHHB2MD2FAtwyyocFgqGQn6ADyI/edit?usp=sharing"",""กระบี่!Q563"")+IMPORTRANGE(""https://docs.google.com/spreadsheets/d/1GwtLaSlNZkLk7iDqcyZz22giiy40b_usZZBXYciEN1U/edit?usp=sharing"",""ชุ"&amp;"มพร!Q563"")+IMPORTRANGE(""https://docs.google.com/spreadsheets/d/16pAz3pOhQEZBhvFNMa5KGgZS6iKWpsKX0pg6tQmwFpo/edit?usp=sharing"",""ตรัง!Q563"")+IMPORTRANGE(""https://docs.google.com/spreadsheets/d/1Dj4jcHCTV9JXKCaMoheSXS52JE63kDKyG7bPXnFogHk/edit?usp=shar"&amp;"ing"",""นครศรีธรรมราช!Q563"")+IMPORTRANGE(""https://docs.google.com/spreadsheets/d/1iodCdmuK2GR3jzUwk8tpccY2JHQQA-87DLOtJP-ooyU/edit?usp=sharing"",""นราธิวาส!Q563"")+IMPORTRANGE(""https://docs.google.com/spreadsheets/d/1SDNX3JhDdYRuIOsj0Wh2M-Qa_eaXl0NbWmh"&amp;"AOTbfQAs/edit?usp=sharing"",""ปัตตานี!Q563"")+IMPORTRANGE(""https://docs.google.com/spreadsheets/d/16JDLGguT8s5DsGCND1KcwHP_AWR_zDMTqLHPLJUKhaU/edit?usp=sharing"",""พังงา!Q563"")+IMPORTRANGE(""https://docs.google.com/spreadsheets/d/17ht0gPKzzT3PObBL1XJkeR"&amp;"mntBXI7wGjpLV7QorqlTk/edit?usp=sharing"",""พัทลุง!Q563"")+IMPORTRANGE(""https://docs.google.com/spreadsheets/d/1rd4qoM1q_hsgaolqNGfrim9gbsoLxQsda4-vOz5x_BM/edit?usp=sharing"",""ภูเก็ต!Q563"")+IMPORTRANGE(""https://docs.google.com/spreadsheets/d/1woKwKjgoL"&amp;"ssDvPcPeVyezB5izizAn4X1JDrys69n6xI/edit?usp=sharing"",""ยะลา!Q563"")+IMPORTRANGE(""https://docs.google.com/spreadsheets/d/1qfrKjzMhm2HJfxQ-qVlJlJQ25Hne1d0khsySbZyGtPA/edit?usp=sharing"",""ระนอง!Q563"")+IMPORTRANGE(""https://docs.google.com/spreadsheets/d/"&amp;"1IbSCnFOKpZsnFogBHJnL_isstZVaOMnFiIN0fGTPZZw/edit?usp=sharing"",""สงขลา!Q563"")+IMPORTRANGE(""https://docs.google.com/spreadsheets/d/1q9nWasZJ-K8bFGvbE9n0qSRuKGA4Toe3Y89cKCiVtCU/edit?usp=sharing"",""สตูล!Q563"")+IMPORTRANGE(""https://docs.google.com/sprea"&amp;"dsheets/d/18T20gbkS_WBjdscyTOV05cvq_JqvqQ17C81mpxf7Ncs/edit?usp=sharing"",""สุราษฎร์ธานี!Q563"")"),0)</f>
        <v>0</v>
      </c>
      <c r="R563" s="47">
        <f ca="1">IFERROR(__xludf.DUMMYFUNCTION("IMPORTRANGE(""https://docs.google.com/spreadsheets/d/1kKUcYdkIfrgTSj8iHHHB2MD2FAtwyyocFgqGQn6ADyI/edit?usp=sharing"",""กระบี่!R563"")+IMPORTRANGE(""https://docs.google.com/spreadsheets/d/1GwtLaSlNZkLk7iDqcyZz22giiy40b_usZZBXYciEN1U/edit?usp=sharing"",""ชุ"&amp;"มพร!R563"")+IMPORTRANGE(""https://docs.google.com/spreadsheets/d/16pAz3pOhQEZBhvFNMa5KGgZS6iKWpsKX0pg6tQmwFpo/edit?usp=sharing"",""ตรัง!R563"")+IMPORTRANGE(""https://docs.google.com/spreadsheets/d/1Dj4jcHCTV9JXKCaMoheSXS52JE63kDKyG7bPXnFogHk/edit?usp=shar"&amp;"ing"",""นครศรีธรรมราช!R563"")+IMPORTRANGE(""https://docs.google.com/spreadsheets/d/1iodCdmuK2GR3jzUwk8tpccY2JHQQA-87DLOtJP-ooyU/edit?usp=sharing"",""นราธิวาส!R563"")+IMPORTRANGE(""https://docs.google.com/spreadsheets/d/1SDNX3JhDdYRuIOsj0Wh2M-Qa_eaXl0NbWmh"&amp;"AOTbfQAs/edit?usp=sharing"",""ปัตตานี!R563"")+IMPORTRANGE(""https://docs.google.com/spreadsheets/d/16JDLGguT8s5DsGCND1KcwHP_AWR_zDMTqLHPLJUKhaU/edit?usp=sharing"",""พังงา!R563"")+IMPORTRANGE(""https://docs.google.com/spreadsheets/d/17ht0gPKzzT3PObBL1XJkeR"&amp;"mntBXI7wGjpLV7QorqlTk/edit?usp=sharing"",""พัทลุง!R563"")+IMPORTRANGE(""https://docs.google.com/spreadsheets/d/1rd4qoM1q_hsgaolqNGfrim9gbsoLxQsda4-vOz5x_BM/edit?usp=sharing"",""ภูเก็ต!R563"")+IMPORTRANGE(""https://docs.google.com/spreadsheets/d/1woKwKjgoL"&amp;"ssDvPcPeVyezB5izizAn4X1JDrys69n6xI/edit?usp=sharing"",""ยะลา!R563"")+IMPORTRANGE(""https://docs.google.com/spreadsheets/d/1qfrKjzMhm2HJfxQ-qVlJlJQ25Hne1d0khsySbZyGtPA/edit?usp=sharing"",""ระนอง!R563"")+IMPORTRANGE(""https://docs.google.com/spreadsheets/d/"&amp;"1IbSCnFOKpZsnFogBHJnL_isstZVaOMnFiIN0fGTPZZw/edit?usp=sharing"",""สงขลา!R563"")+IMPORTRANGE(""https://docs.google.com/spreadsheets/d/1q9nWasZJ-K8bFGvbE9n0qSRuKGA4Toe3Y89cKCiVtCU/edit?usp=sharing"",""สตูล!R563"")+IMPORTRANGE(""https://docs.google.com/sprea"&amp;"dsheets/d/18T20gbkS_WBjdscyTOV05cvq_JqvqQ17C81mpxf7Ncs/edit?usp=sharing"",""สุราษฎร์ธานี!R563"")"),0)</f>
        <v>0</v>
      </c>
      <c r="S563" s="47">
        <f ca="1">IFERROR(__xludf.DUMMYFUNCTION("IMPORTRANGE(""https://docs.google.com/spreadsheets/d/1kKUcYdkIfrgTSj8iHHHB2MD2FAtwyyocFgqGQn6ADyI/edit?usp=sharing"",""กระบี่!S563"")+IMPORTRANGE(""https://docs.google.com/spreadsheets/d/1GwtLaSlNZkLk7iDqcyZz22giiy40b_usZZBXYciEN1U/edit?usp=sharing"",""ชุ"&amp;"มพร!S563"")+IMPORTRANGE(""https://docs.google.com/spreadsheets/d/16pAz3pOhQEZBhvFNMa5KGgZS6iKWpsKX0pg6tQmwFpo/edit?usp=sharing"",""ตรัง!S563"")+IMPORTRANGE(""https://docs.google.com/spreadsheets/d/1Dj4jcHCTV9JXKCaMoheSXS52JE63kDKyG7bPXnFogHk/edit?usp=shar"&amp;"ing"",""นครศรีธรรมราช!S563"")+IMPORTRANGE(""https://docs.google.com/spreadsheets/d/1iodCdmuK2GR3jzUwk8tpccY2JHQQA-87DLOtJP-ooyU/edit?usp=sharing"",""นราธิวาส!S563"")+IMPORTRANGE(""https://docs.google.com/spreadsheets/d/1SDNX3JhDdYRuIOsj0Wh2M-Qa_eaXl0NbWmh"&amp;"AOTbfQAs/edit?usp=sharing"",""ปัตตานี!S563"")+IMPORTRANGE(""https://docs.google.com/spreadsheets/d/16JDLGguT8s5DsGCND1KcwHP_AWR_zDMTqLHPLJUKhaU/edit?usp=sharing"",""พังงา!S563"")+IMPORTRANGE(""https://docs.google.com/spreadsheets/d/17ht0gPKzzT3PObBL1XJkeR"&amp;"mntBXI7wGjpLV7QorqlTk/edit?usp=sharing"",""พัทลุง!S563"")+IMPORTRANGE(""https://docs.google.com/spreadsheets/d/1rd4qoM1q_hsgaolqNGfrim9gbsoLxQsda4-vOz5x_BM/edit?usp=sharing"",""ภูเก็ต!S563"")+IMPORTRANGE(""https://docs.google.com/spreadsheets/d/1woKwKjgoL"&amp;"ssDvPcPeVyezB5izizAn4X1JDrys69n6xI/edit?usp=sharing"",""ยะลา!S563"")+IMPORTRANGE(""https://docs.google.com/spreadsheets/d/1qfrKjzMhm2HJfxQ-qVlJlJQ25Hne1d0khsySbZyGtPA/edit?usp=sharing"",""ระนอง!S563"")+IMPORTRANGE(""https://docs.google.com/spreadsheets/d/"&amp;"1IbSCnFOKpZsnFogBHJnL_isstZVaOMnFiIN0fGTPZZw/edit?usp=sharing"",""สงขลา!S563"")+IMPORTRANGE(""https://docs.google.com/spreadsheets/d/1q9nWasZJ-K8bFGvbE9n0qSRuKGA4Toe3Y89cKCiVtCU/edit?usp=sharing"",""สตูล!S563"")+IMPORTRANGE(""https://docs.google.com/sprea"&amp;"dsheets/d/18T20gbkS_WBjdscyTOV05cvq_JqvqQ17C81mpxf7Ncs/edit?usp=sharing"",""สุราษฎร์ธานี!S563"")"),0)</f>
        <v>0</v>
      </c>
      <c r="T563" s="47">
        <f t="shared" ca="1" si="397"/>
        <v>0</v>
      </c>
      <c r="U563" s="47">
        <f t="shared" ca="1" si="398"/>
        <v>0</v>
      </c>
    </row>
    <row r="564" spans="1:21" ht="19.5" hidden="1" x14ac:dyDescent="0.3">
      <c r="A564" s="138"/>
      <c r="B564" s="139"/>
      <c r="C564" s="386" t="s">
        <v>18</v>
      </c>
      <c r="D564" s="140" t="s">
        <v>38</v>
      </c>
      <c r="E564" s="141"/>
      <c r="F564" s="141"/>
      <c r="G564" s="142"/>
      <c r="H564" s="143"/>
      <c r="I564" s="135"/>
      <c r="J564" s="45"/>
      <c r="K564" s="46"/>
      <c r="L564" s="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247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247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247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247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247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247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247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247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247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336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93" t="s">
        <v>212</v>
      </c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 t="shared" ref="I575:J575" ca="1" si="407">I587</f>
        <v>48</v>
      </c>
      <c r="J575" s="385">
        <f t="shared" ca="1" si="407"/>
        <v>0</v>
      </c>
      <c r="K575" s="377">
        <f ca="1">IF(I575&gt;0,J575*100/I575,0)</f>
        <v>0</v>
      </c>
      <c r="L575" s="378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129" t="s">
        <v>18</v>
      </c>
      <c r="D576" s="130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132">
        <f t="shared" ref="L576:N576" ca="1" si="408">L577+L578</f>
        <v>2615011</v>
      </c>
      <c r="M576" s="132">
        <f t="shared" ca="1" si="408"/>
        <v>2615011</v>
      </c>
      <c r="N576" s="132">
        <f t="shared" ca="1" si="408"/>
        <v>8100</v>
      </c>
      <c r="O576" s="132">
        <f t="shared" ref="O576:O584" ca="1" si="409">IF(L576&gt;0,N576*100/L576,0)</f>
        <v>0.30975013107019433</v>
      </c>
      <c r="P576" s="132">
        <f t="shared" ref="P576:P584" ca="1" si="410">IF(M576&gt;0,N576*100/M576,0)</f>
        <v>0.30975013107019433</v>
      </c>
      <c r="Q576" s="132">
        <f t="shared" ref="Q576:S576" ca="1" si="411">Q577+Q578</f>
        <v>0</v>
      </c>
      <c r="R576" s="132">
        <f t="shared" ca="1" si="411"/>
        <v>0</v>
      </c>
      <c r="S576" s="132">
        <f t="shared" ca="1" si="411"/>
        <v>0</v>
      </c>
      <c r="T576" s="132">
        <f t="shared" ref="T576:T584" ca="1" si="412">IF(Q576&gt;0,S576*100/Q576,0)</f>
        <v>0</v>
      </c>
      <c r="U576" s="132">
        <f t="shared" ref="U576:U584" ca="1" si="413"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49">
        <f t="shared" ref="L577:N577" ca="1" si="414">L580+L583</f>
        <v>0</v>
      </c>
      <c r="M577" s="49">
        <f t="shared" ca="1" si="414"/>
        <v>0</v>
      </c>
      <c r="N577" s="49">
        <f t="shared" ca="1" si="414"/>
        <v>0</v>
      </c>
      <c r="O577" s="49">
        <f t="shared" ca="1" si="409"/>
        <v>0</v>
      </c>
      <c r="P577" s="49">
        <f t="shared" ca="1" si="410"/>
        <v>0</v>
      </c>
      <c r="Q577" s="49">
        <f t="shared" ref="Q577:S577" ca="1" si="415">Q580+Q583</f>
        <v>0</v>
      </c>
      <c r="R577" s="49">
        <f t="shared" ca="1" si="415"/>
        <v>0</v>
      </c>
      <c r="S577" s="49">
        <f t="shared" ca="1" si="415"/>
        <v>0</v>
      </c>
      <c r="T577" s="49">
        <f t="shared" ca="1" si="412"/>
        <v>0</v>
      </c>
      <c r="U577" s="49">
        <f t="shared" ca="1" si="413"/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47">
        <f t="shared" ref="L578:N578" ca="1" si="416">L581+L584</f>
        <v>2615011</v>
      </c>
      <c r="M578" s="47">
        <f t="shared" ca="1" si="416"/>
        <v>2615011</v>
      </c>
      <c r="N578" s="47">
        <f t="shared" ca="1" si="416"/>
        <v>8100</v>
      </c>
      <c r="O578" s="47">
        <f t="shared" ca="1" si="409"/>
        <v>0.30975013107019433</v>
      </c>
      <c r="P578" s="47">
        <f t="shared" ca="1" si="410"/>
        <v>0.30975013107019433</v>
      </c>
      <c r="Q578" s="47">
        <f t="shared" ref="Q578:S578" ca="1" si="417">Q581+Q584</f>
        <v>0</v>
      </c>
      <c r="R578" s="47">
        <f t="shared" ca="1" si="417"/>
        <v>0</v>
      </c>
      <c r="S578" s="47">
        <f t="shared" ca="1" si="417"/>
        <v>0</v>
      </c>
      <c r="T578" s="47">
        <f t="shared" ca="1" si="412"/>
        <v>0</v>
      </c>
      <c r="U578" s="47">
        <f t="shared" ca="1" si="413"/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47">
        <f t="shared" ref="L579:N579" ca="1" si="418">L580+L581</f>
        <v>2615011</v>
      </c>
      <c r="M579" s="47">
        <f t="shared" ca="1" si="418"/>
        <v>2615011</v>
      </c>
      <c r="N579" s="47">
        <f t="shared" ca="1" si="418"/>
        <v>8100</v>
      </c>
      <c r="O579" s="47">
        <f t="shared" ca="1" si="409"/>
        <v>0.30975013107019433</v>
      </c>
      <c r="P579" s="47">
        <f t="shared" ca="1" si="410"/>
        <v>0.30975013107019433</v>
      </c>
      <c r="Q579" s="47">
        <f t="shared" ref="Q579:S579" ca="1" si="419">Q580+Q581</f>
        <v>0</v>
      </c>
      <c r="R579" s="47">
        <f t="shared" ca="1" si="419"/>
        <v>0</v>
      </c>
      <c r="S579" s="47">
        <f t="shared" ca="1" si="419"/>
        <v>0</v>
      </c>
      <c r="T579" s="47">
        <f t="shared" ca="1" si="412"/>
        <v>0</v>
      </c>
      <c r="U579" s="47">
        <f t="shared" ca="1" si="413"/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49">
        <f ca="1">IFERROR(__xludf.DUMMYFUNCTION("IMPORTRANGE(""https://docs.google.com/spreadsheets/d/1kKUcYdkIfrgTSj8iHHHB2MD2FAtwyyocFgqGQn6ADyI/edit?usp=sharing"",""กระบี่!L580"")+IMPORTRANGE(""https://docs.google.com/spreadsheets/d/1GwtLaSlNZkLk7iDqcyZz22giiy40b_usZZBXYciEN1U/edit?usp=sharing"",""ชุ"&amp;"มพร!L580"")+IMPORTRANGE(""https://docs.google.com/spreadsheets/d/16pAz3pOhQEZBhvFNMa5KGgZS6iKWpsKX0pg6tQmwFpo/edit?usp=sharing"",""ตรัง!L580"")+IMPORTRANGE(""https://docs.google.com/spreadsheets/d/1Dj4jcHCTV9JXKCaMoheSXS52JE63kDKyG7bPXnFogHk/edit?usp=shar"&amp;"ing"",""นครศรีธรรมราช!L580"")+IMPORTRANGE(""https://docs.google.com/spreadsheets/d/1iodCdmuK2GR3jzUwk8tpccY2JHQQA-87DLOtJP-ooyU/edit?usp=sharing"",""นราธิวาส!L580"")+IMPORTRANGE(""https://docs.google.com/spreadsheets/d/1SDNX3JhDdYRuIOsj0Wh2M-Qa_eaXl0NbWmh"&amp;"AOTbfQAs/edit?usp=sharing"",""ปัตตานี!L580"")+IMPORTRANGE(""https://docs.google.com/spreadsheets/d/16JDLGguT8s5DsGCND1KcwHP_AWR_zDMTqLHPLJUKhaU/edit?usp=sharing"",""พังงา!L580"")+IMPORTRANGE(""https://docs.google.com/spreadsheets/d/17ht0gPKzzT3PObBL1XJkeR"&amp;"mntBXI7wGjpLV7QorqlTk/edit?usp=sharing"",""พัทลุง!L580"")+IMPORTRANGE(""https://docs.google.com/spreadsheets/d/1rd4qoM1q_hsgaolqNGfrim9gbsoLxQsda4-vOz5x_BM/edit?usp=sharing"",""ภูเก็ต!L580"")+IMPORTRANGE(""https://docs.google.com/spreadsheets/d/1woKwKjgoL"&amp;"ssDvPcPeVyezB5izizAn4X1JDrys69n6xI/edit?usp=sharing"",""ยะลา!L580"")+IMPORTRANGE(""https://docs.google.com/spreadsheets/d/1qfrKjzMhm2HJfxQ-qVlJlJQ25Hne1d0khsySbZyGtPA/edit?usp=sharing"",""ระนอง!L580"")+IMPORTRANGE(""https://docs.google.com/spreadsheets/d/"&amp;"1IbSCnFOKpZsnFogBHJnL_isstZVaOMnFiIN0fGTPZZw/edit?usp=sharing"",""สงขลา!L580"")+IMPORTRANGE(""https://docs.google.com/spreadsheets/d/1q9nWasZJ-K8bFGvbE9n0qSRuKGA4Toe3Y89cKCiVtCU/edit?usp=sharing"",""สตูล!L580"")+IMPORTRANGE(""https://docs.google.com/sprea"&amp;"dsheets/d/18T20gbkS_WBjdscyTOV05cvq_JqvqQ17C81mpxf7Ncs/edit?usp=sharing"",""สุราษฎร์ธานี!L580"")"),0)</f>
        <v>0</v>
      </c>
      <c r="M580" s="49">
        <f ca="1">IFERROR(__xludf.DUMMYFUNCTION("IMPORTRANGE(""https://docs.google.com/spreadsheets/d/1kKUcYdkIfrgTSj8iHHHB2MD2FAtwyyocFgqGQn6ADyI/edit?usp=sharing"",""กระบี่!M580"")+IMPORTRANGE(""https://docs.google.com/spreadsheets/d/1GwtLaSlNZkLk7iDqcyZz22giiy40b_usZZBXYciEN1U/edit?usp=sharing"",""ชุ"&amp;"มพร!M580"")+IMPORTRANGE(""https://docs.google.com/spreadsheets/d/16pAz3pOhQEZBhvFNMa5KGgZS6iKWpsKX0pg6tQmwFpo/edit?usp=sharing"",""ตรัง!M580"")+IMPORTRANGE(""https://docs.google.com/spreadsheets/d/1Dj4jcHCTV9JXKCaMoheSXS52JE63kDKyG7bPXnFogHk/edit?usp=shar"&amp;"ing"",""นครศรีธรรมราช!M580"")+IMPORTRANGE(""https://docs.google.com/spreadsheets/d/1iodCdmuK2GR3jzUwk8tpccY2JHQQA-87DLOtJP-ooyU/edit?usp=sharing"",""นราธิวาส!M580"")+IMPORTRANGE(""https://docs.google.com/spreadsheets/d/1SDNX3JhDdYRuIOsj0Wh2M-Qa_eaXl0NbWmh"&amp;"AOTbfQAs/edit?usp=sharing"",""ปัตตานี!M580"")+IMPORTRANGE(""https://docs.google.com/spreadsheets/d/16JDLGguT8s5DsGCND1KcwHP_AWR_zDMTqLHPLJUKhaU/edit?usp=sharing"",""พังงา!M580"")+IMPORTRANGE(""https://docs.google.com/spreadsheets/d/17ht0gPKzzT3PObBL1XJkeR"&amp;"mntBXI7wGjpLV7QorqlTk/edit?usp=sharing"",""พัทลุง!M580"")+IMPORTRANGE(""https://docs.google.com/spreadsheets/d/1rd4qoM1q_hsgaolqNGfrim9gbsoLxQsda4-vOz5x_BM/edit?usp=sharing"",""ภูเก็ต!M580"")+IMPORTRANGE(""https://docs.google.com/spreadsheets/d/1woKwKjgoL"&amp;"ssDvPcPeVyezB5izizAn4X1JDrys69n6xI/edit?usp=sharing"",""ยะลา!M580"")+IMPORTRANGE(""https://docs.google.com/spreadsheets/d/1qfrKjzMhm2HJfxQ-qVlJlJQ25Hne1d0khsySbZyGtPA/edit?usp=sharing"",""ระนอง!M580"")+IMPORTRANGE(""https://docs.google.com/spreadsheets/d/"&amp;"1IbSCnFOKpZsnFogBHJnL_isstZVaOMnFiIN0fGTPZZw/edit?usp=sharing"",""สงขลา!M580"")+IMPORTRANGE(""https://docs.google.com/spreadsheets/d/1q9nWasZJ-K8bFGvbE9n0qSRuKGA4Toe3Y89cKCiVtCU/edit?usp=sharing"",""สตูล!M580"")+IMPORTRANGE(""https://docs.google.com/sprea"&amp;"dsheets/d/18T20gbkS_WBjdscyTOV05cvq_JqvqQ17C81mpxf7Ncs/edit?usp=sharing"",""สุราษฎร์ธานี!M580"")"),0)</f>
        <v>0</v>
      </c>
      <c r="N580" s="49">
        <f ca="1">IFERROR(__xludf.DUMMYFUNCTION("IMPORTRANGE(""https://docs.google.com/spreadsheets/d/1kKUcYdkIfrgTSj8iHHHB2MD2FAtwyyocFgqGQn6ADyI/edit?usp=sharing"",""กระบี่!N580"")+IMPORTRANGE(""https://docs.google.com/spreadsheets/d/1GwtLaSlNZkLk7iDqcyZz22giiy40b_usZZBXYciEN1U/edit?usp=sharing"",""ชุ"&amp;"มพร!N580"")+IMPORTRANGE(""https://docs.google.com/spreadsheets/d/16pAz3pOhQEZBhvFNMa5KGgZS6iKWpsKX0pg6tQmwFpo/edit?usp=sharing"",""ตรัง!N580"")+IMPORTRANGE(""https://docs.google.com/spreadsheets/d/1Dj4jcHCTV9JXKCaMoheSXS52JE63kDKyG7bPXnFogHk/edit?usp=shar"&amp;"ing"",""นครศรีธรรมราช!N580"")+IMPORTRANGE(""https://docs.google.com/spreadsheets/d/1iodCdmuK2GR3jzUwk8tpccY2JHQQA-87DLOtJP-ooyU/edit?usp=sharing"",""นราธิวาส!N580"")+IMPORTRANGE(""https://docs.google.com/spreadsheets/d/1SDNX3JhDdYRuIOsj0Wh2M-Qa_eaXl0NbWmh"&amp;"AOTbfQAs/edit?usp=sharing"",""ปัตตานี!N580"")+IMPORTRANGE(""https://docs.google.com/spreadsheets/d/16JDLGguT8s5DsGCND1KcwHP_AWR_zDMTqLHPLJUKhaU/edit?usp=sharing"",""พังงา!N580"")+IMPORTRANGE(""https://docs.google.com/spreadsheets/d/17ht0gPKzzT3PObBL1XJkeR"&amp;"mntBXI7wGjpLV7QorqlTk/edit?usp=sharing"",""พัทลุง!N580"")+IMPORTRANGE(""https://docs.google.com/spreadsheets/d/1rd4qoM1q_hsgaolqNGfrim9gbsoLxQsda4-vOz5x_BM/edit?usp=sharing"",""ภูเก็ต!N580"")+IMPORTRANGE(""https://docs.google.com/spreadsheets/d/1woKwKjgoL"&amp;"ssDvPcPeVyezB5izizAn4X1JDrys69n6xI/edit?usp=sharing"",""ยะลา!N580"")+IMPORTRANGE(""https://docs.google.com/spreadsheets/d/1qfrKjzMhm2HJfxQ-qVlJlJQ25Hne1d0khsySbZyGtPA/edit?usp=sharing"",""ระนอง!N580"")+IMPORTRANGE(""https://docs.google.com/spreadsheets/d/"&amp;"1IbSCnFOKpZsnFogBHJnL_isstZVaOMnFiIN0fGTPZZw/edit?usp=sharing"",""สงขลา!N580"")+IMPORTRANGE(""https://docs.google.com/spreadsheets/d/1q9nWasZJ-K8bFGvbE9n0qSRuKGA4Toe3Y89cKCiVtCU/edit?usp=sharing"",""สตูล!N580"")+IMPORTRANGE(""https://docs.google.com/sprea"&amp;"dsheets/d/18T20gbkS_WBjdscyTOV05cvq_JqvqQ17C81mpxf7Ncs/edit?usp=sharing"",""สุราษฎร์ธานี!N580"")"),0)</f>
        <v>0</v>
      </c>
      <c r="O580" s="49">
        <f t="shared" ca="1" si="409"/>
        <v>0</v>
      </c>
      <c r="P580" s="49">
        <f t="shared" ca="1" si="410"/>
        <v>0</v>
      </c>
      <c r="Q580" s="49">
        <f ca="1">IFERROR(__xludf.DUMMYFUNCTION("IMPORTRANGE(""https://docs.google.com/spreadsheets/d/1kKUcYdkIfrgTSj8iHHHB2MD2FAtwyyocFgqGQn6ADyI/edit?usp=sharing"",""กระบี่!Q580"")+IMPORTRANGE(""https://docs.google.com/spreadsheets/d/1GwtLaSlNZkLk7iDqcyZz22giiy40b_usZZBXYciEN1U/edit?usp=sharing"",""ชุ"&amp;"มพร!Q580"")+IMPORTRANGE(""https://docs.google.com/spreadsheets/d/16pAz3pOhQEZBhvFNMa5KGgZS6iKWpsKX0pg6tQmwFpo/edit?usp=sharing"",""ตรัง!Q580"")+IMPORTRANGE(""https://docs.google.com/spreadsheets/d/1Dj4jcHCTV9JXKCaMoheSXS52JE63kDKyG7bPXnFogHk/edit?usp=shar"&amp;"ing"",""นครศรีธรรมราช!Q580"")+IMPORTRANGE(""https://docs.google.com/spreadsheets/d/1iodCdmuK2GR3jzUwk8tpccY2JHQQA-87DLOtJP-ooyU/edit?usp=sharing"",""นราธิวาส!Q580"")+IMPORTRANGE(""https://docs.google.com/spreadsheets/d/1SDNX3JhDdYRuIOsj0Wh2M-Qa_eaXl0NbWmh"&amp;"AOTbfQAs/edit?usp=sharing"",""ปัตตานี!Q580"")+IMPORTRANGE(""https://docs.google.com/spreadsheets/d/16JDLGguT8s5DsGCND1KcwHP_AWR_zDMTqLHPLJUKhaU/edit?usp=sharing"",""พังงา!Q580"")+IMPORTRANGE(""https://docs.google.com/spreadsheets/d/17ht0gPKzzT3PObBL1XJkeR"&amp;"mntBXI7wGjpLV7QorqlTk/edit?usp=sharing"",""พัทลุง!Q580"")+IMPORTRANGE(""https://docs.google.com/spreadsheets/d/1rd4qoM1q_hsgaolqNGfrim9gbsoLxQsda4-vOz5x_BM/edit?usp=sharing"",""ภูเก็ต!Q580"")+IMPORTRANGE(""https://docs.google.com/spreadsheets/d/1woKwKjgoL"&amp;"ssDvPcPeVyezB5izizAn4X1JDrys69n6xI/edit?usp=sharing"",""ยะลา!Q580"")+IMPORTRANGE(""https://docs.google.com/spreadsheets/d/1qfrKjzMhm2HJfxQ-qVlJlJQ25Hne1d0khsySbZyGtPA/edit?usp=sharing"",""ระนอง!Q580"")+IMPORTRANGE(""https://docs.google.com/spreadsheets/d/"&amp;"1IbSCnFOKpZsnFogBHJnL_isstZVaOMnFiIN0fGTPZZw/edit?usp=sharing"",""สงขลา!Q580"")+IMPORTRANGE(""https://docs.google.com/spreadsheets/d/1q9nWasZJ-K8bFGvbE9n0qSRuKGA4Toe3Y89cKCiVtCU/edit?usp=sharing"",""สตูล!Q580"")+IMPORTRANGE(""https://docs.google.com/sprea"&amp;"dsheets/d/18T20gbkS_WBjdscyTOV05cvq_JqvqQ17C81mpxf7Ncs/edit?usp=sharing"",""สุราษฎร์ธานี!Q580"")"),0)</f>
        <v>0</v>
      </c>
      <c r="R580" s="49">
        <f ca="1">IFERROR(__xludf.DUMMYFUNCTION("IMPORTRANGE(""https://docs.google.com/spreadsheets/d/1kKUcYdkIfrgTSj8iHHHB2MD2FAtwyyocFgqGQn6ADyI/edit?usp=sharing"",""กระบี่!R580"")+IMPORTRANGE(""https://docs.google.com/spreadsheets/d/1GwtLaSlNZkLk7iDqcyZz22giiy40b_usZZBXYciEN1U/edit?usp=sharing"",""ชุ"&amp;"มพร!R580"")+IMPORTRANGE(""https://docs.google.com/spreadsheets/d/16pAz3pOhQEZBhvFNMa5KGgZS6iKWpsKX0pg6tQmwFpo/edit?usp=sharing"",""ตรัง!R580"")+IMPORTRANGE(""https://docs.google.com/spreadsheets/d/1Dj4jcHCTV9JXKCaMoheSXS52JE63kDKyG7bPXnFogHk/edit?usp=shar"&amp;"ing"",""นครศรีธรรมราช!R580"")+IMPORTRANGE(""https://docs.google.com/spreadsheets/d/1iodCdmuK2GR3jzUwk8tpccY2JHQQA-87DLOtJP-ooyU/edit?usp=sharing"",""นราธิวาส!R580"")+IMPORTRANGE(""https://docs.google.com/spreadsheets/d/1SDNX3JhDdYRuIOsj0Wh2M-Qa_eaXl0NbWmh"&amp;"AOTbfQAs/edit?usp=sharing"",""ปัตตานี!R580"")+IMPORTRANGE(""https://docs.google.com/spreadsheets/d/16JDLGguT8s5DsGCND1KcwHP_AWR_zDMTqLHPLJUKhaU/edit?usp=sharing"",""พังงา!R580"")+IMPORTRANGE(""https://docs.google.com/spreadsheets/d/17ht0gPKzzT3PObBL1XJkeR"&amp;"mntBXI7wGjpLV7QorqlTk/edit?usp=sharing"",""พัทลุง!R580"")+IMPORTRANGE(""https://docs.google.com/spreadsheets/d/1rd4qoM1q_hsgaolqNGfrim9gbsoLxQsda4-vOz5x_BM/edit?usp=sharing"",""ภูเก็ต!R580"")+IMPORTRANGE(""https://docs.google.com/spreadsheets/d/1woKwKjgoL"&amp;"ssDvPcPeVyezB5izizAn4X1JDrys69n6xI/edit?usp=sharing"",""ยะลา!R580"")+IMPORTRANGE(""https://docs.google.com/spreadsheets/d/1qfrKjzMhm2HJfxQ-qVlJlJQ25Hne1d0khsySbZyGtPA/edit?usp=sharing"",""ระนอง!R580"")+IMPORTRANGE(""https://docs.google.com/spreadsheets/d/"&amp;"1IbSCnFOKpZsnFogBHJnL_isstZVaOMnFiIN0fGTPZZw/edit?usp=sharing"",""สงขลา!R580"")+IMPORTRANGE(""https://docs.google.com/spreadsheets/d/1q9nWasZJ-K8bFGvbE9n0qSRuKGA4Toe3Y89cKCiVtCU/edit?usp=sharing"",""สตูล!R580"")+IMPORTRANGE(""https://docs.google.com/sprea"&amp;"dsheets/d/18T20gbkS_WBjdscyTOV05cvq_JqvqQ17C81mpxf7Ncs/edit?usp=sharing"",""สุราษฎร์ธานี!R580"")"),0)</f>
        <v>0</v>
      </c>
      <c r="S580" s="49">
        <f ca="1">IFERROR(__xludf.DUMMYFUNCTION("IMPORTRANGE(""https://docs.google.com/spreadsheets/d/1kKUcYdkIfrgTSj8iHHHB2MD2FAtwyyocFgqGQn6ADyI/edit?usp=sharing"",""กระบี่!S580"")+IMPORTRANGE(""https://docs.google.com/spreadsheets/d/1GwtLaSlNZkLk7iDqcyZz22giiy40b_usZZBXYciEN1U/edit?usp=sharing"",""ชุ"&amp;"มพร!S580"")+IMPORTRANGE(""https://docs.google.com/spreadsheets/d/16pAz3pOhQEZBhvFNMa5KGgZS6iKWpsKX0pg6tQmwFpo/edit?usp=sharing"",""ตรัง!S580"")+IMPORTRANGE(""https://docs.google.com/spreadsheets/d/1Dj4jcHCTV9JXKCaMoheSXS52JE63kDKyG7bPXnFogHk/edit?usp=shar"&amp;"ing"",""นครศรีธรรมราช!S580"")+IMPORTRANGE(""https://docs.google.com/spreadsheets/d/1iodCdmuK2GR3jzUwk8tpccY2JHQQA-87DLOtJP-ooyU/edit?usp=sharing"",""นราธิวาส!S580"")+IMPORTRANGE(""https://docs.google.com/spreadsheets/d/1SDNX3JhDdYRuIOsj0Wh2M-Qa_eaXl0NbWmh"&amp;"AOTbfQAs/edit?usp=sharing"",""ปัตตานี!S580"")+IMPORTRANGE(""https://docs.google.com/spreadsheets/d/16JDLGguT8s5DsGCND1KcwHP_AWR_zDMTqLHPLJUKhaU/edit?usp=sharing"",""พังงา!S580"")+IMPORTRANGE(""https://docs.google.com/spreadsheets/d/17ht0gPKzzT3PObBL1XJkeR"&amp;"mntBXI7wGjpLV7QorqlTk/edit?usp=sharing"",""พัทลุง!S580"")+IMPORTRANGE(""https://docs.google.com/spreadsheets/d/1rd4qoM1q_hsgaolqNGfrim9gbsoLxQsda4-vOz5x_BM/edit?usp=sharing"",""ภูเก็ต!S580"")+IMPORTRANGE(""https://docs.google.com/spreadsheets/d/1woKwKjgoL"&amp;"ssDvPcPeVyezB5izizAn4X1JDrys69n6xI/edit?usp=sharing"",""ยะลา!S580"")+IMPORTRANGE(""https://docs.google.com/spreadsheets/d/1qfrKjzMhm2HJfxQ-qVlJlJQ25Hne1d0khsySbZyGtPA/edit?usp=sharing"",""ระนอง!S580"")+IMPORTRANGE(""https://docs.google.com/spreadsheets/d/"&amp;"1IbSCnFOKpZsnFogBHJnL_isstZVaOMnFiIN0fGTPZZw/edit?usp=sharing"",""สงขลา!S580"")+IMPORTRANGE(""https://docs.google.com/spreadsheets/d/1q9nWasZJ-K8bFGvbE9n0qSRuKGA4Toe3Y89cKCiVtCU/edit?usp=sharing"",""สตูล!S580"")+IMPORTRANGE(""https://docs.google.com/sprea"&amp;"dsheets/d/18T20gbkS_WBjdscyTOV05cvq_JqvqQ17C81mpxf7Ncs/edit?usp=sharing"",""สุราษฎร์ธานี!S580"")"),0)</f>
        <v>0</v>
      </c>
      <c r="T580" s="49">
        <f t="shared" ca="1" si="412"/>
        <v>0</v>
      </c>
      <c r="U580" s="49">
        <f t="shared" ca="1" si="413"/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47">
        <f ca="1">IFERROR(__xludf.DUMMYFUNCTION("IMPORTRANGE(""https://docs.google.com/spreadsheets/d/1kKUcYdkIfrgTSj8iHHHB2MD2FAtwyyocFgqGQn6ADyI/edit?usp=sharing"",""กระบี่!L581"")+IMPORTRANGE(""https://docs.google.com/spreadsheets/d/1GwtLaSlNZkLk7iDqcyZz22giiy40b_usZZBXYciEN1U/edit?usp=sharing"",""ชุ"&amp;"มพร!L581"")+IMPORTRANGE(""https://docs.google.com/spreadsheets/d/16pAz3pOhQEZBhvFNMa5KGgZS6iKWpsKX0pg6tQmwFpo/edit?usp=sharing"",""ตรัง!L581"")+IMPORTRANGE(""https://docs.google.com/spreadsheets/d/1Dj4jcHCTV9JXKCaMoheSXS52JE63kDKyG7bPXnFogHk/edit?usp=shar"&amp;"ing"",""นครศรีธรรมราช!L581"")+IMPORTRANGE(""https://docs.google.com/spreadsheets/d/1iodCdmuK2GR3jzUwk8tpccY2JHQQA-87DLOtJP-ooyU/edit?usp=sharing"",""นราธิวาส!L581"")+IMPORTRANGE(""https://docs.google.com/spreadsheets/d/1SDNX3JhDdYRuIOsj0Wh2M-Qa_eaXl0NbWmh"&amp;"AOTbfQAs/edit?usp=sharing"",""ปัตตานี!L581"")+IMPORTRANGE(""https://docs.google.com/spreadsheets/d/16JDLGguT8s5DsGCND1KcwHP_AWR_zDMTqLHPLJUKhaU/edit?usp=sharing"",""พังงา!L581"")+IMPORTRANGE(""https://docs.google.com/spreadsheets/d/17ht0gPKzzT3PObBL1XJkeR"&amp;"mntBXI7wGjpLV7QorqlTk/edit?usp=sharing"",""พัทลุง!L581"")+IMPORTRANGE(""https://docs.google.com/spreadsheets/d/1rd4qoM1q_hsgaolqNGfrim9gbsoLxQsda4-vOz5x_BM/edit?usp=sharing"",""ภูเก็ต!L581"")+IMPORTRANGE(""https://docs.google.com/spreadsheets/d/1woKwKjgoL"&amp;"ssDvPcPeVyezB5izizAn4X1JDrys69n6xI/edit?usp=sharing"",""ยะลา!L581"")+IMPORTRANGE(""https://docs.google.com/spreadsheets/d/1qfrKjzMhm2HJfxQ-qVlJlJQ25Hne1d0khsySbZyGtPA/edit?usp=sharing"",""ระนอง!L581"")+IMPORTRANGE(""https://docs.google.com/spreadsheets/d/"&amp;"1IbSCnFOKpZsnFogBHJnL_isstZVaOMnFiIN0fGTPZZw/edit?usp=sharing"",""สงขลา!L581"")+IMPORTRANGE(""https://docs.google.com/spreadsheets/d/1q9nWasZJ-K8bFGvbE9n0qSRuKGA4Toe3Y89cKCiVtCU/edit?usp=sharing"",""สตูล!L581"")+IMPORTRANGE(""https://docs.google.com/sprea"&amp;"dsheets/d/18T20gbkS_WBjdscyTOV05cvq_JqvqQ17C81mpxf7Ncs/edit?usp=sharing"",""สุราษฎร์ธานี!L581"")"),2615011)</f>
        <v>2615011</v>
      </c>
      <c r="M581" s="47">
        <f ca="1">IFERROR(__xludf.DUMMYFUNCTION("IMPORTRANGE(""https://docs.google.com/spreadsheets/d/1kKUcYdkIfrgTSj8iHHHB2MD2FAtwyyocFgqGQn6ADyI/edit?usp=sharing"",""กระบี่!M581"")+IMPORTRANGE(""https://docs.google.com/spreadsheets/d/1GwtLaSlNZkLk7iDqcyZz22giiy40b_usZZBXYciEN1U/edit?usp=sharing"",""ชุ"&amp;"มพร!M581"")+IMPORTRANGE(""https://docs.google.com/spreadsheets/d/16pAz3pOhQEZBhvFNMa5KGgZS6iKWpsKX0pg6tQmwFpo/edit?usp=sharing"",""ตรัง!M581"")+IMPORTRANGE(""https://docs.google.com/spreadsheets/d/1Dj4jcHCTV9JXKCaMoheSXS52JE63kDKyG7bPXnFogHk/edit?usp=shar"&amp;"ing"",""นครศรีธรรมราช!M581"")+IMPORTRANGE(""https://docs.google.com/spreadsheets/d/1iodCdmuK2GR3jzUwk8tpccY2JHQQA-87DLOtJP-ooyU/edit?usp=sharing"",""นราธิวาส!M581"")+IMPORTRANGE(""https://docs.google.com/spreadsheets/d/1SDNX3JhDdYRuIOsj0Wh2M-Qa_eaXl0NbWmh"&amp;"AOTbfQAs/edit?usp=sharing"",""ปัตตานี!M581"")+IMPORTRANGE(""https://docs.google.com/spreadsheets/d/16JDLGguT8s5DsGCND1KcwHP_AWR_zDMTqLHPLJUKhaU/edit?usp=sharing"",""พังงา!M581"")+IMPORTRANGE(""https://docs.google.com/spreadsheets/d/17ht0gPKzzT3PObBL1XJkeR"&amp;"mntBXI7wGjpLV7QorqlTk/edit?usp=sharing"",""พัทลุง!M581"")+IMPORTRANGE(""https://docs.google.com/spreadsheets/d/1rd4qoM1q_hsgaolqNGfrim9gbsoLxQsda4-vOz5x_BM/edit?usp=sharing"",""ภูเก็ต!M581"")+IMPORTRANGE(""https://docs.google.com/spreadsheets/d/1woKwKjgoL"&amp;"ssDvPcPeVyezB5izizAn4X1JDrys69n6xI/edit?usp=sharing"",""ยะลา!M581"")+IMPORTRANGE(""https://docs.google.com/spreadsheets/d/1qfrKjzMhm2HJfxQ-qVlJlJQ25Hne1d0khsySbZyGtPA/edit?usp=sharing"",""ระนอง!M581"")+IMPORTRANGE(""https://docs.google.com/spreadsheets/d/"&amp;"1IbSCnFOKpZsnFogBHJnL_isstZVaOMnFiIN0fGTPZZw/edit?usp=sharing"",""สงขลา!M581"")+IMPORTRANGE(""https://docs.google.com/spreadsheets/d/1q9nWasZJ-K8bFGvbE9n0qSRuKGA4Toe3Y89cKCiVtCU/edit?usp=sharing"",""สตูล!M581"")+IMPORTRANGE(""https://docs.google.com/sprea"&amp;"dsheets/d/18T20gbkS_WBjdscyTOV05cvq_JqvqQ17C81mpxf7Ncs/edit?usp=sharing"",""สุราษฎร์ธานี!M581"")"),2615011)</f>
        <v>2615011</v>
      </c>
      <c r="N581" s="47">
        <f ca="1">IFERROR(__xludf.DUMMYFUNCTION("IMPORTRANGE(""https://docs.google.com/spreadsheets/d/1kKUcYdkIfrgTSj8iHHHB2MD2FAtwyyocFgqGQn6ADyI/edit?usp=sharing"",""กระบี่!N581"")+IMPORTRANGE(""https://docs.google.com/spreadsheets/d/1GwtLaSlNZkLk7iDqcyZz22giiy40b_usZZBXYciEN1U/edit?usp=sharing"",""ชุ"&amp;"มพร!N581"")+IMPORTRANGE(""https://docs.google.com/spreadsheets/d/16pAz3pOhQEZBhvFNMa5KGgZS6iKWpsKX0pg6tQmwFpo/edit?usp=sharing"",""ตรัง!N581"")+IMPORTRANGE(""https://docs.google.com/spreadsheets/d/1Dj4jcHCTV9JXKCaMoheSXS52JE63kDKyG7bPXnFogHk/edit?usp=shar"&amp;"ing"",""นครศรีธรรมราช!N581"")+IMPORTRANGE(""https://docs.google.com/spreadsheets/d/1iodCdmuK2GR3jzUwk8tpccY2JHQQA-87DLOtJP-ooyU/edit?usp=sharing"",""นราธิวาส!N581"")+IMPORTRANGE(""https://docs.google.com/spreadsheets/d/1SDNX3JhDdYRuIOsj0Wh2M-Qa_eaXl0NbWmh"&amp;"AOTbfQAs/edit?usp=sharing"",""ปัตตานี!N581"")+IMPORTRANGE(""https://docs.google.com/spreadsheets/d/16JDLGguT8s5DsGCND1KcwHP_AWR_zDMTqLHPLJUKhaU/edit?usp=sharing"",""พังงา!N581"")+IMPORTRANGE(""https://docs.google.com/spreadsheets/d/17ht0gPKzzT3PObBL1XJkeR"&amp;"mntBXI7wGjpLV7QorqlTk/edit?usp=sharing"",""พัทลุง!N581"")+IMPORTRANGE(""https://docs.google.com/spreadsheets/d/1rd4qoM1q_hsgaolqNGfrim9gbsoLxQsda4-vOz5x_BM/edit?usp=sharing"",""ภูเก็ต!N581"")+IMPORTRANGE(""https://docs.google.com/spreadsheets/d/1woKwKjgoL"&amp;"ssDvPcPeVyezB5izizAn4X1JDrys69n6xI/edit?usp=sharing"",""ยะลา!N581"")+IMPORTRANGE(""https://docs.google.com/spreadsheets/d/1qfrKjzMhm2HJfxQ-qVlJlJQ25Hne1d0khsySbZyGtPA/edit?usp=sharing"",""ระนอง!N581"")+IMPORTRANGE(""https://docs.google.com/spreadsheets/d/"&amp;"1IbSCnFOKpZsnFogBHJnL_isstZVaOMnFiIN0fGTPZZw/edit?usp=sharing"",""สงขลา!N581"")+IMPORTRANGE(""https://docs.google.com/spreadsheets/d/1q9nWasZJ-K8bFGvbE9n0qSRuKGA4Toe3Y89cKCiVtCU/edit?usp=sharing"",""สตูล!N581"")+IMPORTRANGE(""https://docs.google.com/sprea"&amp;"dsheets/d/18T20gbkS_WBjdscyTOV05cvq_JqvqQ17C81mpxf7Ncs/edit?usp=sharing"",""สุราษฎร์ธานี!N581"")"),8100)</f>
        <v>8100</v>
      </c>
      <c r="O581" s="47">
        <f t="shared" ca="1" si="409"/>
        <v>0.30975013107019433</v>
      </c>
      <c r="P581" s="47">
        <f t="shared" ca="1" si="410"/>
        <v>0.30975013107019433</v>
      </c>
      <c r="Q581" s="47">
        <f ca="1">IFERROR(__xludf.DUMMYFUNCTION("IMPORTRANGE(""https://docs.google.com/spreadsheets/d/1kKUcYdkIfrgTSj8iHHHB2MD2FAtwyyocFgqGQn6ADyI/edit?usp=sharing"",""กระบี่!Q581"")+IMPORTRANGE(""https://docs.google.com/spreadsheets/d/1GwtLaSlNZkLk7iDqcyZz22giiy40b_usZZBXYciEN1U/edit?usp=sharing"",""ชุ"&amp;"มพร!Q581"")+IMPORTRANGE(""https://docs.google.com/spreadsheets/d/16pAz3pOhQEZBhvFNMa5KGgZS6iKWpsKX0pg6tQmwFpo/edit?usp=sharing"",""ตรัง!Q581"")+IMPORTRANGE(""https://docs.google.com/spreadsheets/d/1Dj4jcHCTV9JXKCaMoheSXS52JE63kDKyG7bPXnFogHk/edit?usp=shar"&amp;"ing"",""นครศรีธรรมราช!Q581"")+IMPORTRANGE(""https://docs.google.com/spreadsheets/d/1iodCdmuK2GR3jzUwk8tpccY2JHQQA-87DLOtJP-ooyU/edit?usp=sharing"",""นราธิวาส!Q581"")+IMPORTRANGE(""https://docs.google.com/spreadsheets/d/1SDNX3JhDdYRuIOsj0Wh2M-Qa_eaXl0NbWmh"&amp;"AOTbfQAs/edit?usp=sharing"",""ปัตตานี!Q581"")+IMPORTRANGE(""https://docs.google.com/spreadsheets/d/16JDLGguT8s5DsGCND1KcwHP_AWR_zDMTqLHPLJUKhaU/edit?usp=sharing"",""พังงา!Q581"")+IMPORTRANGE(""https://docs.google.com/spreadsheets/d/17ht0gPKzzT3PObBL1XJkeR"&amp;"mntBXI7wGjpLV7QorqlTk/edit?usp=sharing"",""พัทลุง!Q581"")+IMPORTRANGE(""https://docs.google.com/spreadsheets/d/1rd4qoM1q_hsgaolqNGfrim9gbsoLxQsda4-vOz5x_BM/edit?usp=sharing"",""ภูเก็ต!Q581"")+IMPORTRANGE(""https://docs.google.com/spreadsheets/d/1woKwKjgoL"&amp;"ssDvPcPeVyezB5izizAn4X1JDrys69n6xI/edit?usp=sharing"",""ยะลา!Q581"")+IMPORTRANGE(""https://docs.google.com/spreadsheets/d/1qfrKjzMhm2HJfxQ-qVlJlJQ25Hne1d0khsySbZyGtPA/edit?usp=sharing"",""ระนอง!Q581"")+IMPORTRANGE(""https://docs.google.com/spreadsheets/d/"&amp;"1IbSCnFOKpZsnFogBHJnL_isstZVaOMnFiIN0fGTPZZw/edit?usp=sharing"",""สงขลา!Q581"")+IMPORTRANGE(""https://docs.google.com/spreadsheets/d/1q9nWasZJ-K8bFGvbE9n0qSRuKGA4Toe3Y89cKCiVtCU/edit?usp=sharing"",""สตูล!Q581"")+IMPORTRANGE(""https://docs.google.com/sprea"&amp;"dsheets/d/18T20gbkS_WBjdscyTOV05cvq_JqvqQ17C81mpxf7Ncs/edit?usp=sharing"",""สุราษฎร์ธานี!Q581"")"),0)</f>
        <v>0</v>
      </c>
      <c r="R581" s="47">
        <f ca="1">IFERROR(__xludf.DUMMYFUNCTION("IMPORTRANGE(""https://docs.google.com/spreadsheets/d/1kKUcYdkIfrgTSj8iHHHB2MD2FAtwyyocFgqGQn6ADyI/edit?usp=sharing"",""กระบี่!R581"")+IMPORTRANGE(""https://docs.google.com/spreadsheets/d/1GwtLaSlNZkLk7iDqcyZz22giiy40b_usZZBXYciEN1U/edit?usp=sharing"",""ชุ"&amp;"มพร!R581"")+IMPORTRANGE(""https://docs.google.com/spreadsheets/d/16pAz3pOhQEZBhvFNMa5KGgZS6iKWpsKX0pg6tQmwFpo/edit?usp=sharing"",""ตรัง!R581"")+IMPORTRANGE(""https://docs.google.com/spreadsheets/d/1Dj4jcHCTV9JXKCaMoheSXS52JE63kDKyG7bPXnFogHk/edit?usp=shar"&amp;"ing"",""นครศรีธรรมราช!R581"")+IMPORTRANGE(""https://docs.google.com/spreadsheets/d/1iodCdmuK2GR3jzUwk8tpccY2JHQQA-87DLOtJP-ooyU/edit?usp=sharing"",""นราธิวาส!R581"")+IMPORTRANGE(""https://docs.google.com/spreadsheets/d/1SDNX3JhDdYRuIOsj0Wh2M-Qa_eaXl0NbWmh"&amp;"AOTbfQAs/edit?usp=sharing"",""ปัตตานี!R581"")+IMPORTRANGE(""https://docs.google.com/spreadsheets/d/16JDLGguT8s5DsGCND1KcwHP_AWR_zDMTqLHPLJUKhaU/edit?usp=sharing"",""พังงา!R581"")+IMPORTRANGE(""https://docs.google.com/spreadsheets/d/17ht0gPKzzT3PObBL1XJkeR"&amp;"mntBXI7wGjpLV7QorqlTk/edit?usp=sharing"",""พัทลุง!R581"")+IMPORTRANGE(""https://docs.google.com/spreadsheets/d/1rd4qoM1q_hsgaolqNGfrim9gbsoLxQsda4-vOz5x_BM/edit?usp=sharing"",""ภูเก็ต!R581"")+IMPORTRANGE(""https://docs.google.com/spreadsheets/d/1woKwKjgoL"&amp;"ssDvPcPeVyezB5izizAn4X1JDrys69n6xI/edit?usp=sharing"",""ยะลา!R581"")+IMPORTRANGE(""https://docs.google.com/spreadsheets/d/1qfrKjzMhm2HJfxQ-qVlJlJQ25Hne1d0khsySbZyGtPA/edit?usp=sharing"",""ระนอง!R581"")+IMPORTRANGE(""https://docs.google.com/spreadsheets/d/"&amp;"1IbSCnFOKpZsnFogBHJnL_isstZVaOMnFiIN0fGTPZZw/edit?usp=sharing"",""สงขลา!R581"")+IMPORTRANGE(""https://docs.google.com/spreadsheets/d/1q9nWasZJ-K8bFGvbE9n0qSRuKGA4Toe3Y89cKCiVtCU/edit?usp=sharing"",""สตูล!R581"")+IMPORTRANGE(""https://docs.google.com/sprea"&amp;"dsheets/d/18T20gbkS_WBjdscyTOV05cvq_JqvqQ17C81mpxf7Ncs/edit?usp=sharing"",""สุราษฎร์ธานี!R581"")"),0)</f>
        <v>0</v>
      </c>
      <c r="S581" s="47">
        <f ca="1">IFERROR(__xludf.DUMMYFUNCTION("IMPORTRANGE(""https://docs.google.com/spreadsheets/d/1kKUcYdkIfrgTSj8iHHHB2MD2FAtwyyocFgqGQn6ADyI/edit?usp=sharing"",""กระบี่!S581"")+IMPORTRANGE(""https://docs.google.com/spreadsheets/d/1GwtLaSlNZkLk7iDqcyZz22giiy40b_usZZBXYciEN1U/edit?usp=sharing"",""ชุ"&amp;"มพร!S581"")+IMPORTRANGE(""https://docs.google.com/spreadsheets/d/16pAz3pOhQEZBhvFNMa5KGgZS6iKWpsKX0pg6tQmwFpo/edit?usp=sharing"",""ตรัง!S581"")+IMPORTRANGE(""https://docs.google.com/spreadsheets/d/1Dj4jcHCTV9JXKCaMoheSXS52JE63kDKyG7bPXnFogHk/edit?usp=shar"&amp;"ing"",""นครศรีธรรมราช!S581"")+IMPORTRANGE(""https://docs.google.com/spreadsheets/d/1iodCdmuK2GR3jzUwk8tpccY2JHQQA-87DLOtJP-ooyU/edit?usp=sharing"",""นราธิวาส!S581"")+IMPORTRANGE(""https://docs.google.com/spreadsheets/d/1SDNX3JhDdYRuIOsj0Wh2M-Qa_eaXl0NbWmh"&amp;"AOTbfQAs/edit?usp=sharing"",""ปัตตานี!S581"")+IMPORTRANGE(""https://docs.google.com/spreadsheets/d/16JDLGguT8s5DsGCND1KcwHP_AWR_zDMTqLHPLJUKhaU/edit?usp=sharing"",""พังงา!S581"")+IMPORTRANGE(""https://docs.google.com/spreadsheets/d/17ht0gPKzzT3PObBL1XJkeR"&amp;"mntBXI7wGjpLV7QorqlTk/edit?usp=sharing"",""พัทลุง!S581"")+IMPORTRANGE(""https://docs.google.com/spreadsheets/d/1rd4qoM1q_hsgaolqNGfrim9gbsoLxQsda4-vOz5x_BM/edit?usp=sharing"",""ภูเก็ต!S581"")+IMPORTRANGE(""https://docs.google.com/spreadsheets/d/1woKwKjgoL"&amp;"ssDvPcPeVyezB5izizAn4X1JDrys69n6xI/edit?usp=sharing"",""ยะลา!S581"")+IMPORTRANGE(""https://docs.google.com/spreadsheets/d/1qfrKjzMhm2HJfxQ-qVlJlJQ25Hne1d0khsySbZyGtPA/edit?usp=sharing"",""ระนอง!S581"")+IMPORTRANGE(""https://docs.google.com/spreadsheets/d/"&amp;"1IbSCnFOKpZsnFogBHJnL_isstZVaOMnFiIN0fGTPZZw/edit?usp=sharing"",""สงขลา!S581"")+IMPORTRANGE(""https://docs.google.com/spreadsheets/d/1q9nWasZJ-K8bFGvbE9n0qSRuKGA4Toe3Y89cKCiVtCU/edit?usp=sharing"",""สตูล!S581"")+IMPORTRANGE(""https://docs.google.com/sprea"&amp;"dsheets/d/18T20gbkS_WBjdscyTOV05cvq_JqvqQ17C81mpxf7Ncs/edit?usp=sharing"",""สุราษฎร์ธานี!S581"")"),0)</f>
        <v>0</v>
      </c>
      <c r="T581" s="47">
        <f t="shared" ca="1" si="412"/>
        <v>0</v>
      </c>
      <c r="U581" s="47">
        <f t="shared" ca="1" si="413"/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47">
        <f t="shared" ref="L582:N582" ca="1" si="420">L583+L584</f>
        <v>0</v>
      </c>
      <c r="M582" s="47">
        <f t="shared" ca="1" si="420"/>
        <v>0</v>
      </c>
      <c r="N582" s="47">
        <f t="shared" ca="1" si="420"/>
        <v>0</v>
      </c>
      <c r="O582" s="47">
        <f t="shared" ca="1" si="409"/>
        <v>0</v>
      </c>
      <c r="P582" s="47">
        <f t="shared" ca="1" si="410"/>
        <v>0</v>
      </c>
      <c r="Q582" s="47">
        <f t="shared" ref="Q582:S582" ca="1" si="421">Q583+Q584</f>
        <v>0</v>
      </c>
      <c r="R582" s="47">
        <f t="shared" ca="1" si="421"/>
        <v>0</v>
      </c>
      <c r="S582" s="47">
        <f t="shared" ca="1" si="421"/>
        <v>0</v>
      </c>
      <c r="T582" s="47">
        <f t="shared" ca="1" si="412"/>
        <v>0</v>
      </c>
      <c r="U582" s="47">
        <f t="shared" ca="1" si="413"/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49">
        <f ca="1">IFERROR(__xludf.DUMMYFUNCTION("IMPORTRANGE(""https://docs.google.com/spreadsheets/d/1kKUcYdkIfrgTSj8iHHHB2MD2FAtwyyocFgqGQn6ADyI/edit?usp=sharing"",""กระบี่!L583"")+IMPORTRANGE(""https://docs.google.com/spreadsheets/d/1GwtLaSlNZkLk7iDqcyZz22giiy40b_usZZBXYciEN1U/edit?usp=sharing"",""ชุ"&amp;"มพร!L583"")+IMPORTRANGE(""https://docs.google.com/spreadsheets/d/16pAz3pOhQEZBhvFNMa5KGgZS6iKWpsKX0pg6tQmwFpo/edit?usp=sharing"",""ตรัง!L583"")+IMPORTRANGE(""https://docs.google.com/spreadsheets/d/1Dj4jcHCTV9JXKCaMoheSXS52JE63kDKyG7bPXnFogHk/edit?usp=shar"&amp;"ing"",""นครศรีธรรมราช!L583"")+IMPORTRANGE(""https://docs.google.com/spreadsheets/d/1iodCdmuK2GR3jzUwk8tpccY2JHQQA-87DLOtJP-ooyU/edit?usp=sharing"",""นราธิวาส!L583"")+IMPORTRANGE(""https://docs.google.com/spreadsheets/d/1SDNX3JhDdYRuIOsj0Wh2M-Qa_eaXl0NbWmh"&amp;"AOTbfQAs/edit?usp=sharing"",""ปัตตานี!L583"")+IMPORTRANGE(""https://docs.google.com/spreadsheets/d/16JDLGguT8s5DsGCND1KcwHP_AWR_zDMTqLHPLJUKhaU/edit?usp=sharing"",""พังงา!L583"")+IMPORTRANGE(""https://docs.google.com/spreadsheets/d/17ht0gPKzzT3PObBL1XJkeR"&amp;"mntBXI7wGjpLV7QorqlTk/edit?usp=sharing"",""พัทลุง!L583"")+IMPORTRANGE(""https://docs.google.com/spreadsheets/d/1rd4qoM1q_hsgaolqNGfrim9gbsoLxQsda4-vOz5x_BM/edit?usp=sharing"",""ภูเก็ต!L583"")+IMPORTRANGE(""https://docs.google.com/spreadsheets/d/1woKwKjgoL"&amp;"ssDvPcPeVyezB5izizAn4X1JDrys69n6xI/edit?usp=sharing"",""ยะลา!L583"")+IMPORTRANGE(""https://docs.google.com/spreadsheets/d/1qfrKjzMhm2HJfxQ-qVlJlJQ25Hne1d0khsySbZyGtPA/edit?usp=sharing"",""ระนอง!L583"")+IMPORTRANGE(""https://docs.google.com/spreadsheets/d/"&amp;"1IbSCnFOKpZsnFogBHJnL_isstZVaOMnFiIN0fGTPZZw/edit?usp=sharing"",""สงขลา!L583"")+IMPORTRANGE(""https://docs.google.com/spreadsheets/d/1q9nWasZJ-K8bFGvbE9n0qSRuKGA4Toe3Y89cKCiVtCU/edit?usp=sharing"",""สตูล!L583"")+IMPORTRANGE(""https://docs.google.com/sprea"&amp;"dsheets/d/18T20gbkS_WBjdscyTOV05cvq_JqvqQ17C81mpxf7Ncs/edit?usp=sharing"",""สุราษฎร์ธานี!L583"")"),0)</f>
        <v>0</v>
      </c>
      <c r="M583" s="49">
        <f ca="1">IFERROR(__xludf.DUMMYFUNCTION("IMPORTRANGE(""https://docs.google.com/spreadsheets/d/1kKUcYdkIfrgTSj8iHHHB2MD2FAtwyyocFgqGQn6ADyI/edit?usp=sharing"",""กระบี่!M583"")+IMPORTRANGE(""https://docs.google.com/spreadsheets/d/1GwtLaSlNZkLk7iDqcyZz22giiy40b_usZZBXYciEN1U/edit?usp=sharing"",""ชุ"&amp;"มพร!M583"")+IMPORTRANGE(""https://docs.google.com/spreadsheets/d/16pAz3pOhQEZBhvFNMa5KGgZS6iKWpsKX0pg6tQmwFpo/edit?usp=sharing"",""ตรัง!M583"")+IMPORTRANGE(""https://docs.google.com/spreadsheets/d/1Dj4jcHCTV9JXKCaMoheSXS52JE63kDKyG7bPXnFogHk/edit?usp=shar"&amp;"ing"",""นครศรีธรรมราช!M583"")+IMPORTRANGE(""https://docs.google.com/spreadsheets/d/1iodCdmuK2GR3jzUwk8tpccY2JHQQA-87DLOtJP-ooyU/edit?usp=sharing"",""นราธิวาส!M583"")+IMPORTRANGE(""https://docs.google.com/spreadsheets/d/1SDNX3JhDdYRuIOsj0Wh2M-Qa_eaXl0NbWmh"&amp;"AOTbfQAs/edit?usp=sharing"",""ปัตตานี!M583"")+IMPORTRANGE(""https://docs.google.com/spreadsheets/d/16JDLGguT8s5DsGCND1KcwHP_AWR_zDMTqLHPLJUKhaU/edit?usp=sharing"",""พังงา!M583"")+IMPORTRANGE(""https://docs.google.com/spreadsheets/d/17ht0gPKzzT3PObBL1XJkeR"&amp;"mntBXI7wGjpLV7QorqlTk/edit?usp=sharing"",""พัทลุง!M583"")+IMPORTRANGE(""https://docs.google.com/spreadsheets/d/1rd4qoM1q_hsgaolqNGfrim9gbsoLxQsda4-vOz5x_BM/edit?usp=sharing"",""ภูเก็ต!M583"")+IMPORTRANGE(""https://docs.google.com/spreadsheets/d/1woKwKjgoL"&amp;"ssDvPcPeVyezB5izizAn4X1JDrys69n6xI/edit?usp=sharing"",""ยะลา!M583"")+IMPORTRANGE(""https://docs.google.com/spreadsheets/d/1qfrKjzMhm2HJfxQ-qVlJlJQ25Hne1d0khsySbZyGtPA/edit?usp=sharing"",""ระนอง!M583"")+IMPORTRANGE(""https://docs.google.com/spreadsheets/d/"&amp;"1IbSCnFOKpZsnFogBHJnL_isstZVaOMnFiIN0fGTPZZw/edit?usp=sharing"",""สงขลา!M583"")+IMPORTRANGE(""https://docs.google.com/spreadsheets/d/1q9nWasZJ-K8bFGvbE9n0qSRuKGA4Toe3Y89cKCiVtCU/edit?usp=sharing"",""สตูล!M583"")+IMPORTRANGE(""https://docs.google.com/sprea"&amp;"dsheets/d/18T20gbkS_WBjdscyTOV05cvq_JqvqQ17C81mpxf7Ncs/edit?usp=sharing"",""สุราษฎร์ธานี!M583"")"),0)</f>
        <v>0</v>
      </c>
      <c r="N583" s="49">
        <f ca="1">IFERROR(__xludf.DUMMYFUNCTION("IMPORTRANGE(""https://docs.google.com/spreadsheets/d/1kKUcYdkIfrgTSj8iHHHB2MD2FAtwyyocFgqGQn6ADyI/edit?usp=sharing"",""กระบี่!N583"")+IMPORTRANGE(""https://docs.google.com/spreadsheets/d/1GwtLaSlNZkLk7iDqcyZz22giiy40b_usZZBXYciEN1U/edit?usp=sharing"",""ชุ"&amp;"มพร!N583"")+IMPORTRANGE(""https://docs.google.com/spreadsheets/d/16pAz3pOhQEZBhvFNMa5KGgZS6iKWpsKX0pg6tQmwFpo/edit?usp=sharing"",""ตรัง!N583"")+IMPORTRANGE(""https://docs.google.com/spreadsheets/d/1Dj4jcHCTV9JXKCaMoheSXS52JE63kDKyG7bPXnFogHk/edit?usp=shar"&amp;"ing"",""นครศรีธรรมราช!N583"")+IMPORTRANGE(""https://docs.google.com/spreadsheets/d/1iodCdmuK2GR3jzUwk8tpccY2JHQQA-87DLOtJP-ooyU/edit?usp=sharing"",""นราธิวาส!N583"")+IMPORTRANGE(""https://docs.google.com/spreadsheets/d/1SDNX3JhDdYRuIOsj0Wh2M-Qa_eaXl0NbWmh"&amp;"AOTbfQAs/edit?usp=sharing"",""ปัตตานี!N583"")+IMPORTRANGE(""https://docs.google.com/spreadsheets/d/16JDLGguT8s5DsGCND1KcwHP_AWR_zDMTqLHPLJUKhaU/edit?usp=sharing"",""พังงา!N583"")+IMPORTRANGE(""https://docs.google.com/spreadsheets/d/17ht0gPKzzT3PObBL1XJkeR"&amp;"mntBXI7wGjpLV7QorqlTk/edit?usp=sharing"",""พัทลุง!N583"")+IMPORTRANGE(""https://docs.google.com/spreadsheets/d/1rd4qoM1q_hsgaolqNGfrim9gbsoLxQsda4-vOz5x_BM/edit?usp=sharing"",""ภูเก็ต!N583"")+IMPORTRANGE(""https://docs.google.com/spreadsheets/d/1woKwKjgoL"&amp;"ssDvPcPeVyezB5izizAn4X1JDrys69n6xI/edit?usp=sharing"",""ยะลา!N583"")+IMPORTRANGE(""https://docs.google.com/spreadsheets/d/1qfrKjzMhm2HJfxQ-qVlJlJQ25Hne1d0khsySbZyGtPA/edit?usp=sharing"",""ระนอง!N583"")+IMPORTRANGE(""https://docs.google.com/spreadsheets/d/"&amp;"1IbSCnFOKpZsnFogBHJnL_isstZVaOMnFiIN0fGTPZZw/edit?usp=sharing"",""สงขลา!N583"")+IMPORTRANGE(""https://docs.google.com/spreadsheets/d/1q9nWasZJ-K8bFGvbE9n0qSRuKGA4Toe3Y89cKCiVtCU/edit?usp=sharing"",""สตูล!N583"")+IMPORTRANGE(""https://docs.google.com/sprea"&amp;"dsheets/d/18T20gbkS_WBjdscyTOV05cvq_JqvqQ17C81mpxf7Ncs/edit?usp=sharing"",""สุราษฎร์ธานี!N583"")"),0)</f>
        <v>0</v>
      </c>
      <c r="O583" s="49">
        <f t="shared" ca="1" si="409"/>
        <v>0</v>
      </c>
      <c r="P583" s="49">
        <f t="shared" ca="1" si="410"/>
        <v>0</v>
      </c>
      <c r="Q583" s="49">
        <f ca="1">IFERROR(__xludf.DUMMYFUNCTION("IMPORTRANGE(""https://docs.google.com/spreadsheets/d/1kKUcYdkIfrgTSj8iHHHB2MD2FAtwyyocFgqGQn6ADyI/edit?usp=sharing"",""กระบี่!Q583"")+IMPORTRANGE(""https://docs.google.com/spreadsheets/d/1GwtLaSlNZkLk7iDqcyZz22giiy40b_usZZBXYciEN1U/edit?usp=sharing"",""ชุ"&amp;"มพร!Q583"")+IMPORTRANGE(""https://docs.google.com/spreadsheets/d/16pAz3pOhQEZBhvFNMa5KGgZS6iKWpsKX0pg6tQmwFpo/edit?usp=sharing"",""ตรัง!Q583"")+IMPORTRANGE(""https://docs.google.com/spreadsheets/d/1Dj4jcHCTV9JXKCaMoheSXS52JE63kDKyG7bPXnFogHk/edit?usp=shar"&amp;"ing"",""นครศรีธรรมราช!Q583"")+IMPORTRANGE(""https://docs.google.com/spreadsheets/d/1iodCdmuK2GR3jzUwk8tpccY2JHQQA-87DLOtJP-ooyU/edit?usp=sharing"",""นราธิวาส!Q583"")+IMPORTRANGE(""https://docs.google.com/spreadsheets/d/1SDNX3JhDdYRuIOsj0Wh2M-Qa_eaXl0NbWmh"&amp;"AOTbfQAs/edit?usp=sharing"",""ปัตตานี!Q583"")+IMPORTRANGE(""https://docs.google.com/spreadsheets/d/16JDLGguT8s5DsGCND1KcwHP_AWR_zDMTqLHPLJUKhaU/edit?usp=sharing"",""พังงา!Q583"")+IMPORTRANGE(""https://docs.google.com/spreadsheets/d/17ht0gPKzzT3PObBL1XJkeR"&amp;"mntBXI7wGjpLV7QorqlTk/edit?usp=sharing"",""พัทลุง!Q583"")+IMPORTRANGE(""https://docs.google.com/spreadsheets/d/1rd4qoM1q_hsgaolqNGfrim9gbsoLxQsda4-vOz5x_BM/edit?usp=sharing"",""ภูเก็ต!Q583"")+IMPORTRANGE(""https://docs.google.com/spreadsheets/d/1woKwKjgoL"&amp;"ssDvPcPeVyezB5izizAn4X1JDrys69n6xI/edit?usp=sharing"",""ยะลา!Q583"")+IMPORTRANGE(""https://docs.google.com/spreadsheets/d/1qfrKjzMhm2HJfxQ-qVlJlJQ25Hne1d0khsySbZyGtPA/edit?usp=sharing"",""ระนอง!Q583"")+IMPORTRANGE(""https://docs.google.com/spreadsheets/d/"&amp;"1IbSCnFOKpZsnFogBHJnL_isstZVaOMnFiIN0fGTPZZw/edit?usp=sharing"",""สงขลา!Q583"")+IMPORTRANGE(""https://docs.google.com/spreadsheets/d/1q9nWasZJ-K8bFGvbE9n0qSRuKGA4Toe3Y89cKCiVtCU/edit?usp=sharing"",""สตูล!Q583"")+IMPORTRANGE(""https://docs.google.com/sprea"&amp;"dsheets/d/18T20gbkS_WBjdscyTOV05cvq_JqvqQ17C81mpxf7Ncs/edit?usp=sharing"",""สุราษฎร์ธานี!Q583"")"),0)</f>
        <v>0</v>
      </c>
      <c r="R583" s="49">
        <f ca="1">IFERROR(__xludf.DUMMYFUNCTION("IMPORTRANGE(""https://docs.google.com/spreadsheets/d/1kKUcYdkIfrgTSj8iHHHB2MD2FAtwyyocFgqGQn6ADyI/edit?usp=sharing"",""กระบี่!R583"")+IMPORTRANGE(""https://docs.google.com/spreadsheets/d/1GwtLaSlNZkLk7iDqcyZz22giiy40b_usZZBXYciEN1U/edit?usp=sharing"",""ชุ"&amp;"มพร!R583"")+IMPORTRANGE(""https://docs.google.com/spreadsheets/d/16pAz3pOhQEZBhvFNMa5KGgZS6iKWpsKX0pg6tQmwFpo/edit?usp=sharing"",""ตรัง!R583"")+IMPORTRANGE(""https://docs.google.com/spreadsheets/d/1Dj4jcHCTV9JXKCaMoheSXS52JE63kDKyG7bPXnFogHk/edit?usp=shar"&amp;"ing"",""นครศรีธรรมราช!R583"")+IMPORTRANGE(""https://docs.google.com/spreadsheets/d/1iodCdmuK2GR3jzUwk8tpccY2JHQQA-87DLOtJP-ooyU/edit?usp=sharing"",""นราธิวาส!R583"")+IMPORTRANGE(""https://docs.google.com/spreadsheets/d/1SDNX3JhDdYRuIOsj0Wh2M-Qa_eaXl0NbWmh"&amp;"AOTbfQAs/edit?usp=sharing"",""ปัตตานี!R583"")+IMPORTRANGE(""https://docs.google.com/spreadsheets/d/16JDLGguT8s5DsGCND1KcwHP_AWR_zDMTqLHPLJUKhaU/edit?usp=sharing"",""พังงา!R583"")+IMPORTRANGE(""https://docs.google.com/spreadsheets/d/17ht0gPKzzT3PObBL1XJkeR"&amp;"mntBXI7wGjpLV7QorqlTk/edit?usp=sharing"",""พัทลุง!R583"")+IMPORTRANGE(""https://docs.google.com/spreadsheets/d/1rd4qoM1q_hsgaolqNGfrim9gbsoLxQsda4-vOz5x_BM/edit?usp=sharing"",""ภูเก็ต!R583"")+IMPORTRANGE(""https://docs.google.com/spreadsheets/d/1woKwKjgoL"&amp;"ssDvPcPeVyezB5izizAn4X1JDrys69n6xI/edit?usp=sharing"",""ยะลา!R583"")+IMPORTRANGE(""https://docs.google.com/spreadsheets/d/1qfrKjzMhm2HJfxQ-qVlJlJQ25Hne1d0khsySbZyGtPA/edit?usp=sharing"",""ระนอง!R583"")+IMPORTRANGE(""https://docs.google.com/spreadsheets/d/"&amp;"1IbSCnFOKpZsnFogBHJnL_isstZVaOMnFiIN0fGTPZZw/edit?usp=sharing"",""สงขลา!R583"")+IMPORTRANGE(""https://docs.google.com/spreadsheets/d/1q9nWasZJ-K8bFGvbE9n0qSRuKGA4Toe3Y89cKCiVtCU/edit?usp=sharing"",""สตูล!R583"")+IMPORTRANGE(""https://docs.google.com/sprea"&amp;"dsheets/d/18T20gbkS_WBjdscyTOV05cvq_JqvqQ17C81mpxf7Ncs/edit?usp=sharing"",""สุราษฎร์ธานี!R583"")"),0)</f>
        <v>0</v>
      </c>
      <c r="S583" s="49">
        <f ca="1">IFERROR(__xludf.DUMMYFUNCTION("IMPORTRANGE(""https://docs.google.com/spreadsheets/d/1kKUcYdkIfrgTSj8iHHHB2MD2FAtwyyocFgqGQn6ADyI/edit?usp=sharing"",""กระบี่!S583"")+IMPORTRANGE(""https://docs.google.com/spreadsheets/d/1GwtLaSlNZkLk7iDqcyZz22giiy40b_usZZBXYciEN1U/edit?usp=sharing"",""ชุ"&amp;"มพร!S583"")+IMPORTRANGE(""https://docs.google.com/spreadsheets/d/16pAz3pOhQEZBhvFNMa5KGgZS6iKWpsKX0pg6tQmwFpo/edit?usp=sharing"",""ตรัง!S583"")+IMPORTRANGE(""https://docs.google.com/spreadsheets/d/1Dj4jcHCTV9JXKCaMoheSXS52JE63kDKyG7bPXnFogHk/edit?usp=shar"&amp;"ing"",""นครศรีธรรมราช!S583"")+IMPORTRANGE(""https://docs.google.com/spreadsheets/d/1iodCdmuK2GR3jzUwk8tpccY2JHQQA-87DLOtJP-ooyU/edit?usp=sharing"",""นราธิวาส!S583"")+IMPORTRANGE(""https://docs.google.com/spreadsheets/d/1SDNX3JhDdYRuIOsj0Wh2M-Qa_eaXl0NbWmh"&amp;"AOTbfQAs/edit?usp=sharing"",""ปัตตานี!S583"")+IMPORTRANGE(""https://docs.google.com/spreadsheets/d/16JDLGguT8s5DsGCND1KcwHP_AWR_zDMTqLHPLJUKhaU/edit?usp=sharing"",""พังงา!S583"")+IMPORTRANGE(""https://docs.google.com/spreadsheets/d/17ht0gPKzzT3PObBL1XJkeR"&amp;"mntBXI7wGjpLV7QorqlTk/edit?usp=sharing"",""พัทลุง!S583"")+IMPORTRANGE(""https://docs.google.com/spreadsheets/d/1rd4qoM1q_hsgaolqNGfrim9gbsoLxQsda4-vOz5x_BM/edit?usp=sharing"",""ภูเก็ต!S583"")+IMPORTRANGE(""https://docs.google.com/spreadsheets/d/1woKwKjgoL"&amp;"ssDvPcPeVyezB5izizAn4X1JDrys69n6xI/edit?usp=sharing"",""ยะลา!S583"")+IMPORTRANGE(""https://docs.google.com/spreadsheets/d/1qfrKjzMhm2HJfxQ-qVlJlJQ25Hne1d0khsySbZyGtPA/edit?usp=sharing"",""ระนอง!S583"")+IMPORTRANGE(""https://docs.google.com/spreadsheets/d/"&amp;"1IbSCnFOKpZsnFogBHJnL_isstZVaOMnFiIN0fGTPZZw/edit?usp=sharing"",""สงขลา!S583"")+IMPORTRANGE(""https://docs.google.com/spreadsheets/d/1q9nWasZJ-K8bFGvbE9n0qSRuKGA4Toe3Y89cKCiVtCU/edit?usp=sharing"",""สตูล!S583"")+IMPORTRANGE(""https://docs.google.com/sprea"&amp;"dsheets/d/18T20gbkS_WBjdscyTOV05cvq_JqvqQ17C81mpxf7Ncs/edit?usp=sharing"",""สุราษฎร์ธานี!S583"")"),0)</f>
        <v>0</v>
      </c>
      <c r="T583" s="49">
        <f t="shared" ca="1" si="412"/>
        <v>0</v>
      </c>
      <c r="U583" s="49">
        <f t="shared" ca="1" si="413"/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47">
        <f ca="1">IFERROR(__xludf.DUMMYFUNCTION("IMPORTRANGE(""https://docs.google.com/spreadsheets/d/1kKUcYdkIfrgTSj8iHHHB2MD2FAtwyyocFgqGQn6ADyI/edit?usp=sharing"",""กระบี่!L584"")+IMPORTRANGE(""https://docs.google.com/spreadsheets/d/1GwtLaSlNZkLk7iDqcyZz22giiy40b_usZZBXYciEN1U/edit?usp=sharing"",""ชุ"&amp;"มพร!L584"")+IMPORTRANGE(""https://docs.google.com/spreadsheets/d/16pAz3pOhQEZBhvFNMa5KGgZS6iKWpsKX0pg6tQmwFpo/edit?usp=sharing"",""ตรัง!L584"")+IMPORTRANGE(""https://docs.google.com/spreadsheets/d/1Dj4jcHCTV9JXKCaMoheSXS52JE63kDKyG7bPXnFogHk/edit?usp=shar"&amp;"ing"",""นครศรีธรรมราช!L584"")+IMPORTRANGE(""https://docs.google.com/spreadsheets/d/1iodCdmuK2GR3jzUwk8tpccY2JHQQA-87DLOtJP-ooyU/edit?usp=sharing"",""นราธิวาส!L584"")+IMPORTRANGE(""https://docs.google.com/spreadsheets/d/1SDNX3JhDdYRuIOsj0Wh2M-Qa_eaXl0NbWmh"&amp;"AOTbfQAs/edit?usp=sharing"",""ปัตตานี!L584"")+IMPORTRANGE(""https://docs.google.com/spreadsheets/d/16JDLGguT8s5DsGCND1KcwHP_AWR_zDMTqLHPLJUKhaU/edit?usp=sharing"",""พังงา!L584"")+IMPORTRANGE(""https://docs.google.com/spreadsheets/d/17ht0gPKzzT3PObBL1XJkeR"&amp;"mntBXI7wGjpLV7QorqlTk/edit?usp=sharing"",""พัทลุง!L584"")+IMPORTRANGE(""https://docs.google.com/spreadsheets/d/1rd4qoM1q_hsgaolqNGfrim9gbsoLxQsda4-vOz5x_BM/edit?usp=sharing"",""ภูเก็ต!L584"")+IMPORTRANGE(""https://docs.google.com/spreadsheets/d/1woKwKjgoL"&amp;"ssDvPcPeVyezB5izizAn4X1JDrys69n6xI/edit?usp=sharing"",""ยะลา!L584"")+IMPORTRANGE(""https://docs.google.com/spreadsheets/d/1qfrKjzMhm2HJfxQ-qVlJlJQ25Hne1d0khsySbZyGtPA/edit?usp=sharing"",""ระนอง!L584"")+IMPORTRANGE(""https://docs.google.com/spreadsheets/d/"&amp;"1IbSCnFOKpZsnFogBHJnL_isstZVaOMnFiIN0fGTPZZw/edit?usp=sharing"",""สงขลา!L584"")+IMPORTRANGE(""https://docs.google.com/spreadsheets/d/1q9nWasZJ-K8bFGvbE9n0qSRuKGA4Toe3Y89cKCiVtCU/edit?usp=sharing"",""สตูล!L584"")+IMPORTRANGE(""https://docs.google.com/sprea"&amp;"dsheets/d/18T20gbkS_WBjdscyTOV05cvq_JqvqQ17C81mpxf7Ncs/edit?usp=sharing"",""สุราษฎร์ธานี!L584"")"),0)</f>
        <v>0</v>
      </c>
      <c r="M584" s="47">
        <f ca="1">IFERROR(__xludf.DUMMYFUNCTION("IMPORTRANGE(""https://docs.google.com/spreadsheets/d/1kKUcYdkIfrgTSj8iHHHB2MD2FAtwyyocFgqGQn6ADyI/edit?usp=sharing"",""กระบี่!M584"")+IMPORTRANGE(""https://docs.google.com/spreadsheets/d/1GwtLaSlNZkLk7iDqcyZz22giiy40b_usZZBXYciEN1U/edit?usp=sharing"",""ชุ"&amp;"มพร!M584"")+IMPORTRANGE(""https://docs.google.com/spreadsheets/d/16pAz3pOhQEZBhvFNMa5KGgZS6iKWpsKX0pg6tQmwFpo/edit?usp=sharing"",""ตรัง!M584"")+IMPORTRANGE(""https://docs.google.com/spreadsheets/d/1Dj4jcHCTV9JXKCaMoheSXS52JE63kDKyG7bPXnFogHk/edit?usp=shar"&amp;"ing"",""นครศรีธรรมราช!M584"")+IMPORTRANGE(""https://docs.google.com/spreadsheets/d/1iodCdmuK2GR3jzUwk8tpccY2JHQQA-87DLOtJP-ooyU/edit?usp=sharing"",""นราธิวาส!M584"")+IMPORTRANGE(""https://docs.google.com/spreadsheets/d/1SDNX3JhDdYRuIOsj0Wh2M-Qa_eaXl0NbWmh"&amp;"AOTbfQAs/edit?usp=sharing"",""ปัตตานี!M584"")+IMPORTRANGE(""https://docs.google.com/spreadsheets/d/16JDLGguT8s5DsGCND1KcwHP_AWR_zDMTqLHPLJUKhaU/edit?usp=sharing"",""พังงา!M584"")+IMPORTRANGE(""https://docs.google.com/spreadsheets/d/17ht0gPKzzT3PObBL1XJkeR"&amp;"mntBXI7wGjpLV7QorqlTk/edit?usp=sharing"",""พัทลุง!M584"")+IMPORTRANGE(""https://docs.google.com/spreadsheets/d/1rd4qoM1q_hsgaolqNGfrim9gbsoLxQsda4-vOz5x_BM/edit?usp=sharing"",""ภูเก็ต!M584"")+IMPORTRANGE(""https://docs.google.com/spreadsheets/d/1woKwKjgoL"&amp;"ssDvPcPeVyezB5izizAn4X1JDrys69n6xI/edit?usp=sharing"",""ยะลา!M584"")+IMPORTRANGE(""https://docs.google.com/spreadsheets/d/1qfrKjzMhm2HJfxQ-qVlJlJQ25Hne1d0khsySbZyGtPA/edit?usp=sharing"",""ระนอง!M584"")+IMPORTRANGE(""https://docs.google.com/spreadsheets/d/"&amp;"1IbSCnFOKpZsnFogBHJnL_isstZVaOMnFiIN0fGTPZZw/edit?usp=sharing"",""สงขลา!M584"")+IMPORTRANGE(""https://docs.google.com/spreadsheets/d/1q9nWasZJ-K8bFGvbE9n0qSRuKGA4Toe3Y89cKCiVtCU/edit?usp=sharing"",""สตูล!M584"")+IMPORTRANGE(""https://docs.google.com/sprea"&amp;"dsheets/d/18T20gbkS_WBjdscyTOV05cvq_JqvqQ17C81mpxf7Ncs/edit?usp=sharing"",""สุราษฎร์ธานี!M584"")"),0)</f>
        <v>0</v>
      </c>
      <c r="N584" s="47">
        <f ca="1">IFERROR(__xludf.DUMMYFUNCTION("IMPORTRANGE(""https://docs.google.com/spreadsheets/d/1kKUcYdkIfrgTSj8iHHHB2MD2FAtwyyocFgqGQn6ADyI/edit?usp=sharing"",""กระบี่!N584"")+IMPORTRANGE(""https://docs.google.com/spreadsheets/d/1GwtLaSlNZkLk7iDqcyZz22giiy40b_usZZBXYciEN1U/edit?usp=sharing"",""ชุ"&amp;"มพร!N584"")+IMPORTRANGE(""https://docs.google.com/spreadsheets/d/16pAz3pOhQEZBhvFNMa5KGgZS6iKWpsKX0pg6tQmwFpo/edit?usp=sharing"",""ตรัง!N584"")+IMPORTRANGE(""https://docs.google.com/spreadsheets/d/1Dj4jcHCTV9JXKCaMoheSXS52JE63kDKyG7bPXnFogHk/edit?usp=shar"&amp;"ing"",""นครศรีธรรมราช!N584"")+IMPORTRANGE(""https://docs.google.com/spreadsheets/d/1iodCdmuK2GR3jzUwk8tpccY2JHQQA-87DLOtJP-ooyU/edit?usp=sharing"",""นราธิวาส!N584"")+IMPORTRANGE(""https://docs.google.com/spreadsheets/d/1SDNX3JhDdYRuIOsj0Wh2M-Qa_eaXl0NbWmh"&amp;"AOTbfQAs/edit?usp=sharing"",""ปัตตานี!N584"")+IMPORTRANGE(""https://docs.google.com/spreadsheets/d/16JDLGguT8s5DsGCND1KcwHP_AWR_zDMTqLHPLJUKhaU/edit?usp=sharing"",""พังงา!N584"")+IMPORTRANGE(""https://docs.google.com/spreadsheets/d/17ht0gPKzzT3PObBL1XJkeR"&amp;"mntBXI7wGjpLV7QorqlTk/edit?usp=sharing"",""พัทลุง!N584"")+IMPORTRANGE(""https://docs.google.com/spreadsheets/d/1rd4qoM1q_hsgaolqNGfrim9gbsoLxQsda4-vOz5x_BM/edit?usp=sharing"",""ภูเก็ต!N584"")+IMPORTRANGE(""https://docs.google.com/spreadsheets/d/1woKwKjgoL"&amp;"ssDvPcPeVyezB5izizAn4X1JDrys69n6xI/edit?usp=sharing"",""ยะลา!N584"")+IMPORTRANGE(""https://docs.google.com/spreadsheets/d/1qfrKjzMhm2HJfxQ-qVlJlJQ25Hne1d0khsySbZyGtPA/edit?usp=sharing"",""ระนอง!N584"")+IMPORTRANGE(""https://docs.google.com/spreadsheets/d/"&amp;"1IbSCnFOKpZsnFogBHJnL_isstZVaOMnFiIN0fGTPZZw/edit?usp=sharing"",""สงขลา!N584"")+IMPORTRANGE(""https://docs.google.com/spreadsheets/d/1q9nWasZJ-K8bFGvbE9n0qSRuKGA4Toe3Y89cKCiVtCU/edit?usp=sharing"",""สตูล!N584"")+IMPORTRANGE(""https://docs.google.com/sprea"&amp;"dsheets/d/18T20gbkS_WBjdscyTOV05cvq_JqvqQ17C81mpxf7Ncs/edit?usp=sharing"",""สุราษฎร์ธานี!N584"")"),0)</f>
        <v>0</v>
      </c>
      <c r="O584" s="47">
        <f t="shared" ca="1" si="409"/>
        <v>0</v>
      </c>
      <c r="P584" s="47">
        <f t="shared" ca="1" si="410"/>
        <v>0</v>
      </c>
      <c r="Q584" s="47">
        <f ca="1">IFERROR(__xludf.DUMMYFUNCTION("IMPORTRANGE(""https://docs.google.com/spreadsheets/d/1kKUcYdkIfrgTSj8iHHHB2MD2FAtwyyocFgqGQn6ADyI/edit?usp=sharing"",""กระบี่!Q584"")+IMPORTRANGE(""https://docs.google.com/spreadsheets/d/1GwtLaSlNZkLk7iDqcyZz22giiy40b_usZZBXYciEN1U/edit?usp=sharing"",""ชุ"&amp;"มพร!Q584"")+IMPORTRANGE(""https://docs.google.com/spreadsheets/d/16pAz3pOhQEZBhvFNMa5KGgZS6iKWpsKX0pg6tQmwFpo/edit?usp=sharing"",""ตรัง!Q584"")+IMPORTRANGE(""https://docs.google.com/spreadsheets/d/1Dj4jcHCTV9JXKCaMoheSXS52JE63kDKyG7bPXnFogHk/edit?usp=shar"&amp;"ing"",""นครศรีธรรมราช!Q584"")+IMPORTRANGE(""https://docs.google.com/spreadsheets/d/1iodCdmuK2GR3jzUwk8tpccY2JHQQA-87DLOtJP-ooyU/edit?usp=sharing"",""นราธิวาส!Q584"")+IMPORTRANGE(""https://docs.google.com/spreadsheets/d/1SDNX3JhDdYRuIOsj0Wh2M-Qa_eaXl0NbWmh"&amp;"AOTbfQAs/edit?usp=sharing"",""ปัตตานี!Q584"")+IMPORTRANGE(""https://docs.google.com/spreadsheets/d/16JDLGguT8s5DsGCND1KcwHP_AWR_zDMTqLHPLJUKhaU/edit?usp=sharing"",""พังงา!Q584"")+IMPORTRANGE(""https://docs.google.com/spreadsheets/d/17ht0gPKzzT3PObBL1XJkeR"&amp;"mntBXI7wGjpLV7QorqlTk/edit?usp=sharing"",""พัทลุง!Q584"")+IMPORTRANGE(""https://docs.google.com/spreadsheets/d/1rd4qoM1q_hsgaolqNGfrim9gbsoLxQsda4-vOz5x_BM/edit?usp=sharing"",""ภูเก็ต!Q584"")+IMPORTRANGE(""https://docs.google.com/spreadsheets/d/1woKwKjgoL"&amp;"ssDvPcPeVyezB5izizAn4X1JDrys69n6xI/edit?usp=sharing"",""ยะลา!Q584"")+IMPORTRANGE(""https://docs.google.com/spreadsheets/d/1qfrKjzMhm2HJfxQ-qVlJlJQ25Hne1d0khsySbZyGtPA/edit?usp=sharing"",""ระนอง!Q584"")+IMPORTRANGE(""https://docs.google.com/spreadsheets/d/"&amp;"1IbSCnFOKpZsnFogBHJnL_isstZVaOMnFiIN0fGTPZZw/edit?usp=sharing"",""สงขลา!Q584"")+IMPORTRANGE(""https://docs.google.com/spreadsheets/d/1q9nWasZJ-K8bFGvbE9n0qSRuKGA4Toe3Y89cKCiVtCU/edit?usp=sharing"",""สตูล!Q584"")+IMPORTRANGE(""https://docs.google.com/sprea"&amp;"dsheets/d/18T20gbkS_WBjdscyTOV05cvq_JqvqQ17C81mpxf7Ncs/edit?usp=sharing"",""สุราษฎร์ธานี!Q584"")"),0)</f>
        <v>0</v>
      </c>
      <c r="R584" s="47">
        <f ca="1">IFERROR(__xludf.DUMMYFUNCTION("IMPORTRANGE(""https://docs.google.com/spreadsheets/d/1kKUcYdkIfrgTSj8iHHHB2MD2FAtwyyocFgqGQn6ADyI/edit?usp=sharing"",""กระบี่!R584"")+IMPORTRANGE(""https://docs.google.com/spreadsheets/d/1GwtLaSlNZkLk7iDqcyZz22giiy40b_usZZBXYciEN1U/edit?usp=sharing"",""ชุ"&amp;"มพร!R584"")+IMPORTRANGE(""https://docs.google.com/spreadsheets/d/16pAz3pOhQEZBhvFNMa5KGgZS6iKWpsKX0pg6tQmwFpo/edit?usp=sharing"",""ตรัง!R584"")+IMPORTRANGE(""https://docs.google.com/spreadsheets/d/1Dj4jcHCTV9JXKCaMoheSXS52JE63kDKyG7bPXnFogHk/edit?usp=shar"&amp;"ing"",""นครศรีธรรมราช!R584"")+IMPORTRANGE(""https://docs.google.com/spreadsheets/d/1iodCdmuK2GR3jzUwk8tpccY2JHQQA-87DLOtJP-ooyU/edit?usp=sharing"",""นราธิวาส!R584"")+IMPORTRANGE(""https://docs.google.com/spreadsheets/d/1SDNX3JhDdYRuIOsj0Wh2M-Qa_eaXl0NbWmh"&amp;"AOTbfQAs/edit?usp=sharing"",""ปัตตานี!R584"")+IMPORTRANGE(""https://docs.google.com/spreadsheets/d/16JDLGguT8s5DsGCND1KcwHP_AWR_zDMTqLHPLJUKhaU/edit?usp=sharing"",""พังงา!R584"")+IMPORTRANGE(""https://docs.google.com/spreadsheets/d/17ht0gPKzzT3PObBL1XJkeR"&amp;"mntBXI7wGjpLV7QorqlTk/edit?usp=sharing"",""พัทลุง!R584"")+IMPORTRANGE(""https://docs.google.com/spreadsheets/d/1rd4qoM1q_hsgaolqNGfrim9gbsoLxQsda4-vOz5x_BM/edit?usp=sharing"",""ภูเก็ต!R584"")+IMPORTRANGE(""https://docs.google.com/spreadsheets/d/1woKwKjgoL"&amp;"ssDvPcPeVyezB5izizAn4X1JDrys69n6xI/edit?usp=sharing"",""ยะลา!R584"")+IMPORTRANGE(""https://docs.google.com/spreadsheets/d/1qfrKjzMhm2HJfxQ-qVlJlJQ25Hne1d0khsySbZyGtPA/edit?usp=sharing"",""ระนอง!R584"")+IMPORTRANGE(""https://docs.google.com/spreadsheets/d/"&amp;"1IbSCnFOKpZsnFogBHJnL_isstZVaOMnFiIN0fGTPZZw/edit?usp=sharing"",""สงขลา!R584"")+IMPORTRANGE(""https://docs.google.com/spreadsheets/d/1q9nWasZJ-K8bFGvbE9n0qSRuKGA4Toe3Y89cKCiVtCU/edit?usp=sharing"",""สตูล!R584"")+IMPORTRANGE(""https://docs.google.com/sprea"&amp;"dsheets/d/18T20gbkS_WBjdscyTOV05cvq_JqvqQ17C81mpxf7Ncs/edit?usp=sharing"",""สุราษฎร์ธานี!R584"")"),0)</f>
        <v>0</v>
      </c>
      <c r="S584" s="47">
        <f ca="1">IFERROR(__xludf.DUMMYFUNCTION("IMPORTRANGE(""https://docs.google.com/spreadsheets/d/1kKUcYdkIfrgTSj8iHHHB2MD2FAtwyyocFgqGQn6ADyI/edit?usp=sharing"",""กระบี่!S584"")+IMPORTRANGE(""https://docs.google.com/spreadsheets/d/1GwtLaSlNZkLk7iDqcyZz22giiy40b_usZZBXYciEN1U/edit?usp=sharing"",""ชุ"&amp;"มพร!S584"")+IMPORTRANGE(""https://docs.google.com/spreadsheets/d/16pAz3pOhQEZBhvFNMa5KGgZS6iKWpsKX0pg6tQmwFpo/edit?usp=sharing"",""ตรัง!S584"")+IMPORTRANGE(""https://docs.google.com/spreadsheets/d/1Dj4jcHCTV9JXKCaMoheSXS52JE63kDKyG7bPXnFogHk/edit?usp=shar"&amp;"ing"",""นครศรีธรรมราช!S584"")+IMPORTRANGE(""https://docs.google.com/spreadsheets/d/1iodCdmuK2GR3jzUwk8tpccY2JHQQA-87DLOtJP-ooyU/edit?usp=sharing"",""นราธิวาส!S584"")+IMPORTRANGE(""https://docs.google.com/spreadsheets/d/1SDNX3JhDdYRuIOsj0Wh2M-Qa_eaXl0NbWmh"&amp;"AOTbfQAs/edit?usp=sharing"",""ปัตตานี!S584"")+IMPORTRANGE(""https://docs.google.com/spreadsheets/d/16JDLGguT8s5DsGCND1KcwHP_AWR_zDMTqLHPLJUKhaU/edit?usp=sharing"",""พังงา!S584"")+IMPORTRANGE(""https://docs.google.com/spreadsheets/d/17ht0gPKzzT3PObBL1XJkeR"&amp;"mntBXI7wGjpLV7QorqlTk/edit?usp=sharing"",""พัทลุง!S584"")+IMPORTRANGE(""https://docs.google.com/spreadsheets/d/1rd4qoM1q_hsgaolqNGfrim9gbsoLxQsda4-vOz5x_BM/edit?usp=sharing"",""ภูเก็ต!S584"")+IMPORTRANGE(""https://docs.google.com/spreadsheets/d/1woKwKjgoL"&amp;"ssDvPcPeVyezB5izizAn4X1JDrys69n6xI/edit?usp=sharing"",""ยะลา!S584"")+IMPORTRANGE(""https://docs.google.com/spreadsheets/d/1qfrKjzMhm2HJfxQ-qVlJlJQ25Hne1d0khsySbZyGtPA/edit?usp=sharing"",""ระนอง!S584"")+IMPORTRANGE(""https://docs.google.com/spreadsheets/d/"&amp;"1IbSCnFOKpZsnFogBHJnL_isstZVaOMnFiIN0fGTPZZw/edit?usp=sharing"",""สงขลา!S584"")+IMPORTRANGE(""https://docs.google.com/spreadsheets/d/1q9nWasZJ-K8bFGvbE9n0qSRuKGA4Toe3Y89cKCiVtCU/edit?usp=sharing"",""สตูล!S584"")+IMPORTRANGE(""https://docs.google.com/sprea"&amp;"dsheets/d/18T20gbkS_WBjdscyTOV05cvq_JqvqQ17C81mpxf7Ncs/edit?usp=sharing"",""สุราษฎร์ธานี!S584"")"),0)</f>
        <v>0</v>
      </c>
      <c r="T584" s="47">
        <f t="shared" ca="1" si="412"/>
        <v>0</v>
      </c>
      <c r="U584" s="47">
        <f t="shared" ca="1" si="413"/>
        <v>0</v>
      </c>
    </row>
    <row r="585" spans="1:21" ht="19.5" x14ac:dyDescent="0.3">
      <c r="A585" s="138"/>
      <c r="B585" s="139"/>
      <c r="C585" s="386" t="s">
        <v>18</v>
      </c>
      <c r="D585" s="140" t="s">
        <v>38</v>
      </c>
      <c r="E585" s="141"/>
      <c r="F585" s="141"/>
      <c r="G585" s="142"/>
      <c r="H585" s="143"/>
      <c r="I585" s="135"/>
      <c r="J585" s="45"/>
      <c r="K585" s="46"/>
      <c r="L585" s="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f ca="1">IFERROR(__xludf.DUMMYFUNCTION("IMPORTRANGE(""https://docs.google.com/spreadsheets/d/1kKUcYdkIfrgTSj8iHHHB2MD2FAtwyyocFgqGQn6ADyI/edit?usp=sharing"",""กระบี่!I586"")+IMPORTRANGE(""https://docs.google.com/spreadsheets/d/1GwtLaSlNZkLk7iDqcyZz22giiy40b_usZZBXYciEN1U/edit?usp=sharing"",""ชุ"&amp;"มพร!I586"")+IMPORTRANGE(""https://docs.google.com/spreadsheets/d/1Dj4jcHCTV9JXKCaMoheSXS52JE63kDKyG7bPXnFogHk/edit?usp=sharing"",""นครศรีธรรมราช!I586"")+IMPORTRANGE(""https://docs.google.com/spreadsheets/d/17ht0gPKzzT3PObBL1XJkeRmntBXI7wGjpLV7QorqlTk/edit"&amp;"?usp=sharing"",""พัทลุง!I586"")+IMPORTRANGE(""https://docs.google.com/spreadsheets/d/18T20gbkS_WBjdscyTOV05cvq_JqvqQ17C81mpxf7Ncs/edit?usp=sharing"",""สุราษฎร์ธานี!I586"")"),12)</f>
        <v>12</v>
      </c>
      <c r="J586" s="175">
        <f ca="1">IFERROR(__xludf.DUMMYFUNCTION("IMPORTRANGE(""https://docs.google.com/spreadsheets/d/1kKUcYdkIfrgTSj8iHHHB2MD2FAtwyyocFgqGQn6ADyI/edit?usp=sharing"",""กระบี่!J586"")+IMPORTRANGE(""https://docs.google.com/spreadsheets/d/1GwtLaSlNZkLk7iDqcyZz22giiy40b_usZZBXYciEN1U/edit?usp=sharing"",""ชุ"&amp;"มพร!J586"")+IMPORTRANGE(""https://docs.google.com/spreadsheets/d/1Dj4jcHCTV9JXKCaMoheSXS52JE63kDKyG7bPXnFogHk/edit?usp=sharing"",""นครศรีธรรมราช!J586"")+IMPORTRANGE(""https://docs.google.com/spreadsheets/d/17ht0gPKzzT3PObBL1XJkeRmntBXI7wGjpLV7QorqlTk/edit"&amp;"?usp=sharing"",""พัทลุง!J586"")+IMPORTRANGE(""https://docs.google.com/spreadsheets/d/18T20gbkS_WBjdscyTOV05cvq_JqvqQ17C81mpxf7Ncs/edit?usp=sharing"",""สุราษฎร์ธานี!J586"")"),0)</f>
        <v>0</v>
      </c>
      <c r="K586" s="176">
        <f t="shared" ref="K586:K587" ca="1" si="422"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f ca="1">IFERROR(__xludf.DUMMYFUNCTION("IMPORTRANGE(""https://docs.google.com/spreadsheets/d/1kKUcYdkIfrgTSj8iHHHB2MD2FAtwyyocFgqGQn6ADyI/edit?usp=sharing"",""กระบี่!I587"")+IMPORTRANGE(""https://docs.google.com/spreadsheets/d/1GwtLaSlNZkLk7iDqcyZz22giiy40b_usZZBXYciEN1U/edit?usp=sharing"",""ชุ"&amp;"มพร!I587"")+IMPORTRANGE(""https://docs.google.com/spreadsheets/d/1Dj4jcHCTV9JXKCaMoheSXS52JE63kDKyG7bPXnFogHk/edit?usp=sharing"",""นครศรีธรรมราช!I587"")+IMPORTRANGE(""https://docs.google.com/spreadsheets/d/17ht0gPKzzT3PObBL1XJkeRmntBXI7wGjpLV7QorqlTk/edit"&amp;"?usp=sharing"",""พัทลุง!I587"")+IMPORTRANGE(""https://docs.google.com/spreadsheets/d/18T20gbkS_WBjdscyTOV05cvq_JqvqQ17C81mpxf7Ncs/edit?usp=sharing"",""สุราษฎร์ธานี!I587"")"),48)</f>
        <v>48</v>
      </c>
      <c r="J587" s="167">
        <f ca="1">IFERROR(__xludf.DUMMYFUNCTION("IMPORTRANGE(""https://docs.google.com/spreadsheets/d/1kKUcYdkIfrgTSj8iHHHB2MD2FAtwyyocFgqGQn6ADyI/edit?usp=sharing"",""กระบี่!J587"")+IMPORTRANGE(""https://docs.google.com/spreadsheets/d/1GwtLaSlNZkLk7iDqcyZz22giiy40b_usZZBXYciEN1U/edit?usp=sharing"",""ชุ"&amp;"มพร!J587"")+IMPORTRANGE(""https://docs.google.com/spreadsheets/d/1Dj4jcHCTV9JXKCaMoheSXS52JE63kDKyG7bPXnFogHk/edit?usp=sharing"",""นครศรีธรรมราช!J587"")+IMPORTRANGE(""https://docs.google.com/spreadsheets/d/17ht0gPKzzT3PObBL1XJkeRmntBXI7wGjpLV7QorqlTk/edit"&amp;"?usp=sharing"",""พัทลุง!J587"")+IMPORTRANGE(""https://docs.google.com/spreadsheets/d/18T20gbkS_WBjdscyTOV05cvq_JqvqQ17C81mpxf7Ncs/edit?usp=sharing"",""สุราษฎร์ธานี!J587"")"),0)</f>
        <v>0</v>
      </c>
      <c r="K587" s="47">
        <f t="shared" ca="1" si="422"/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247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247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247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247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247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247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247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336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411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411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421">
        <f t="shared" ref="L599:N599" ca="1" si="423">L600+L601</f>
        <v>69050</v>
      </c>
      <c r="M599" s="421">
        <f t="shared" ca="1" si="423"/>
        <v>69050</v>
      </c>
      <c r="N599" s="421">
        <f t="shared" ca="1" si="423"/>
        <v>4004</v>
      </c>
      <c r="O599" s="421">
        <f t="shared" ref="O599:O607" ca="1" si="424">IF(L599&gt;0,N599*100/L599,0)</f>
        <v>5.79869659666908</v>
      </c>
      <c r="P599" s="421">
        <f t="shared" ref="P599:P607" ca="1" si="425">IF(M599&gt;0,N599*100/M599,0)</f>
        <v>5.79869659666908</v>
      </c>
      <c r="Q599" s="421">
        <f t="shared" ref="Q599:S599" ca="1" si="426">Q600+Q601</f>
        <v>0</v>
      </c>
      <c r="R599" s="421">
        <f t="shared" ca="1" si="426"/>
        <v>0</v>
      </c>
      <c r="S599" s="421">
        <f t="shared" ca="1" si="426"/>
        <v>0</v>
      </c>
      <c r="T599" s="421">
        <f t="shared" ref="T599:T607" ca="1" si="427">IF(Q599&gt;0,S599*100/Q599,0)</f>
        <v>0</v>
      </c>
      <c r="U599" s="421">
        <f t="shared" ref="U599:U607" ca="1" si="428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331">
        <f t="shared" ref="L600:N600" ca="1" si="429">L603+L606</f>
        <v>0</v>
      </c>
      <c r="M600" s="331">
        <f t="shared" ca="1" si="429"/>
        <v>0</v>
      </c>
      <c r="N600" s="331">
        <f t="shared" ca="1" si="429"/>
        <v>0</v>
      </c>
      <c r="O600" s="331">
        <f t="shared" ca="1" si="424"/>
        <v>0</v>
      </c>
      <c r="P600" s="331">
        <f t="shared" ca="1" si="425"/>
        <v>0</v>
      </c>
      <c r="Q600" s="331">
        <f t="shared" ref="Q600:S600" ca="1" si="430">Q603+Q606</f>
        <v>0</v>
      </c>
      <c r="R600" s="331">
        <f t="shared" ca="1" si="430"/>
        <v>0</v>
      </c>
      <c r="S600" s="331">
        <f t="shared" ca="1" si="430"/>
        <v>0</v>
      </c>
      <c r="T600" s="331">
        <f t="shared" ca="1" si="427"/>
        <v>0</v>
      </c>
      <c r="U600" s="331">
        <f t="shared" ca="1" si="428"/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331">
        <f t="shared" ref="L601:N601" ca="1" si="431">L604+L607</f>
        <v>69050</v>
      </c>
      <c r="M601" s="331">
        <f t="shared" ca="1" si="431"/>
        <v>69050</v>
      </c>
      <c r="N601" s="331">
        <f t="shared" ca="1" si="431"/>
        <v>4004</v>
      </c>
      <c r="O601" s="331">
        <f t="shared" ca="1" si="424"/>
        <v>5.79869659666908</v>
      </c>
      <c r="P601" s="331">
        <f t="shared" ca="1" si="425"/>
        <v>5.79869659666908</v>
      </c>
      <c r="Q601" s="331">
        <f t="shared" ref="Q601:S601" ca="1" si="432">Q604+Q607</f>
        <v>0</v>
      </c>
      <c r="R601" s="331">
        <f t="shared" ca="1" si="432"/>
        <v>0</v>
      </c>
      <c r="S601" s="331">
        <f t="shared" ca="1" si="432"/>
        <v>0</v>
      </c>
      <c r="T601" s="331">
        <f t="shared" ca="1" si="427"/>
        <v>0</v>
      </c>
      <c r="U601" s="331">
        <f t="shared" ca="1" si="428"/>
        <v>0</v>
      </c>
    </row>
    <row r="602" spans="1:21" ht="19.5" x14ac:dyDescent="0.3">
      <c r="A602" s="416"/>
      <c r="B602" s="326"/>
      <c r="C602" s="326"/>
      <c r="D602" s="427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331">
        <f t="shared" ref="L602:N602" ca="1" si="433">L603+L604</f>
        <v>69050</v>
      </c>
      <c r="M602" s="331">
        <f t="shared" ca="1" si="433"/>
        <v>69050</v>
      </c>
      <c r="N602" s="331">
        <f t="shared" ca="1" si="433"/>
        <v>4004</v>
      </c>
      <c r="O602" s="331">
        <f t="shared" ca="1" si="424"/>
        <v>5.79869659666908</v>
      </c>
      <c r="P602" s="331">
        <f t="shared" ca="1" si="425"/>
        <v>5.79869659666908</v>
      </c>
      <c r="Q602" s="331">
        <f t="shared" ref="Q602:S602" ca="1" si="434">Q603+Q604</f>
        <v>0</v>
      </c>
      <c r="R602" s="331">
        <f t="shared" ca="1" si="434"/>
        <v>0</v>
      </c>
      <c r="S602" s="331">
        <f t="shared" ca="1" si="434"/>
        <v>0</v>
      </c>
      <c r="T602" s="331">
        <f t="shared" ca="1" si="427"/>
        <v>0</v>
      </c>
      <c r="U602" s="331">
        <f t="shared" ca="1" si="428"/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331">
        <f ca="1">IFERROR(__xludf.DUMMYFUNCTION("IMPORTRANGE(""https://docs.google.com/spreadsheets/d/1kKUcYdkIfrgTSj8iHHHB2MD2FAtwyyocFgqGQn6ADyI/edit?usp=sharing"",""กระบี่!L603"")+IMPORTRANGE(""https://docs.google.com/spreadsheets/d/1GwtLaSlNZkLk7iDqcyZz22giiy40b_usZZBXYciEN1U/edit?usp=sharing"",""ชุ"&amp;"มพร!L603"")+IMPORTRANGE(""https://docs.google.com/spreadsheets/d/16pAz3pOhQEZBhvFNMa5KGgZS6iKWpsKX0pg6tQmwFpo/edit?usp=sharing"",""ตรัง!L603"")+IMPORTRANGE(""https://docs.google.com/spreadsheets/d/1Dj4jcHCTV9JXKCaMoheSXS52JE63kDKyG7bPXnFogHk/edit?usp=shar"&amp;"ing"",""นครศรีธรรมราช!L603"")+IMPORTRANGE(""https://docs.google.com/spreadsheets/d/1iodCdmuK2GR3jzUwk8tpccY2JHQQA-87DLOtJP-ooyU/edit?usp=sharing"",""นราธิวาส!L603"")+IMPORTRANGE(""https://docs.google.com/spreadsheets/d/1SDNX3JhDdYRuIOsj0Wh2M-Qa_eaXl0NbWmh"&amp;"AOTbfQAs/edit?usp=sharing"",""ปัตตานี!L603"")+IMPORTRANGE(""https://docs.google.com/spreadsheets/d/16JDLGguT8s5DsGCND1KcwHP_AWR_zDMTqLHPLJUKhaU/edit?usp=sharing"",""พังงา!L603"")+IMPORTRANGE(""https://docs.google.com/spreadsheets/d/17ht0gPKzzT3PObBL1XJkeR"&amp;"mntBXI7wGjpLV7QorqlTk/edit?usp=sharing"",""พัทลุง!L603"")+IMPORTRANGE(""https://docs.google.com/spreadsheets/d/1rd4qoM1q_hsgaolqNGfrim9gbsoLxQsda4-vOz5x_BM/edit?usp=sharing"",""ภูเก็ต!L603"")+IMPORTRANGE(""https://docs.google.com/spreadsheets/d/1woKwKjgoL"&amp;"ssDvPcPeVyezB5izizAn4X1JDrys69n6xI/edit?usp=sharing"",""ยะลา!L603"")+IMPORTRANGE(""https://docs.google.com/spreadsheets/d/1qfrKjzMhm2HJfxQ-qVlJlJQ25Hne1d0khsySbZyGtPA/edit?usp=sharing"",""ระนอง!L603"")+IMPORTRANGE(""https://docs.google.com/spreadsheets/d/"&amp;"1IbSCnFOKpZsnFogBHJnL_isstZVaOMnFiIN0fGTPZZw/edit?usp=sharing"",""สงขลา!L603"")+IMPORTRANGE(""https://docs.google.com/spreadsheets/d/1q9nWasZJ-K8bFGvbE9n0qSRuKGA4Toe3Y89cKCiVtCU/edit?usp=sharing"",""สตูล!L603"")+IMPORTRANGE(""https://docs.google.com/sprea"&amp;"dsheets/d/18T20gbkS_WBjdscyTOV05cvq_JqvqQ17C81mpxf7Ncs/edit?usp=sharing"",""สุราษฎร์ธานี!L603"")"),0)</f>
        <v>0</v>
      </c>
      <c r="M603" s="331">
        <f ca="1">IFERROR(__xludf.DUMMYFUNCTION("IMPORTRANGE(""https://docs.google.com/spreadsheets/d/1kKUcYdkIfrgTSj8iHHHB2MD2FAtwyyocFgqGQn6ADyI/edit?usp=sharing"",""กระบี่!M603"")+IMPORTRANGE(""https://docs.google.com/spreadsheets/d/1GwtLaSlNZkLk7iDqcyZz22giiy40b_usZZBXYciEN1U/edit?usp=sharing"",""ชุ"&amp;"มพร!M603"")+IMPORTRANGE(""https://docs.google.com/spreadsheets/d/16pAz3pOhQEZBhvFNMa5KGgZS6iKWpsKX0pg6tQmwFpo/edit?usp=sharing"",""ตรัง!M603"")+IMPORTRANGE(""https://docs.google.com/spreadsheets/d/1Dj4jcHCTV9JXKCaMoheSXS52JE63kDKyG7bPXnFogHk/edit?usp=shar"&amp;"ing"",""นครศรีธรรมราช!M603"")+IMPORTRANGE(""https://docs.google.com/spreadsheets/d/1iodCdmuK2GR3jzUwk8tpccY2JHQQA-87DLOtJP-ooyU/edit?usp=sharing"",""นราธิวาส!M603"")+IMPORTRANGE(""https://docs.google.com/spreadsheets/d/1SDNX3JhDdYRuIOsj0Wh2M-Qa_eaXl0NbWmh"&amp;"AOTbfQAs/edit?usp=sharing"",""ปัตตานี!M603"")+IMPORTRANGE(""https://docs.google.com/spreadsheets/d/16JDLGguT8s5DsGCND1KcwHP_AWR_zDMTqLHPLJUKhaU/edit?usp=sharing"",""พังงา!M603"")+IMPORTRANGE(""https://docs.google.com/spreadsheets/d/17ht0gPKzzT3PObBL1XJkeR"&amp;"mntBXI7wGjpLV7QorqlTk/edit?usp=sharing"",""พัทลุง!M603"")+IMPORTRANGE(""https://docs.google.com/spreadsheets/d/1rd4qoM1q_hsgaolqNGfrim9gbsoLxQsda4-vOz5x_BM/edit?usp=sharing"",""ภูเก็ต!M603"")+IMPORTRANGE(""https://docs.google.com/spreadsheets/d/1woKwKjgoL"&amp;"ssDvPcPeVyezB5izizAn4X1JDrys69n6xI/edit?usp=sharing"",""ยะลา!M603"")+IMPORTRANGE(""https://docs.google.com/spreadsheets/d/1qfrKjzMhm2HJfxQ-qVlJlJQ25Hne1d0khsySbZyGtPA/edit?usp=sharing"",""ระนอง!M603"")+IMPORTRANGE(""https://docs.google.com/spreadsheets/d/"&amp;"1IbSCnFOKpZsnFogBHJnL_isstZVaOMnFiIN0fGTPZZw/edit?usp=sharing"",""สงขลา!M603"")+IMPORTRANGE(""https://docs.google.com/spreadsheets/d/1q9nWasZJ-K8bFGvbE9n0qSRuKGA4Toe3Y89cKCiVtCU/edit?usp=sharing"",""สตูล!M603"")+IMPORTRANGE(""https://docs.google.com/sprea"&amp;"dsheets/d/18T20gbkS_WBjdscyTOV05cvq_JqvqQ17C81mpxf7Ncs/edit?usp=sharing"",""สุราษฎร์ธานี!M603"")"),0)</f>
        <v>0</v>
      </c>
      <c r="N603" s="331">
        <f ca="1">IFERROR(__xludf.DUMMYFUNCTION("IMPORTRANGE(""https://docs.google.com/spreadsheets/d/1kKUcYdkIfrgTSj8iHHHB2MD2FAtwyyocFgqGQn6ADyI/edit?usp=sharing"",""กระบี่!N603"")+IMPORTRANGE(""https://docs.google.com/spreadsheets/d/1GwtLaSlNZkLk7iDqcyZz22giiy40b_usZZBXYciEN1U/edit?usp=sharing"",""ชุ"&amp;"มพร!N603"")+IMPORTRANGE(""https://docs.google.com/spreadsheets/d/16pAz3pOhQEZBhvFNMa5KGgZS6iKWpsKX0pg6tQmwFpo/edit?usp=sharing"",""ตรัง!N603"")+IMPORTRANGE(""https://docs.google.com/spreadsheets/d/1Dj4jcHCTV9JXKCaMoheSXS52JE63kDKyG7bPXnFogHk/edit?usp=shar"&amp;"ing"",""นครศรีธรรมราช!N603"")+IMPORTRANGE(""https://docs.google.com/spreadsheets/d/1iodCdmuK2GR3jzUwk8tpccY2JHQQA-87DLOtJP-ooyU/edit?usp=sharing"",""นราธิวาส!N603"")+IMPORTRANGE(""https://docs.google.com/spreadsheets/d/1SDNX3JhDdYRuIOsj0Wh2M-Qa_eaXl0NbWmh"&amp;"AOTbfQAs/edit?usp=sharing"",""ปัตตานี!N603"")+IMPORTRANGE(""https://docs.google.com/spreadsheets/d/16JDLGguT8s5DsGCND1KcwHP_AWR_zDMTqLHPLJUKhaU/edit?usp=sharing"",""พังงา!N603"")+IMPORTRANGE(""https://docs.google.com/spreadsheets/d/17ht0gPKzzT3PObBL1XJkeR"&amp;"mntBXI7wGjpLV7QorqlTk/edit?usp=sharing"",""พัทลุง!N603"")+IMPORTRANGE(""https://docs.google.com/spreadsheets/d/1rd4qoM1q_hsgaolqNGfrim9gbsoLxQsda4-vOz5x_BM/edit?usp=sharing"",""ภูเก็ต!N603"")+IMPORTRANGE(""https://docs.google.com/spreadsheets/d/1woKwKjgoL"&amp;"ssDvPcPeVyezB5izizAn4X1JDrys69n6xI/edit?usp=sharing"",""ยะลา!N603"")+IMPORTRANGE(""https://docs.google.com/spreadsheets/d/1qfrKjzMhm2HJfxQ-qVlJlJQ25Hne1d0khsySbZyGtPA/edit?usp=sharing"",""ระนอง!N603"")+IMPORTRANGE(""https://docs.google.com/spreadsheets/d/"&amp;"1IbSCnFOKpZsnFogBHJnL_isstZVaOMnFiIN0fGTPZZw/edit?usp=sharing"",""สงขลา!N603"")+IMPORTRANGE(""https://docs.google.com/spreadsheets/d/1q9nWasZJ-K8bFGvbE9n0qSRuKGA4Toe3Y89cKCiVtCU/edit?usp=sharing"",""สตูล!N603"")+IMPORTRANGE(""https://docs.google.com/sprea"&amp;"dsheets/d/18T20gbkS_WBjdscyTOV05cvq_JqvqQ17C81mpxf7Ncs/edit?usp=sharing"",""สุราษฎร์ธานี!N603"")"),0)</f>
        <v>0</v>
      </c>
      <c r="O603" s="331">
        <f t="shared" ca="1" si="424"/>
        <v>0</v>
      </c>
      <c r="P603" s="331">
        <f t="shared" ca="1" si="425"/>
        <v>0</v>
      </c>
      <c r="Q603" s="331">
        <f ca="1">IFERROR(__xludf.DUMMYFUNCTION("IMPORTRANGE(""https://docs.google.com/spreadsheets/d/1kKUcYdkIfrgTSj8iHHHB2MD2FAtwyyocFgqGQn6ADyI/edit?usp=sharing"",""กระบี่!Q603"")+IMPORTRANGE(""https://docs.google.com/spreadsheets/d/1GwtLaSlNZkLk7iDqcyZz22giiy40b_usZZBXYciEN1U/edit?usp=sharing"",""ชุ"&amp;"มพร!Q603"")+IMPORTRANGE(""https://docs.google.com/spreadsheets/d/16pAz3pOhQEZBhvFNMa5KGgZS6iKWpsKX0pg6tQmwFpo/edit?usp=sharing"",""ตรัง!Q603"")+IMPORTRANGE(""https://docs.google.com/spreadsheets/d/1Dj4jcHCTV9JXKCaMoheSXS52JE63kDKyG7bPXnFogHk/edit?usp=shar"&amp;"ing"",""นครศรีธรรมราช!Q603"")+IMPORTRANGE(""https://docs.google.com/spreadsheets/d/1iodCdmuK2GR3jzUwk8tpccY2JHQQA-87DLOtJP-ooyU/edit?usp=sharing"",""นราธิวาส!Q603"")+IMPORTRANGE(""https://docs.google.com/spreadsheets/d/1SDNX3JhDdYRuIOsj0Wh2M-Qa_eaXl0NbWmh"&amp;"AOTbfQAs/edit?usp=sharing"",""ปัตตานี!Q603"")+IMPORTRANGE(""https://docs.google.com/spreadsheets/d/16JDLGguT8s5DsGCND1KcwHP_AWR_zDMTqLHPLJUKhaU/edit?usp=sharing"",""พังงา!Q603"")+IMPORTRANGE(""https://docs.google.com/spreadsheets/d/17ht0gPKzzT3PObBL1XJkeR"&amp;"mntBXI7wGjpLV7QorqlTk/edit?usp=sharing"",""พัทลุง!Q603"")+IMPORTRANGE(""https://docs.google.com/spreadsheets/d/1rd4qoM1q_hsgaolqNGfrim9gbsoLxQsda4-vOz5x_BM/edit?usp=sharing"",""ภูเก็ต!Q603"")+IMPORTRANGE(""https://docs.google.com/spreadsheets/d/1woKwKjgoL"&amp;"ssDvPcPeVyezB5izizAn4X1JDrys69n6xI/edit?usp=sharing"",""ยะลา!Q603"")+IMPORTRANGE(""https://docs.google.com/spreadsheets/d/1qfrKjzMhm2HJfxQ-qVlJlJQ25Hne1d0khsySbZyGtPA/edit?usp=sharing"",""ระนอง!Q603"")+IMPORTRANGE(""https://docs.google.com/spreadsheets/d/"&amp;"1IbSCnFOKpZsnFogBHJnL_isstZVaOMnFiIN0fGTPZZw/edit?usp=sharing"",""สงขลา!Q603"")+IMPORTRANGE(""https://docs.google.com/spreadsheets/d/1q9nWasZJ-K8bFGvbE9n0qSRuKGA4Toe3Y89cKCiVtCU/edit?usp=sharing"",""สตูล!Q603"")+IMPORTRANGE(""https://docs.google.com/sprea"&amp;"dsheets/d/18T20gbkS_WBjdscyTOV05cvq_JqvqQ17C81mpxf7Ncs/edit?usp=sharing"",""สุราษฎร์ธานี!Q603"")"),0)</f>
        <v>0</v>
      </c>
      <c r="R603" s="331">
        <f ca="1">IFERROR(__xludf.DUMMYFUNCTION("IMPORTRANGE(""https://docs.google.com/spreadsheets/d/1kKUcYdkIfrgTSj8iHHHB2MD2FAtwyyocFgqGQn6ADyI/edit?usp=sharing"",""กระบี่!R603"")+IMPORTRANGE(""https://docs.google.com/spreadsheets/d/1GwtLaSlNZkLk7iDqcyZz22giiy40b_usZZBXYciEN1U/edit?usp=sharing"",""ชุ"&amp;"มพร!R603"")+IMPORTRANGE(""https://docs.google.com/spreadsheets/d/16pAz3pOhQEZBhvFNMa5KGgZS6iKWpsKX0pg6tQmwFpo/edit?usp=sharing"",""ตรัง!R603"")+IMPORTRANGE(""https://docs.google.com/spreadsheets/d/1Dj4jcHCTV9JXKCaMoheSXS52JE63kDKyG7bPXnFogHk/edit?usp=shar"&amp;"ing"",""นครศรีธรรมราช!R603"")+IMPORTRANGE(""https://docs.google.com/spreadsheets/d/1iodCdmuK2GR3jzUwk8tpccY2JHQQA-87DLOtJP-ooyU/edit?usp=sharing"",""นราธิวาส!R603"")+IMPORTRANGE(""https://docs.google.com/spreadsheets/d/1SDNX3JhDdYRuIOsj0Wh2M-Qa_eaXl0NbWmh"&amp;"AOTbfQAs/edit?usp=sharing"",""ปัตตานี!R603"")+IMPORTRANGE(""https://docs.google.com/spreadsheets/d/16JDLGguT8s5DsGCND1KcwHP_AWR_zDMTqLHPLJUKhaU/edit?usp=sharing"",""พังงา!R603"")+IMPORTRANGE(""https://docs.google.com/spreadsheets/d/17ht0gPKzzT3PObBL1XJkeR"&amp;"mntBXI7wGjpLV7QorqlTk/edit?usp=sharing"",""พัทลุง!R603"")+IMPORTRANGE(""https://docs.google.com/spreadsheets/d/1rd4qoM1q_hsgaolqNGfrim9gbsoLxQsda4-vOz5x_BM/edit?usp=sharing"",""ภูเก็ต!R603"")+IMPORTRANGE(""https://docs.google.com/spreadsheets/d/1woKwKjgoL"&amp;"ssDvPcPeVyezB5izizAn4X1JDrys69n6xI/edit?usp=sharing"",""ยะลา!R603"")+IMPORTRANGE(""https://docs.google.com/spreadsheets/d/1qfrKjzMhm2HJfxQ-qVlJlJQ25Hne1d0khsySbZyGtPA/edit?usp=sharing"",""ระนอง!R603"")+IMPORTRANGE(""https://docs.google.com/spreadsheets/d/"&amp;"1IbSCnFOKpZsnFogBHJnL_isstZVaOMnFiIN0fGTPZZw/edit?usp=sharing"",""สงขลา!R603"")+IMPORTRANGE(""https://docs.google.com/spreadsheets/d/1q9nWasZJ-K8bFGvbE9n0qSRuKGA4Toe3Y89cKCiVtCU/edit?usp=sharing"",""สตูล!R603"")+IMPORTRANGE(""https://docs.google.com/sprea"&amp;"dsheets/d/18T20gbkS_WBjdscyTOV05cvq_JqvqQ17C81mpxf7Ncs/edit?usp=sharing"",""สุราษฎร์ธานี!R603"")"),0)</f>
        <v>0</v>
      </c>
      <c r="S603" s="331">
        <f ca="1">IFERROR(__xludf.DUMMYFUNCTION("IMPORTRANGE(""https://docs.google.com/spreadsheets/d/1kKUcYdkIfrgTSj8iHHHB2MD2FAtwyyocFgqGQn6ADyI/edit?usp=sharing"",""กระบี่!S603"")+IMPORTRANGE(""https://docs.google.com/spreadsheets/d/1GwtLaSlNZkLk7iDqcyZz22giiy40b_usZZBXYciEN1U/edit?usp=sharing"",""ชุ"&amp;"มพร!S603"")+IMPORTRANGE(""https://docs.google.com/spreadsheets/d/16pAz3pOhQEZBhvFNMa5KGgZS6iKWpsKX0pg6tQmwFpo/edit?usp=sharing"",""ตรัง!S603"")+IMPORTRANGE(""https://docs.google.com/spreadsheets/d/1Dj4jcHCTV9JXKCaMoheSXS52JE63kDKyG7bPXnFogHk/edit?usp=shar"&amp;"ing"",""นครศรีธรรมราช!S603"")+IMPORTRANGE(""https://docs.google.com/spreadsheets/d/1iodCdmuK2GR3jzUwk8tpccY2JHQQA-87DLOtJP-ooyU/edit?usp=sharing"",""นราธิวาส!S603"")+IMPORTRANGE(""https://docs.google.com/spreadsheets/d/1SDNX3JhDdYRuIOsj0Wh2M-Qa_eaXl0NbWmh"&amp;"AOTbfQAs/edit?usp=sharing"",""ปัตตานี!S603"")+IMPORTRANGE(""https://docs.google.com/spreadsheets/d/16JDLGguT8s5DsGCND1KcwHP_AWR_zDMTqLHPLJUKhaU/edit?usp=sharing"",""พังงา!S603"")+IMPORTRANGE(""https://docs.google.com/spreadsheets/d/17ht0gPKzzT3PObBL1XJkeR"&amp;"mntBXI7wGjpLV7QorqlTk/edit?usp=sharing"",""พัทลุง!S603"")+IMPORTRANGE(""https://docs.google.com/spreadsheets/d/1rd4qoM1q_hsgaolqNGfrim9gbsoLxQsda4-vOz5x_BM/edit?usp=sharing"",""ภูเก็ต!S603"")+IMPORTRANGE(""https://docs.google.com/spreadsheets/d/1woKwKjgoL"&amp;"ssDvPcPeVyezB5izizAn4X1JDrys69n6xI/edit?usp=sharing"",""ยะลา!S603"")+IMPORTRANGE(""https://docs.google.com/spreadsheets/d/1qfrKjzMhm2HJfxQ-qVlJlJQ25Hne1d0khsySbZyGtPA/edit?usp=sharing"",""ระนอง!S603"")+IMPORTRANGE(""https://docs.google.com/spreadsheets/d/"&amp;"1IbSCnFOKpZsnFogBHJnL_isstZVaOMnFiIN0fGTPZZw/edit?usp=sharing"",""สงขลา!S603"")+IMPORTRANGE(""https://docs.google.com/spreadsheets/d/1q9nWasZJ-K8bFGvbE9n0qSRuKGA4Toe3Y89cKCiVtCU/edit?usp=sharing"",""สตูล!S603"")+IMPORTRANGE(""https://docs.google.com/sprea"&amp;"dsheets/d/18T20gbkS_WBjdscyTOV05cvq_JqvqQ17C81mpxf7Ncs/edit?usp=sharing"",""สุราษฎร์ธานี!S603"")"),0)</f>
        <v>0</v>
      </c>
      <c r="T603" s="331">
        <f t="shared" ca="1" si="427"/>
        <v>0</v>
      </c>
      <c r="U603" s="331">
        <f t="shared" ca="1" si="428"/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331">
        <f ca="1">IFERROR(__xludf.DUMMYFUNCTION("IMPORTRANGE(""https://docs.google.com/spreadsheets/d/1kKUcYdkIfrgTSj8iHHHB2MD2FAtwyyocFgqGQn6ADyI/edit?usp=sharing"",""กระบี่!L604"")+IMPORTRANGE(""https://docs.google.com/spreadsheets/d/1GwtLaSlNZkLk7iDqcyZz22giiy40b_usZZBXYciEN1U/edit?usp=sharing"",""ชุ"&amp;"มพร!L604"")+IMPORTRANGE(""https://docs.google.com/spreadsheets/d/16pAz3pOhQEZBhvFNMa5KGgZS6iKWpsKX0pg6tQmwFpo/edit?usp=sharing"",""ตรัง!L604"")+IMPORTRANGE(""https://docs.google.com/spreadsheets/d/1Dj4jcHCTV9JXKCaMoheSXS52JE63kDKyG7bPXnFogHk/edit?usp=shar"&amp;"ing"",""นครศรีธรรมราช!L604"")+IMPORTRANGE(""https://docs.google.com/spreadsheets/d/1iodCdmuK2GR3jzUwk8tpccY2JHQQA-87DLOtJP-ooyU/edit?usp=sharing"",""นราธิวาส!L604"")+IMPORTRANGE(""https://docs.google.com/spreadsheets/d/1SDNX3JhDdYRuIOsj0Wh2M-Qa_eaXl0NbWmh"&amp;"AOTbfQAs/edit?usp=sharing"",""ปัตตานี!L604"")+IMPORTRANGE(""https://docs.google.com/spreadsheets/d/16JDLGguT8s5DsGCND1KcwHP_AWR_zDMTqLHPLJUKhaU/edit?usp=sharing"",""พังงา!L604"")+IMPORTRANGE(""https://docs.google.com/spreadsheets/d/17ht0gPKzzT3PObBL1XJkeR"&amp;"mntBXI7wGjpLV7QorqlTk/edit?usp=sharing"",""พัทลุง!L604"")+IMPORTRANGE(""https://docs.google.com/spreadsheets/d/1rd4qoM1q_hsgaolqNGfrim9gbsoLxQsda4-vOz5x_BM/edit?usp=sharing"",""ภูเก็ต!L604"")+IMPORTRANGE(""https://docs.google.com/spreadsheets/d/1woKwKjgoL"&amp;"ssDvPcPeVyezB5izizAn4X1JDrys69n6xI/edit?usp=sharing"",""ยะลา!L604"")+IMPORTRANGE(""https://docs.google.com/spreadsheets/d/1qfrKjzMhm2HJfxQ-qVlJlJQ25Hne1d0khsySbZyGtPA/edit?usp=sharing"",""ระนอง!L604"")+IMPORTRANGE(""https://docs.google.com/spreadsheets/d/"&amp;"1IbSCnFOKpZsnFogBHJnL_isstZVaOMnFiIN0fGTPZZw/edit?usp=sharing"",""สงขลา!L604"")+IMPORTRANGE(""https://docs.google.com/spreadsheets/d/1q9nWasZJ-K8bFGvbE9n0qSRuKGA4Toe3Y89cKCiVtCU/edit?usp=sharing"",""สตูล!L604"")+IMPORTRANGE(""https://docs.google.com/sprea"&amp;"dsheets/d/18T20gbkS_WBjdscyTOV05cvq_JqvqQ17C81mpxf7Ncs/edit?usp=sharing"",""สุราษฎร์ธานี!L604"")"),69050)</f>
        <v>69050</v>
      </c>
      <c r="M604" s="331">
        <f ca="1">IFERROR(__xludf.DUMMYFUNCTION("IMPORTRANGE(""https://docs.google.com/spreadsheets/d/1kKUcYdkIfrgTSj8iHHHB2MD2FAtwyyocFgqGQn6ADyI/edit?usp=sharing"",""กระบี่!M604"")+IMPORTRANGE(""https://docs.google.com/spreadsheets/d/1GwtLaSlNZkLk7iDqcyZz22giiy40b_usZZBXYciEN1U/edit?usp=sharing"",""ชุ"&amp;"มพร!M604"")+IMPORTRANGE(""https://docs.google.com/spreadsheets/d/16pAz3pOhQEZBhvFNMa5KGgZS6iKWpsKX0pg6tQmwFpo/edit?usp=sharing"",""ตรัง!M604"")+IMPORTRANGE(""https://docs.google.com/spreadsheets/d/1Dj4jcHCTV9JXKCaMoheSXS52JE63kDKyG7bPXnFogHk/edit?usp=shar"&amp;"ing"",""นครศรีธรรมราช!M604"")+IMPORTRANGE(""https://docs.google.com/spreadsheets/d/1iodCdmuK2GR3jzUwk8tpccY2JHQQA-87DLOtJP-ooyU/edit?usp=sharing"",""นราธิวาส!M604"")+IMPORTRANGE(""https://docs.google.com/spreadsheets/d/1SDNX3JhDdYRuIOsj0Wh2M-Qa_eaXl0NbWmh"&amp;"AOTbfQAs/edit?usp=sharing"",""ปัตตานี!M604"")+IMPORTRANGE(""https://docs.google.com/spreadsheets/d/16JDLGguT8s5DsGCND1KcwHP_AWR_zDMTqLHPLJUKhaU/edit?usp=sharing"",""พังงา!M604"")+IMPORTRANGE(""https://docs.google.com/spreadsheets/d/17ht0gPKzzT3PObBL1XJkeR"&amp;"mntBXI7wGjpLV7QorqlTk/edit?usp=sharing"",""พัทลุง!M604"")+IMPORTRANGE(""https://docs.google.com/spreadsheets/d/1rd4qoM1q_hsgaolqNGfrim9gbsoLxQsda4-vOz5x_BM/edit?usp=sharing"",""ภูเก็ต!M604"")+IMPORTRANGE(""https://docs.google.com/spreadsheets/d/1woKwKjgoL"&amp;"ssDvPcPeVyezB5izizAn4X1JDrys69n6xI/edit?usp=sharing"",""ยะลา!M604"")+IMPORTRANGE(""https://docs.google.com/spreadsheets/d/1qfrKjzMhm2HJfxQ-qVlJlJQ25Hne1d0khsySbZyGtPA/edit?usp=sharing"",""ระนอง!M604"")+IMPORTRANGE(""https://docs.google.com/spreadsheets/d/"&amp;"1IbSCnFOKpZsnFogBHJnL_isstZVaOMnFiIN0fGTPZZw/edit?usp=sharing"",""สงขลา!M604"")+IMPORTRANGE(""https://docs.google.com/spreadsheets/d/1q9nWasZJ-K8bFGvbE9n0qSRuKGA4Toe3Y89cKCiVtCU/edit?usp=sharing"",""สตูล!M604"")+IMPORTRANGE(""https://docs.google.com/sprea"&amp;"dsheets/d/18T20gbkS_WBjdscyTOV05cvq_JqvqQ17C81mpxf7Ncs/edit?usp=sharing"",""สุราษฎร์ธานี!M604"")"),69050)</f>
        <v>69050</v>
      </c>
      <c r="N604" s="331">
        <f ca="1">IFERROR(__xludf.DUMMYFUNCTION("IMPORTRANGE(""https://docs.google.com/spreadsheets/d/1kKUcYdkIfrgTSj8iHHHB2MD2FAtwyyocFgqGQn6ADyI/edit?usp=sharing"",""กระบี่!N604"")+IMPORTRANGE(""https://docs.google.com/spreadsheets/d/1GwtLaSlNZkLk7iDqcyZz22giiy40b_usZZBXYciEN1U/edit?usp=sharing"",""ชุ"&amp;"มพร!N604"")+IMPORTRANGE(""https://docs.google.com/spreadsheets/d/16pAz3pOhQEZBhvFNMa5KGgZS6iKWpsKX0pg6tQmwFpo/edit?usp=sharing"",""ตรัง!N604"")+IMPORTRANGE(""https://docs.google.com/spreadsheets/d/1Dj4jcHCTV9JXKCaMoheSXS52JE63kDKyG7bPXnFogHk/edit?usp=shar"&amp;"ing"",""นครศรีธรรมราช!N604"")+IMPORTRANGE(""https://docs.google.com/spreadsheets/d/1iodCdmuK2GR3jzUwk8tpccY2JHQQA-87DLOtJP-ooyU/edit?usp=sharing"",""นราธิวาส!N604"")+IMPORTRANGE(""https://docs.google.com/spreadsheets/d/1SDNX3JhDdYRuIOsj0Wh2M-Qa_eaXl0NbWmh"&amp;"AOTbfQAs/edit?usp=sharing"",""ปัตตานี!N604"")+IMPORTRANGE(""https://docs.google.com/spreadsheets/d/16JDLGguT8s5DsGCND1KcwHP_AWR_zDMTqLHPLJUKhaU/edit?usp=sharing"",""พังงา!N604"")+IMPORTRANGE(""https://docs.google.com/spreadsheets/d/17ht0gPKzzT3PObBL1XJkeR"&amp;"mntBXI7wGjpLV7QorqlTk/edit?usp=sharing"",""พัทลุง!N604"")+IMPORTRANGE(""https://docs.google.com/spreadsheets/d/1rd4qoM1q_hsgaolqNGfrim9gbsoLxQsda4-vOz5x_BM/edit?usp=sharing"",""ภูเก็ต!N604"")+IMPORTRANGE(""https://docs.google.com/spreadsheets/d/1woKwKjgoL"&amp;"ssDvPcPeVyezB5izizAn4X1JDrys69n6xI/edit?usp=sharing"",""ยะลา!N604"")+IMPORTRANGE(""https://docs.google.com/spreadsheets/d/1qfrKjzMhm2HJfxQ-qVlJlJQ25Hne1d0khsySbZyGtPA/edit?usp=sharing"",""ระนอง!N604"")+IMPORTRANGE(""https://docs.google.com/spreadsheets/d/"&amp;"1IbSCnFOKpZsnFogBHJnL_isstZVaOMnFiIN0fGTPZZw/edit?usp=sharing"",""สงขลา!N604"")+IMPORTRANGE(""https://docs.google.com/spreadsheets/d/1q9nWasZJ-K8bFGvbE9n0qSRuKGA4Toe3Y89cKCiVtCU/edit?usp=sharing"",""สตูล!N604"")+IMPORTRANGE(""https://docs.google.com/sprea"&amp;"dsheets/d/18T20gbkS_WBjdscyTOV05cvq_JqvqQ17C81mpxf7Ncs/edit?usp=sharing"",""สุราษฎร์ธานี!N604"")"),4004)</f>
        <v>4004</v>
      </c>
      <c r="O604" s="331">
        <f t="shared" ca="1" si="424"/>
        <v>5.79869659666908</v>
      </c>
      <c r="P604" s="331">
        <f t="shared" ca="1" si="425"/>
        <v>5.79869659666908</v>
      </c>
      <c r="Q604" s="331">
        <f ca="1">IFERROR(__xludf.DUMMYFUNCTION("IMPORTRANGE(""https://docs.google.com/spreadsheets/d/1kKUcYdkIfrgTSj8iHHHB2MD2FAtwyyocFgqGQn6ADyI/edit?usp=sharing"",""กระบี่!Q604"")+IMPORTRANGE(""https://docs.google.com/spreadsheets/d/1GwtLaSlNZkLk7iDqcyZz22giiy40b_usZZBXYciEN1U/edit?usp=sharing"",""ชุ"&amp;"มพร!Q604"")+IMPORTRANGE(""https://docs.google.com/spreadsheets/d/16pAz3pOhQEZBhvFNMa5KGgZS6iKWpsKX0pg6tQmwFpo/edit?usp=sharing"",""ตรัง!Q604"")+IMPORTRANGE(""https://docs.google.com/spreadsheets/d/1Dj4jcHCTV9JXKCaMoheSXS52JE63kDKyG7bPXnFogHk/edit?usp=shar"&amp;"ing"",""นครศรีธรรมราช!Q604"")+IMPORTRANGE(""https://docs.google.com/spreadsheets/d/1iodCdmuK2GR3jzUwk8tpccY2JHQQA-87DLOtJP-ooyU/edit?usp=sharing"",""นราธิวาส!Q604"")+IMPORTRANGE(""https://docs.google.com/spreadsheets/d/1SDNX3JhDdYRuIOsj0Wh2M-Qa_eaXl0NbWmh"&amp;"AOTbfQAs/edit?usp=sharing"",""ปัตตานี!Q604"")+IMPORTRANGE(""https://docs.google.com/spreadsheets/d/16JDLGguT8s5DsGCND1KcwHP_AWR_zDMTqLHPLJUKhaU/edit?usp=sharing"",""พังงา!Q604"")+IMPORTRANGE(""https://docs.google.com/spreadsheets/d/17ht0gPKzzT3PObBL1XJkeR"&amp;"mntBXI7wGjpLV7QorqlTk/edit?usp=sharing"",""พัทลุง!Q604"")+IMPORTRANGE(""https://docs.google.com/spreadsheets/d/1rd4qoM1q_hsgaolqNGfrim9gbsoLxQsda4-vOz5x_BM/edit?usp=sharing"",""ภูเก็ต!Q604"")+IMPORTRANGE(""https://docs.google.com/spreadsheets/d/1woKwKjgoL"&amp;"ssDvPcPeVyezB5izizAn4X1JDrys69n6xI/edit?usp=sharing"",""ยะลา!Q604"")+IMPORTRANGE(""https://docs.google.com/spreadsheets/d/1qfrKjzMhm2HJfxQ-qVlJlJQ25Hne1d0khsySbZyGtPA/edit?usp=sharing"",""ระนอง!Q604"")+IMPORTRANGE(""https://docs.google.com/spreadsheets/d/"&amp;"1IbSCnFOKpZsnFogBHJnL_isstZVaOMnFiIN0fGTPZZw/edit?usp=sharing"",""สงขลา!Q604"")+IMPORTRANGE(""https://docs.google.com/spreadsheets/d/1q9nWasZJ-K8bFGvbE9n0qSRuKGA4Toe3Y89cKCiVtCU/edit?usp=sharing"",""สตูล!Q604"")+IMPORTRANGE(""https://docs.google.com/sprea"&amp;"dsheets/d/18T20gbkS_WBjdscyTOV05cvq_JqvqQ17C81mpxf7Ncs/edit?usp=sharing"",""สุราษฎร์ธานี!Q604"")"),0)</f>
        <v>0</v>
      </c>
      <c r="R604" s="331">
        <f ca="1">IFERROR(__xludf.DUMMYFUNCTION("IMPORTRANGE(""https://docs.google.com/spreadsheets/d/1kKUcYdkIfrgTSj8iHHHB2MD2FAtwyyocFgqGQn6ADyI/edit?usp=sharing"",""กระบี่!R604"")+IMPORTRANGE(""https://docs.google.com/spreadsheets/d/1GwtLaSlNZkLk7iDqcyZz22giiy40b_usZZBXYciEN1U/edit?usp=sharing"",""ชุ"&amp;"มพร!R604"")+IMPORTRANGE(""https://docs.google.com/spreadsheets/d/16pAz3pOhQEZBhvFNMa5KGgZS6iKWpsKX0pg6tQmwFpo/edit?usp=sharing"",""ตรัง!R604"")+IMPORTRANGE(""https://docs.google.com/spreadsheets/d/1Dj4jcHCTV9JXKCaMoheSXS52JE63kDKyG7bPXnFogHk/edit?usp=shar"&amp;"ing"",""นครศรีธรรมราช!R604"")+IMPORTRANGE(""https://docs.google.com/spreadsheets/d/1iodCdmuK2GR3jzUwk8tpccY2JHQQA-87DLOtJP-ooyU/edit?usp=sharing"",""นราธิวาส!R604"")+IMPORTRANGE(""https://docs.google.com/spreadsheets/d/1SDNX3JhDdYRuIOsj0Wh2M-Qa_eaXl0NbWmh"&amp;"AOTbfQAs/edit?usp=sharing"",""ปัตตานี!R604"")+IMPORTRANGE(""https://docs.google.com/spreadsheets/d/16JDLGguT8s5DsGCND1KcwHP_AWR_zDMTqLHPLJUKhaU/edit?usp=sharing"",""พังงา!R604"")+IMPORTRANGE(""https://docs.google.com/spreadsheets/d/17ht0gPKzzT3PObBL1XJkeR"&amp;"mntBXI7wGjpLV7QorqlTk/edit?usp=sharing"",""พัทลุง!R604"")+IMPORTRANGE(""https://docs.google.com/spreadsheets/d/1rd4qoM1q_hsgaolqNGfrim9gbsoLxQsda4-vOz5x_BM/edit?usp=sharing"",""ภูเก็ต!R604"")+IMPORTRANGE(""https://docs.google.com/spreadsheets/d/1woKwKjgoL"&amp;"ssDvPcPeVyezB5izizAn4X1JDrys69n6xI/edit?usp=sharing"",""ยะลา!R604"")+IMPORTRANGE(""https://docs.google.com/spreadsheets/d/1qfrKjzMhm2HJfxQ-qVlJlJQ25Hne1d0khsySbZyGtPA/edit?usp=sharing"",""ระนอง!R604"")+IMPORTRANGE(""https://docs.google.com/spreadsheets/d/"&amp;"1IbSCnFOKpZsnFogBHJnL_isstZVaOMnFiIN0fGTPZZw/edit?usp=sharing"",""สงขลา!R604"")+IMPORTRANGE(""https://docs.google.com/spreadsheets/d/1q9nWasZJ-K8bFGvbE9n0qSRuKGA4Toe3Y89cKCiVtCU/edit?usp=sharing"",""สตูล!R604"")+IMPORTRANGE(""https://docs.google.com/sprea"&amp;"dsheets/d/18T20gbkS_WBjdscyTOV05cvq_JqvqQ17C81mpxf7Ncs/edit?usp=sharing"",""สุราษฎร์ธานี!R604"")"),0)</f>
        <v>0</v>
      </c>
      <c r="S604" s="331">
        <f ca="1">IFERROR(__xludf.DUMMYFUNCTION("IMPORTRANGE(""https://docs.google.com/spreadsheets/d/1kKUcYdkIfrgTSj8iHHHB2MD2FAtwyyocFgqGQn6ADyI/edit?usp=sharing"",""กระบี่!S604"")+IMPORTRANGE(""https://docs.google.com/spreadsheets/d/1GwtLaSlNZkLk7iDqcyZz22giiy40b_usZZBXYciEN1U/edit?usp=sharing"",""ชุ"&amp;"มพร!S604"")+IMPORTRANGE(""https://docs.google.com/spreadsheets/d/16pAz3pOhQEZBhvFNMa5KGgZS6iKWpsKX0pg6tQmwFpo/edit?usp=sharing"",""ตรัง!S604"")+IMPORTRANGE(""https://docs.google.com/spreadsheets/d/1Dj4jcHCTV9JXKCaMoheSXS52JE63kDKyG7bPXnFogHk/edit?usp=shar"&amp;"ing"",""นครศรีธรรมราช!S604"")+IMPORTRANGE(""https://docs.google.com/spreadsheets/d/1iodCdmuK2GR3jzUwk8tpccY2JHQQA-87DLOtJP-ooyU/edit?usp=sharing"",""นราธิวาส!S604"")+IMPORTRANGE(""https://docs.google.com/spreadsheets/d/1SDNX3JhDdYRuIOsj0Wh2M-Qa_eaXl0NbWmh"&amp;"AOTbfQAs/edit?usp=sharing"",""ปัตตานี!S604"")+IMPORTRANGE(""https://docs.google.com/spreadsheets/d/16JDLGguT8s5DsGCND1KcwHP_AWR_zDMTqLHPLJUKhaU/edit?usp=sharing"",""พังงา!S604"")+IMPORTRANGE(""https://docs.google.com/spreadsheets/d/17ht0gPKzzT3PObBL1XJkeR"&amp;"mntBXI7wGjpLV7QorqlTk/edit?usp=sharing"",""พัทลุง!S604"")+IMPORTRANGE(""https://docs.google.com/spreadsheets/d/1rd4qoM1q_hsgaolqNGfrim9gbsoLxQsda4-vOz5x_BM/edit?usp=sharing"",""ภูเก็ต!S604"")+IMPORTRANGE(""https://docs.google.com/spreadsheets/d/1woKwKjgoL"&amp;"ssDvPcPeVyezB5izizAn4X1JDrys69n6xI/edit?usp=sharing"",""ยะลา!S604"")+IMPORTRANGE(""https://docs.google.com/spreadsheets/d/1qfrKjzMhm2HJfxQ-qVlJlJQ25Hne1d0khsySbZyGtPA/edit?usp=sharing"",""ระนอง!S604"")+IMPORTRANGE(""https://docs.google.com/spreadsheets/d/"&amp;"1IbSCnFOKpZsnFogBHJnL_isstZVaOMnFiIN0fGTPZZw/edit?usp=sharing"",""สงขลา!S604"")+IMPORTRANGE(""https://docs.google.com/spreadsheets/d/1q9nWasZJ-K8bFGvbE9n0qSRuKGA4Toe3Y89cKCiVtCU/edit?usp=sharing"",""สตูล!S604"")+IMPORTRANGE(""https://docs.google.com/sprea"&amp;"dsheets/d/18T20gbkS_WBjdscyTOV05cvq_JqvqQ17C81mpxf7Ncs/edit?usp=sharing"",""สุราษฎร์ธานี!S604"")"),0)</f>
        <v>0</v>
      </c>
      <c r="T604" s="331">
        <f t="shared" ca="1" si="427"/>
        <v>0</v>
      </c>
      <c r="U604" s="331">
        <f t="shared" ca="1" si="428"/>
        <v>0</v>
      </c>
    </row>
    <row r="605" spans="1:21" ht="19.5" x14ac:dyDescent="0.3">
      <c r="A605" s="416"/>
      <c r="B605" s="326"/>
      <c r="C605" s="326"/>
      <c r="D605" s="427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331">
        <f t="shared" ref="L605:N605" ca="1" si="435">L606+L607</f>
        <v>0</v>
      </c>
      <c r="M605" s="331">
        <f t="shared" ca="1" si="435"/>
        <v>0</v>
      </c>
      <c r="N605" s="331">
        <f t="shared" ca="1" si="435"/>
        <v>0</v>
      </c>
      <c r="O605" s="331">
        <f t="shared" ca="1" si="424"/>
        <v>0</v>
      </c>
      <c r="P605" s="331">
        <f t="shared" ca="1" si="425"/>
        <v>0</v>
      </c>
      <c r="Q605" s="331">
        <f t="shared" ref="Q605:S605" ca="1" si="436">Q606+Q607</f>
        <v>0</v>
      </c>
      <c r="R605" s="331">
        <f t="shared" ca="1" si="436"/>
        <v>0</v>
      </c>
      <c r="S605" s="331">
        <f t="shared" ca="1" si="436"/>
        <v>0</v>
      </c>
      <c r="T605" s="331">
        <f t="shared" ca="1" si="427"/>
        <v>0</v>
      </c>
      <c r="U605" s="331">
        <f t="shared" ca="1" si="428"/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331">
        <f ca="1">IFERROR(__xludf.DUMMYFUNCTION("IMPORTRANGE(""https://docs.google.com/spreadsheets/d/1kKUcYdkIfrgTSj8iHHHB2MD2FAtwyyocFgqGQn6ADyI/edit?usp=sharing"",""กระบี่!L606"")+IMPORTRANGE(""https://docs.google.com/spreadsheets/d/1GwtLaSlNZkLk7iDqcyZz22giiy40b_usZZBXYciEN1U/edit?usp=sharing"",""ชุ"&amp;"มพร!L606"")+IMPORTRANGE(""https://docs.google.com/spreadsheets/d/16pAz3pOhQEZBhvFNMa5KGgZS6iKWpsKX0pg6tQmwFpo/edit?usp=sharing"",""ตรัง!L606"")+IMPORTRANGE(""https://docs.google.com/spreadsheets/d/1Dj4jcHCTV9JXKCaMoheSXS52JE63kDKyG7bPXnFogHk/edit?usp=shar"&amp;"ing"",""นครศรีธรรมราช!L606"")+IMPORTRANGE(""https://docs.google.com/spreadsheets/d/1iodCdmuK2GR3jzUwk8tpccY2JHQQA-87DLOtJP-ooyU/edit?usp=sharing"",""นราธิวาส!L606"")+IMPORTRANGE(""https://docs.google.com/spreadsheets/d/1SDNX3JhDdYRuIOsj0Wh2M-Qa_eaXl0NbWmh"&amp;"AOTbfQAs/edit?usp=sharing"",""ปัตตานี!L606"")+IMPORTRANGE(""https://docs.google.com/spreadsheets/d/16JDLGguT8s5DsGCND1KcwHP_AWR_zDMTqLHPLJUKhaU/edit?usp=sharing"",""พังงา!L606"")+IMPORTRANGE(""https://docs.google.com/spreadsheets/d/17ht0gPKzzT3PObBL1XJkeR"&amp;"mntBXI7wGjpLV7QorqlTk/edit?usp=sharing"",""พัทลุง!L606"")+IMPORTRANGE(""https://docs.google.com/spreadsheets/d/1rd4qoM1q_hsgaolqNGfrim9gbsoLxQsda4-vOz5x_BM/edit?usp=sharing"",""ภูเก็ต!L606"")+IMPORTRANGE(""https://docs.google.com/spreadsheets/d/1woKwKjgoL"&amp;"ssDvPcPeVyezB5izizAn4X1JDrys69n6xI/edit?usp=sharing"",""ยะลา!L606"")+IMPORTRANGE(""https://docs.google.com/spreadsheets/d/1qfrKjzMhm2HJfxQ-qVlJlJQ25Hne1d0khsySbZyGtPA/edit?usp=sharing"",""ระนอง!L606"")+IMPORTRANGE(""https://docs.google.com/spreadsheets/d/"&amp;"1IbSCnFOKpZsnFogBHJnL_isstZVaOMnFiIN0fGTPZZw/edit?usp=sharing"",""สงขลา!L606"")+IMPORTRANGE(""https://docs.google.com/spreadsheets/d/1q9nWasZJ-K8bFGvbE9n0qSRuKGA4Toe3Y89cKCiVtCU/edit?usp=sharing"",""สตูล!L606"")+IMPORTRANGE(""https://docs.google.com/sprea"&amp;"dsheets/d/18T20gbkS_WBjdscyTOV05cvq_JqvqQ17C81mpxf7Ncs/edit?usp=sharing"",""สุราษฎร์ธานี!L606"")"),0)</f>
        <v>0</v>
      </c>
      <c r="M606" s="331">
        <f ca="1">IFERROR(__xludf.DUMMYFUNCTION("IMPORTRANGE(""https://docs.google.com/spreadsheets/d/1kKUcYdkIfrgTSj8iHHHB2MD2FAtwyyocFgqGQn6ADyI/edit?usp=sharing"",""กระบี่!M606"")+IMPORTRANGE(""https://docs.google.com/spreadsheets/d/1GwtLaSlNZkLk7iDqcyZz22giiy40b_usZZBXYciEN1U/edit?usp=sharing"",""ชุ"&amp;"มพร!M606"")+IMPORTRANGE(""https://docs.google.com/spreadsheets/d/16pAz3pOhQEZBhvFNMa5KGgZS6iKWpsKX0pg6tQmwFpo/edit?usp=sharing"",""ตรัง!M606"")+IMPORTRANGE(""https://docs.google.com/spreadsheets/d/1Dj4jcHCTV9JXKCaMoheSXS52JE63kDKyG7bPXnFogHk/edit?usp=shar"&amp;"ing"",""นครศรีธรรมราช!M606"")+IMPORTRANGE(""https://docs.google.com/spreadsheets/d/1iodCdmuK2GR3jzUwk8tpccY2JHQQA-87DLOtJP-ooyU/edit?usp=sharing"",""นราธิวาส!M606"")+IMPORTRANGE(""https://docs.google.com/spreadsheets/d/1SDNX3JhDdYRuIOsj0Wh2M-Qa_eaXl0NbWmh"&amp;"AOTbfQAs/edit?usp=sharing"",""ปัตตานี!M606"")+IMPORTRANGE(""https://docs.google.com/spreadsheets/d/16JDLGguT8s5DsGCND1KcwHP_AWR_zDMTqLHPLJUKhaU/edit?usp=sharing"",""พังงา!M606"")+IMPORTRANGE(""https://docs.google.com/spreadsheets/d/17ht0gPKzzT3PObBL1XJkeR"&amp;"mntBXI7wGjpLV7QorqlTk/edit?usp=sharing"",""พัทลุง!M606"")+IMPORTRANGE(""https://docs.google.com/spreadsheets/d/1rd4qoM1q_hsgaolqNGfrim9gbsoLxQsda4-vOz5x_BM/edit?usp=sharing"",""ภูเก็ต!M606"")+IMPORTRANGE(""https://docs.google.com/spreadsheets/d/1woKwKjgoL"&amp;"ssDvPcPeVyezB5izizAn4X1JDrys69n6xI/edit?usp=sharing"",""ยะลา!M606"")+IMPORTRANGE(""https://docs.google.com/spreadsheets/d/1qfrKjzMhm2HJfxQ-qVlJlJQ25Hne1d0khsySbZyGtPA/edit?usp=sharing"",""ระนอง!M606"")+IMPORTRANGE(""https://docs.google.com/spreadsheets/d/"&amp;"1IbSCnFOKpZsnFogBHJnL_isstZVaOMnFiIN0fGTPZZw/edit?usp=sharing"",""สงขลา!M606"")+IMPORTRANGE(""https://docs.google.com/spreadsheets/d/1q9nWasZJ-K8bFGvbE9n0qSRuKGA4Toe3Y89cKCiVtCU/edit?usp=sharing"",""สตูล!M606"")+IMPORTRANGE(""https://docs.google.com/sprea"&amp;"dsheets/d/18T20gbkS_WBjdscyTOV05cvq_JqvqQ17C81mpxf7Ncs/edit?usp=sharing"",""สุราษฎร์ธานี!M606"")"),0)</f>
        <v>0</v>
      </c>
      <c r="N606" s="331">
        <f ca="1">IFERROR(__xludf.DUMMYFUNCTION("IMPORTRANGE(""https://docs.google.com/spreadsheets/d/1kKUcYdkIfrgTSj8iHHHB2MD2FAtwyyocFgqGQn6ADyI/edit?usp=sharing"",""กระบี่!N606"")+IMPORTRANGE(""https://docs.google.com/spreadsheets/d/1GwtLaSlNZkLk7iDqcyZz22giiy40b_usZZBXYciEN1U/edit?usp=sharing"",""ชุ"&amp;"มพร!N606"")+IMPORTRANGE(""https://docs.google.com/spreadsheets/d/16pAz3pOhQEZBhvFNMa5KGgZS6iKWpsKX0pg6tQmwFpo/edit?usp=sharing"",""ตรัง!N606"")+IMPORTRANGE(""https://docs.google.com/spreadsheets/d/1Dj4jcHCTV9JXKCaMoheSXS52JE63kDKyG7bPXnFogHk/edit?usp=shar"&amp;"ing"",""นครศรีธรรมราช!N606"")+IMPORTRANGE(""https://docs.google.com/spreadsheets/d/1iodCdmuK2GR3jzUwk8tpccY2JHQQA-87DLOtJP-ooyU/edit?usp=sharing"",""นราธิวาส!N606"")+IMPORTRANGE(""https://docs.google.com/spreadsheets/d/1SDNX3JhDdYRuIOsj0Wh2M-Qa_eaXl0NbWmh"&amp;"AOTbfQAs/edit?usp=sharing"",""ปัตตานี!N606"")+IMPORTRANGE(""https://docs.google.com/spreadsheets/d/16JDLGguT8s5DsGCND1KcwHP_AWR_zDMTqLHPLJUKhaU/edit?usp=sharing"",""พังงา!N606"")+IMPORTRANGE(""https://docs.google.com/spreadsheets/d/17ht0gPKzzT3PObBL1XJkeR"&amp;"mntBXI7wGjpLV7QorqlTk/edit?usp=sharing"",""พัทลุง!N606"")+IMPORTRANGE(""https://docs.google.com/spreadsheets/d/1rd4qoM1q_hsgaolqNGfrim9gbsoLxQsda4-vOz5x_BM/edit?usp=sharing"",""ภูเก็ต!N606"")+IMPORTRANGE(""https://docs.google.com/spreadsheets/d/1woKwKjgoL"&amp;"ssDvPcPeVyezB5izizAn4X1JDrys69n6xI/edit?usp=sharing"",""ยะลา!N606"")+IMPORTRANGE(""https://docs.google.com/spreadsheets/d/1qfrKjzMhm2HJfxQ-qVlJlJQ25Hne1d0khsySbZyGtPA/edit?usp=sharing"",""ระนอง!N606"")+IMPORTRANGE(""https://docs.google.com/spreadsheets/d/"&amp;"1IbSCnFOKpZsnFogBHJnL_isstZVaOMnFiIN0fGTPZZw/edit?usp=sharing"",""สงขลา!N606"")+IMPORTRANGE(""https://docs.google.com/spreadsheets/d/1q9nWasZJ-K8bFGvbE9n0qSRuKGA4Toe3Y89cKCiVtCU/edit?usp=sharing"",""สตูล!N606"")+IMPORTRANGE(""https://docs.google.com/sprea"&amp;"dsheets/d/18T20gbkS_WBjdscyTOV05cvq_JqvqQ17C81mpxf7Ncs/edit?usp=sharing"",""สุราษฎร์ธานี!N606"")"),0)</f>
        <v>0</v>
      </c>
      <c r="O606" s="331">
        <f t="shared" ca="1" si="424"/>
        <v>0</v>
      </c>
      <c r="P606" s="331">
        <f t="shared" ca="1" si="425"/>
        <v>0</v>
      </c>
      <c r="Q606" s="331">
        <f ca="1">IFERROR(__xludf.DUMMYFUNCTION("IMPORTRANGE(""https://docs.google.com/spreadsheets/d/1kKUcYdkIfrgTSj8iHHHB2MD2FAtwyyocFgqGQn6ADyI/edit?usp=sharing"",""กระบี่!Q606"")+IMPORTRANGE(""https://docs.google.com/spreadsheets/d/1GwtLaSlNZkLk7iDqcyZz22giiy40b_usZZBXYciEN1U/edit?usp=sharing"",""ชุ"&amp;"มพร!Q606"")+IMPORTRANGE(""https://docs.google.com/spreadsheets/d/16pAz3pOhQEZBhvFNMa5KGgZS6iKWpsKX0pg6tQmwFpo/edit?usp=sharing"",""ตรัง!Q606"")+IMPORTRANGE(""https://docs.google.com/spreadsheets/d/1Dj4jcHCTV9JXKCaMoheSXS52JE63kDKyG7bPXnFogHk/edit?usp=shar"&amp;"ing"",""นครศรีธรรมราช!Q606"")+IMPORTRANGE(""https://docs.google.com/spreadsheets/d/1iodCdmuK2GR3jzUwk8tpccY2JHQQA-87DLOtJP-ooyU/edit?usp=sharing"",""นราธิวาส!Q606"")+IMPORTRANGE(""https://docs.google.com/spreadsheets/d/1SDNX3JhDdYRuIOsj0Wh2M-Qa_eaXl0NbWmh"&amp;"AOTbfQAs/edit?usp=sharing"",""ปัตตานี!Q606"")+IMPORTRANGE(""https://docs.google.com/spreadsheets/d/16JDLGguT8s5DsGCND1KcwHP_AWR_zDMTqLHPLJUKhaU/edit?usp=sharing"",""พังงา!Q606"")+IMPORTRANGE(""https://docs.google.com/spreadsheets/d/17ht0gPKzzT3PObBL1XJkeR"&amp;"mntBXI7wGjpLV7QorqlTk/edit?usp=sharing"",""พัทลุง!Q606"")+IMPORTRANGE(""https://docs.google.com/spreadsheets/d/1rd4qoM1q_hsgaolqNGfrim9gbsoLxQsda4-vOz5x_BM/edit?usp=sharing"",""ภูเก็ต!Q606"")+IMPORTRANGE(""https://docs.google.com/spreadsheets/d/1woKwKjgoL"&amp;"ssDvPcPeVyezB5izizAn4X1JDrys69n6xI/edit?usp=sharing"",""ยะลา!Q606"")+IMPORTRANGE(""https://docs.google.com/spreadsheets/d/1qfrKjzMhm2HJfxQ-qVlJlJQ25Hne1d0khsySbZyGtPA/edit?usp=sharing"",""ระนอง!Q606"")+IMPORTRANGE(""https://docs.google.com/spreadsheets/d/"&amp;"1IbSCnFOKpZsnFogBHJnL_isstZVaOMnFiIN0fGTPZZw/edit?usp=sharing"",""สงขลา!Q606"")+IMPORTRANGE(""https://docs.google.com/spreadsheets/d/1q9nWasZJ-K8bFGvbE9n0qSRuKGA4Toe3Y89cKCiVtCU/edit?usp=sharing"",""สตูล!Q606"")+IMPORTRANGE(""https://docs.google.com/sprea"&amp;"dsheets/d/18T20gbkS_WBjdscyTOV05cvq_JqvqQ17C81mpxf7Ncs/edit?usp=sharing"",""สุราษฎร์ธานี!Q606"")"),0)</f>
        <v>0</v>
      </c>
      <c r="R606" s="331">
        <f ca="1">IFERROR(__xludf.DUMMYFUNCTION("IMPORTRANGE(""https://docs.google.com/spreadsheets/d/1kKUcYdkIfrgTSj8iHHHB2MD2FAtwyyocFgqGQn6ADyI/edit?usp=sharing"",""กระบี่!R606"")+IMPORTRANGE(""https://docs.google.com/spreadsheets/d/1GwtLaSlNZkLk7iDqcyZz22giiy40b_usZZBXYciEN1U/edit?usp=sharing"",""ชุ"&amp;"มพร!R606"")+IMPORTRANGE(""https://docs.google.com/spreadsheets/d/16pAz3pOhQEZBhvFNMa5KGgZS6iKWpsKX0pg6tQmwFpo/edit?usp=sharing"",""ตรัง!R606"")+IMPORTRANGE(""https://docs.google.com/spreadsheets/d/1Dj4jcHCTV9JXKCaMoheSXS52JE63kDKyG7bPXnFogHk/edit?usp=shar"&amp;"ing"",""นครศรีธรรมราช!R606"")+IMPORTRANGE(""https://docs.google.com/spreadsheets/d/1iodCdmuK2GR3jzUwk8tpccY2JHQQA-87DLOtJP-ooyU/edit?usp=sharing"",""นราธิวาส!R606"")+IMPORTRANGE(""https://docs.google.com/spreadsheets/d/1SDNX3JhDdYRuIOsj0Wh2M-Qa_eaXl0NbWmh"&amp;"AOTbfQAs/edit?usp=sharing"",""ปัตตานี!R606"")+IMPORTRANGE(""https://docs.google.com/spreadsheets/d/16JDLGguT8s5DsGCND1KcwHP_AWR_zDMTqLHPLJUKhaU/edit?usp=sharing"",""พังงา!R606"")+IMPORTRANGE(""https://docs.google.com/spreadsheets/d/17ht0gPKzzT3PObBL1XJkeR"&amp;"mntBXI7wGjpLV7QorqlTk/edit?usp=sharing"",""พัทลุง!R606"")+IMPORTRANGE(""https://docs.google.com/spreadsheets/d/1rd4qoM1q_hsgaolqNGfrim9gbsoLxQsda4-vOz5x_BM/edit?usp=sharing"",""ภูเก็ต!R606"")+IMPORTRANGE(""https://docs.google.com/spreadsheets/d/1woKwKjgoL"&amp;"ssDvPcPeVyezB5izizAn4X1JDrys69n6xI/edit?usp=sharing"",""ยะลา!R606"")+IMPORTRANGE(""https://docs.google.com/spreadsheets/d/1qfrKjzMhm2HJfxQ-qVlJlJQ25Hne1d0khsySbZyGtPA/edit?usp=sharing"",""ระนอง!R606"")+IMPORTRANGE(""https://docs.google.com/spreadsheets/d/"&amp;"1IbSCnFOKpZsnFogBHJnL_isstZVaOMnFiIN0fGTPZZw/edit?usp=sharing"",""สงขลา!R606"")+IMPORTRANGE(""https://docs.google.com/spreadsheets/d/1q9nWasZJ-K8bFGvbE9n0qSRuKGA4Toe3Y89cKCiVtCU/edit?usp=sharing"",""สตูล!R606"")+IMPORTRANGE(""https://docs.google.com/sprea"&amp;"dsheets/d/18T20gbkS_WBjdscyTOV05cvq_JqvqQ17C81mpxf7Ncs/edit?usp=sharing"",""สุราษฎร์ธานี!R606"")"),0)</f>
        <v>0</v>
      </c>
      <c r="S606" s="331">
        <f ca="1">IFERROR(__xludf.DUMMYFUNCTION("IMPORTRANGE(""https://docs.google.com/spreadsheets/d/1kKUcYdkIfrgTSj8iHHHB2MD2FAtwyyocFgqGQn6ADyI/edit?usp=sharing"",""กระบี่!S606"")+IMPORTRANGE(""https://docs.google.com/spreadsheets/d/1GwtLaSlNZkLk7iDqcyZz22giiy40b_usZZBXYciEN1U/edit?usp=sharing"",""ชุ"&amp;"มพร!S606"")+IMPORTRANGE(""https://docs.google.com/spreadsheets/d/16pAz3pOhQEZBhvFNMa5KGgZS6iKWpsKX0pg6tQmwFpo/edit?usp=sharing"",""ตรัง!S606"")+IMPORTRANGE(""https://docs.google.com/spreadsheets/d/1Dj4jcHCTV9JXKCaMoheSXS52JE63kDKyG7bPXnFogHk/edit?usp=shar"&amp;"ing"",""นครศรีธรรมราช!S606"")+IMPORTRANGE(""https://docs.google.com/spreadsheets/d/1iodCdmuK2GR3jzUwk8tpccY2JHQQA-87DLOtJP-ooyU/edit?usp=sharing"",""นราธิวาส!S606"")+IMPORTRANGE(""https://docs.google.com/spreadsheets/d/1SDNX3JhDdYRuIOsj0Wh2M-Qa_eaXl0NbWmh"&amp;"AOTbfQAs/edit?usp=sharing"",""ปัตตานี!S606"")+IMPORTRANGE(""https://docs.google.com/spreadsheets/d/16JDLGguT8s5DsGCND1KcwHP_AWR_zDMTqLHPLJUKhaU/edit?usp=sharing"",""พังงา!S606"")+IMPORTRANGE(""https://docs.google.com/spreadsheets/d/17ht0gPKzzT3PObBL1XJkeR"&amp;"mntBXI7wGjpLV7QorqlTk/edit?usp=sharing"",""พัทลุง!S606"")+IMPORTRANGE(""https://docs.google.com/spreadsheets/d/1rd4qoM1q_hsgaolqNGfrim9gbsoLxQsda4-vOz5x_BM/edit?usp=sharing"",""ภูเก็ต!S606"")+IMPORTRANGE(""https://docs.google.com/spreadsheets/d/1woKwKjgoL"&amp;"ssDvPcPeVyezB5izizAn4X1JDrys69n6xI/edit?usp=sharing"",""ยะลา!S606"")+IMPORTRANGE(""https://docs.google.com/spreadsheets/d/1qfrKjzMhm2HJfxQ-qVlJlJQ25Hne1d0khsySbZyGtPA/edit?usp=sharing"",""ระนอง!S606"")+IMPORTRANGE(""https://docs.google.com/spreadsheets/d/"&amp;"1IbSCnFOKpZsnFogBHJnL_isstZVaOMnFiIN0fGTPZZw/edit?usp=sharing"",""สงขลา!S606"")+IMPORTRANGE(""https://docs.google.com/spreadsheets/d/1q9nWasZJ-K8bFGvbE9n0qSRuKGA4Toe3Y89cKCiVtCU/edit?usp=sharing"",""สตูล!S606"")+IMPORTRANGE(""https://docs.google.com/sprea"&amp;"dsheets/d/18T20gbkS_WBjdscyTOV05cvq_JqvqQ17C81mpxf7Ncs/edit?usp=sharing"",""สุราษฎร์ธานี!S606"")"),0)</f>
        <v>0</v>
      </c>
      <c r="T606" s="331">
        <f t="shared" ca="1" si="427"/>
        <v>0</v>
      </c>
      <c r="U606" s="331">
        <f t="shared" ca="1" si="428"/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331">
        <f ca="1">IFERROR(__xludf.DUMMYFUNCTION("IMPORTRANGE(""https://docs.google.com/spreadsheets/d/1kKUcYdkIfrgTSj8iHHHB2MD2FAtwyyocFgqGQn6ADyI/edit?usp=sharing"",""กระบี่!L607"")+IMPORTRANGE(""https://docs.google.com/spreadsheets/d/1GwtLaSlNZkLk7iDqcyZz22giiy40b_usZZBXYciEN1U/edit?usp=sharing"",""ชุ"&amp;"มพร!L607"")+IMPORTRANGE(""https://docs.google.com/spreadsheets/d/16pAz3pOhQEZBhvFNMa5KGgZS6iKWpsKX0pg6tQmwFpo/edit?usp=sharing"",""ตรัง!L607"")+IMPORTRANGE(""https://docs.google.com/spreadsheets/d/1Dj4jcHCTV9JXKCaMoheSXS52JE63kDKyG7bPXnFogHk/edit?usp=shar"&amp;"ing"",""นครศรีธรรมราช!L607"")+IMPORTRANGE(""https://docs.google.com/spreadsheets/d/1iodCdmuK2GR3jzUwk8tpccY2JHQQA-87DLOtJP-ooyU/edit?usp=sharing"",""นราธิวาส!L607"")+IMPORTRANGE(""https://docs.google.com/spreadsheets/d/1SDNX3JhDdYRuIOsj0Wh2M-Qa_eaXl0NbWmh"&amp;"AOTbfQAs/edit?usp=sharing"",""ปัตตานี!L607"")+IMPORTRANGE(""https://docs.google.com/spreadsheets/d/16JDLGguT8s5DsGCND1KcwHP_AWR_zDMTqLHPLJUKhaU/edit?usp=sharing"",""พังงา!L607"")+IMPORTRANGE(""https://docs.google.com/spreadsheets/d/17ht0gPKzzT3PObBL1XJkeR"&amp;"mntBXI7wGjpLV7QorqlTk/edit?usp=sharing"",""พัทลุง!L607"")+IMPORTRANGE(""https://docs.google.com/spreadsheets/d/1rd4qoM1q_hsgaolqNGfrim9gbsoLxQsda4-vOz5x_BM/edit?usp=sharing"",""ภูเก็ต!L607"")+IMPORTRANGE(""https://docs.google.com/spreadsheets/d/1woKwKjgoL"&amp;"ssDvPcPeVyezB5izizAn4X1JDrys69n6xI/edit?usp=sharing"",""ยะลา!L607"")+IMPORTRANGE(""https://docs.google.com/spreadsheets/d/1qfrKjzMhm2HJfxQ-qVlJlJQ25Hne1d0khsySbZyGtPA/edit?usp=sharing"",""ระนอง!L607"")+IMPORTRANGE(""https://docs.google.com/spreadsheets/d/"&amp;"1IbSCnFOKpZsnFogBHJnL_isstZVaOMnFiIN0fGTPZZw/edit?usp=sharing"",""สงขลา!L607"")+IMPORTRANGE(""https://docs.google.com/spreadsheets/d/1q9nWasZJ-K8bFGvbE9n0qSRuKGA4Toe3Y89cKCiVtCU/edit?usp=sharing"",""สตูล!L607"")+IMPORTRANGE(""https://docs.google.com/sprea"&amp;"dsheets/d/18T20gbkS_WBjdscyTOV05cvq_JqvqQ17C81mpxf7Ncs/edit?usp=sharing"",""สุราษฎร์ธานี!L607"")"),0)</f>
        <v>0</v>
      </c>
      <c r="M607" s="331">
        <f ca="1">IFERROR(__xludf.DUMMYFUNCTION("IMPORTRANGE(""https://docs.google.com/spreadsheets/d/1kKUcYdkIfrgTSj8iHHHB2MD2FAtwyyocFgqGQn6ADyI/edit?usp=sharing"",""กระบี่!M607"")+IMPORTRANGE(""https://docs.google.com/spreadsheets/d/1GwtLaSlNZkLk7iDqcyZz22giiy40b_usZZBXYciEN1U/edit?usp=sharing"",""ชุ"&amp;"มพร!M607"")+IMPORTRANGE(""https://docs.google.com/spreadsheets/d/16pAz3pOhQEZBhvFNMa5KGgZS6iKWpsKX0pg6tQmwFpo/edit?usp=sharing"",""ตรัง!M607"")+IMPORTRANGE(""https://docs.google.com/spreadsheets/d/1Dj4jcHCTV9JXKCaMoheSXS52JE63kDKyG7bPXnFogHk/edit?usp=shar"&amp;"ing"",""นครศรีธรรมราช!M607"")+IMPORTRANGE(""https://docs.google.com/spreadsheets/d/1iodCdmuK2GR3jzUwk8tpccY2JHQQA-87DLOtJP-ooyU/edit?usp=sharing"",""นราธิวาส!M607"")+IMPORTRANGE(""https://docs.google.com/spreadsheets/d/1SDNX3JhDdYRuIOsj0Wh2M-Qa_eaXl0NbWmh"&amp;"AOTbfQAs/edit?usp=sharing"",""ปัตตานี!M607"")+IMPORTRANGE(""https://docs.google.com/spreadsheets/d/16JDLGguT8s5DsGCND1KcwHP_AWR_zDMTqLHPLJUKhaU/edit?usp=sharing"",""พังงา!M607"")+IMPORTRANGE(""https://docs.google.com/spreadsheets/d/17ht0gPKzzT3PObBL1XJkeR"&amp;"mntBXI7wGjpLV7QorqlTk/edit?usp=sharing"",""พัทลุง!M607"")+IMPORTRANGE(""https://docs.google.com/spreadsheets/d/1rd4qoM1q_hsgaolqNGfrim9gbsoLxQsda4-vOz5x_BM/edit?usp=sharing"",""ภูเก็ต!M607"")+IMPORTRANGE(""https://docs.google.com/spreadsheets/d/1woKwKjgoL"&amp;"ssDvPcPeVyezB5izizAn4X1JDrys69n6xI/edit?usp=sharing"",""ยะลา!M607"")+IMPORTRANGE(""https://docs.google.com/spreadsheets/d/1qfrKjzMhm2HJfxQ-qVlJlJQ25Hne1d0khsySbZyGtPA/edit?usp=sharing"",""ระนอง!M607"")+IMPORTRANGE(""https://docs.google.com/spreadsheets/d/"&amp;"1IbSCnFOKpZsnFogBHJnL_isstZVaOMnFiIN0fGTPZZw/edit?usp=sharing"",""สงขลา!M607"")+IMPORTRANGE(""https://docs.google.com/spreadsheets/d/1q9nWasZJ-K8bFGvbE9n0qSRuKGA4Toe3Y89cKCiVtCU/edit?usp=sharing"",""สตูล!M607"")+IMPORTRANGE(""https://docs.google.com/sprea"&amp;"dsheets/d/18T20gbkS_WBjdscyTOV05cvq_JqvqQ17C81mpxf7Ncs/edit?usp=sharing"",""สุราษฎร์ธานี!M607"")"),0)</f>
        <v>0</v>
      </c>
      <c r="N607" s="331">
        <f ca="1">IFERROR(__xludf.DUMMYFUNCTION("IMPORTRANGE(""https://docs.google.com/spreadsheets/d/1kKUcYdkIfrgTSj8iHHHB2MD2FAtwyyocFgqGQn6ADyI/edit?usp=sharing"",""กระบี่!N607"")+IMPORTRANGE(""https://docs.google.com/spreadsheets/d/1GwtLaSlNZkLk7iDqcyZz22giiy40b_usZZBXYciEN1U/edit?usp=sharing"",""ชุ"&amp;"มพร!N607"")+IMPORTRANGE(""https://docs.google.com/spreadsheets/d/16pAz3pOhQEZBhvFNMa5KGgZS6iKWpsKX0pg6tQmwFpo/edit?usp=sharing"",""ตรัง!N607"")+IMPORTRANGE(""https://docs.google.com/spreadsheets/d/1Dj4jcHCTV9JXKCaMoheSXS52JE63kDKyG7bPXnFogHk/edit?usp=shar"&amp;"ing"",""นครศรีธรรมราช!N607"")+IMPORTRANGE(""https://docs.google.com/spreadsheets/d/1iodCdmuK2GR3jzUwk8tpccY2JHQQA-87DLOtJP-ooyU/edit?usp=sharing"",""นราธิวาส!N607"")+IMPORTRANGE(""https://docs.google.com/spreadsheets/d/1SDNX3JhDdYRuIOsj0Wh2M-Qa_eaXl0NbWmh"&amp;"AOTbfQAs/edit?usp=sharing"",""ปัตตานี!N607"")+IMPORTRANGE(""https://docs.google.com/spreadsheets/d/16JDLGguT8s5DsGCND1KcwHP_AWR_zDMTqLHPLJUKhaU/edit?usp=sharing"",""พังงา!N607"")+IMPORTRANGE(""https://docs.google.com/spreadsheets/d/17ht0gPKzzT3PObBL1XJkeR"&amp;"mntBXI7wGjpLV7QorqlTk/edit?usp=sharing"",""พัทลุง!N607"")+IMPORTRANGE(""https://docs.google.com/spreadsheets/d/1rd4qoM1q_hsgaolqNGfrim9gbsoLxQsda4-vOz5x_BM/edit?usp=sharing"",""ภูเก็ต!N607"")+IMPORTRANGE(""https://docs.google.com/spreadsheets/d/1woKwKjgoL"&amp;"ssDvPcPeVyezB5izizAn4X1JDrys69n6xI/edit?usp=sharing"",""ยะลา!N607"")+IMPORTRANGE(""https://docs.google.com/spreadsheets/d/1qfrKjzMhm2HJfxQ-qVlJlJQ25Hne1d0khsySbZyGtPA/edit?usp=sharing"",""ระนอง!N607"")+IMPORTRANGE(""https://docs.google.com/spreadsheets/d/"&amp;"1IbSCnFOKpZsnFogBHJnL_isstZVaOMnFiIN0fGTPZZw/edit?usp=sharing"",""สงขลา!N607"")+IMPORTRANGE(""https://docs.google.com/spreadsheets/d/1q9nWasZJ-K8bFGvbE9n0qSRuKGA4Toe3Y89cKCiVtCU/edit?usp=sharing"",""สตูล!N607"")+IMPORTRANGE(""https://docs.google.com/sprea"&amp;"dsheets/d/18T20gbkS_WBjdscyTOV05cvq_JqvqQ17C81mpxf7Ncs/edit?usp=sharing"",""สุราษฎร์ธานี!N607"")"),0)</f>
        <v>0</v>
      </c>
      <c r="O607" s="331">
        <f t="shared" ca="1" si="424"/>
        <v>0</v>
      </c>
      <c r="P607" s="331">
        <f t="shared" ca="1" si="425"/>
        <v>0</v>
      </c>
      <c r="Q607" s="331">
        <f ca="1">IFERROR(__xludf.DUMMYFUNCTION("IMPORTRANGE(""https://docs.google.com/spreadsheets/d/1kKUcYdkIfrgTSj8iHHHB2MD2FAtwyyocFgqGQn6ADyI/edit?usp=sharing"",""กระบี่!Q607"")+IMPORTRANGE(""https://docs.google.com/spreadsheets/d/1GwtLaSlNZkLk7iDqcyZz22giiy40b_usZZBXYciEN1U/edit?usp=sharing"",""ชุ"&amp;"มพร!Q607"")+IMPORTRANGE(""https://docs.google.com/spreadsheets/d/16pAz3pOhQEZBhvFNMa5KGgZS6iKWpsKX0pg6tQmwFpo/edit?usp=sharing"",""ตรัง!Q607"")+IMPORTRANGE(""https://docs.google.com/spreadsheets/d/1Dj4jcHCTV9JXKCaMoheSXS52JE63kDKyG7bPXnFogHk/edit?usp=shar"&amp;"ing"",""นครศรีธรรมราช!Q607"")+IMPORTRANGE(""https://docs.google.com/spreadsheets/d/1iodCdmuK2GR3jzUwk8tpccY2JHQQA-87DLOtJP-ooyU/edit?usp=sharing"",""นราธิวาส!Q607"")+IMPORTRANGE(""https://docs.google.com/spreadsheets/d/1SDNX3JhDdYRuIOsj0Wh2M-Qa_eaXl0NbWmh"&amp;"AOTbfQAs/edit?usp=sharing"",""ปัตตานี!Q607"")+IMPORTRANGE(""https://docs.google.com/spreadsheets/d/16JDLGguT8s5DsGCND1KcwHP_AWR_zDMTqLHPLJUKhaU/edit?usp=sharing"",""พังงา!Q607"")+IMPORTRANGE(""https://docs.google.com/spreadsheets/d/17ht0gPKzzT3PObBL1XJkeR"&amp;"mntBXI7wGjpLV7QorqlTk/edit?usp=sharing"",""พัทลุง!Q607"")+IMPORTRANGE(""https://docs.google.com/spreadsheets/d/1rd4qoM1q_hsgaolqNGfrim9gbsoLxQsda4-vOz5x_BM/edit?usp=sharing"",""ภูเก็ต!Q607"")+IMPORTRANGE(""https://docs.google.com/spreadsheets/d/1woKwKjgoL"&amp;"ssDvPcPeVyezB5izizAn4X1JDrys69n6xI/edit?usp=sharing"",""ยะลา!Q607"")+IMPORTRANGE(""https://docs.google.com/spreadsheets/d/1qfrKjzMhm2HJfxQ-qVlJlJQ25Hne1d0khsySbZyGtPA/edit?usp=sharing"",""ระนอง!Q607"")+IMPORTRANGE(""https://docs.google.com/spreadsheets/d/"&amp;"1IbSCnFOKpZsnFogBHJnL_isstZVaOMnFiIN0fGTPZZw/edit?usp=sharing"",""สงขลา!Q607"")+IMPORTRANGE(""https://docs.google.com/spreadsheets/d/1q9nWasZJ-K8bFGvbE9n0qSRuKGA4Toe3Y89cKCiVtCU/edit?usp=sharing"",""สตูล!Q607"")+IMPORTRANGE(""https://docs.google.com/sprea"&amp;"dsheets/d/18T20gbkS_WBjdscyTOV05cvq_JqvqQ17C81mpxf7Ncs/edit?usp=sharing"",""สุราษฎร์ธานี!Q607"")"),0)</f>
        <v>0</v>
      </c>
      <c r="R607" s="331">
        <f ca="1">IFERROR(__xludf.DUMMYFUNCTION("IMPORTRANGE(""https://docs.google.com/spreadsheets/d/1kKUcYdkIfrgTSj8iHHHB2MD2FAtwyyocFgqGQn6ADyI/edit?usp=sharing"",""กระบี่!R607"")+IMPORTRANGE(""https://docs.google.com/spreadsheets/d/1GwtLaSlNZkLk7iDqcyZz22giiy40b_usZZBXYciEN1U/edit?usp=sharing"",""ชุ"&amp;"มพร!R607"")+IMPORTRANGE(""https://docs.google.com/spreadsheets/d/16pAz3pOhQEZBhvFNMa5KGgZS6iKWpsKX0pg6tQmwFpo/edit?usp=sharing"",""ตรัง!R607"")+IMPORTRANGE(""https://docs.google.com/spreadsheets/d/1Dj4jcHCTV9JXKCaMoheSXS52JE63kDKyG7bPXnFogHk/edit?usp=shar"&amp;"ing"",""นครศรีธรรมราช!R607"")+IMPORTRANGE(""https://docs.google.com/spreadsheets/d/1iodCdmuK2GR3jzUwk8tpccY2JHQQA-87DLOtJP-ooyU/edit?usp=sharing"",""นราธิวาส!R607"")+IMPORTRANGE(""https://docs.google.com/spreadsheets/d/1SDNX3JhDdYRuIOsj0Wh2M-Qa_eaXl0NbWmh"&amp;"AOTbfQAs/edit?usp=sharing"",""ปัตตานี!R607"")+IMPORTRANGE(""https://docs.google.com/spreadsheets/d/16JDLGguT8s5DsGCND1KcwHP_AWR_zDMTqLHPLJUKhaU/edit?usp=sharing"",""พังงา!R607"")+IMPORTRANGE(""https://docs.google.com/spreadsheets/d/17ht0gPKzzT3PObBL1XJkeR"&amp;"mntBXI7wGjpLV7QorqlTk/edit?usp=sharing"",""พัทลุง!R607"")+IMPORTRANGE(""https://docs.google.com/spreadsheets/d/1rd4qoM1q_hsgaolqNGfrim9gbsoLxQsda4-vOz5x_BM/edit?usp=sharing"",""ภูเก็ต!R607"")+IMPORTRANGE(""https://docs.google.com/spreadsheets/d/1woKwKjgoL"&amp;"ssDvPcPeVyezB5izizAn4X1JDrys69n6xI/edit?usp=sharing"",""ยะลา!R607"")+IMPORTRANGE(""https://docs.google.com/spreadsheets/d/1qfrKjzMhm2HJfxQ-qVlJlJQ25Hne1d0khsySbZyGtPA/edit?usp=sharing"",""ระนอง!R607"")+IMPORTRANGE(""https://docs.google.com/spreadsheets/d/"&amp;"1IbSCnFOKpZsnFogBHJnL_isstZVaOMnFiIN0fGTPZZw/edit?usp=sharing"",""สงขลา!R607"")+IMPORTRANGE(""https://docs.google.com/spreadsheets/d/1q9nWasZJ-K8bFGvbE9n0qSRuKGA4Toe3Y89cKCiVtCU/edit?usp=sharing"",""สตูล!R607"")+IMPORTRANGE(""https://docs.google.com/sprea"&amp;"dsheets/d/18T20gbkS_WBjdscyTOV05cvq_JqvqQ17C81mpxf7Ncs/edit?usp=sharing"",""สุราษฎร์ธานี!R607"")"),0)</f>
        <v>0</v>
      </c>
      <c r="S607" s="331">
        <f ca="1">IFERROR(__xludf.DUMMYFUNCTION("IMPORTRANGE(""https://docs.google.com/spreadsheets/d/1kKUcYdkIfrgTSj8iHHHB2MD2FAtwyyocFgqGQn6ADyI/edit?usp=sharing"",""กระบี่!S607"")+IMPORTRANGE(""https://docs.google.com/spreadsheets/d/1GwtLaSlNZkLk7iDqcyZz22giiy40b_usZZBXYciEN1U/edit?usp=sharing"",""ชุ"&amp;"มพร!S607"")+IMPORTRANGE(""https://docs.google.com/spreadsheets/d/16pAz3pOhQEZBhvFNMa5KGgZS6iKWpsKX0pg6tQmwFpo/edit?usp=sharing"",""ตรัง!S607"")+IMPORTRANGE(""https://docs.google.com/spreadsheets/d/1Dj4jcHCTV9JXKCaMoheSXS52JE63kDKyG7bPXnFogHk/edit?usp=shar"&amp;"ing"",""นครศรีธรรมราช!S607"")+IMPORTRANGE(""https://docs.google.com/spreadsheets/d/1iodCdmuK2GR3jzUwk8tpccY2JHQQA-87DLOtJP-ooyU/edit?usp=sharing"",""นราธิวาส!S607"")+IMPORTRANGE(""https://docs.google.com/spreadsheets/d/1SDNX3JhDdYRuIOsj0Wh2M-Qa_eaXl0NbWmh"&amp;"AOTbfQAs/edit?usp=sharing"",""ปัตตานี!S607"")+IMPORTRANGE(""https://docs.google.com/spreadsheets/d/16JDLGguT8s5DsGCND1KcwHP_AWR_zDMTqLHPLJUKhaU/edit?usp=sharing"",""พังงา!S607"")+IMPORTRANGE(""https://docs.google.com/spreadsheets/d/17ht0gPKzzT3PObBL1XJkeR"&amp;"mntBXI7wGjpLV7QorqlTk/edit?usp=sharing"",""พัทลุง!S607"")+IMPORTRANGE(""https://docs.google.com/spreadsheets/d/1rd4qoM1q_hsgaolqNGfrim9gbsoLxQsda4-vOz5x_BM/edit?usp=sharing"",""ภูเก็ต!S607"")+IMPORTRANGE(""https://docs.google.com/spreadsheets/d/1woKwKjgoL"&amp;"ssDvPcPeVyezB5izizAn4X1JDrys69n6xI/edit?usp=sharing"",""ยะลา!S607"")+IMPORTRANGE(""https://docs.google.com/spreadsheets/d/1qfrKjzMhm2HJfxQ-qVlJlJQ25Hne1d0khsySbZyGtPA/edit?usp=sharing"",""ระนอง!S607"")+IMPORTRANGE(""https://docs.google.com/spreadsheets/d/"&amp;"1IbSCnFOKpZsnFogBHJnL_isstZVaOMnFiIN0fGTPZZw/edit?usp=sharing"",""สงขลา!S607"")+IMPORTRANGE(""https://docs.google.com/spreadsheets/d/1q9nWasZJ-K8bFGvbE9n0qSRuKGA4Toe3Y89cKCiVtCU/edit?usp=sharing"",""สตูล!S607"")+IMPORTRANGE(""https://docs.google.com/sprea"&amp;"dsheets/d/18T20gbkS_WBjdscyTOV05cvq_JqvqQ17C81mpxf7Ncs/edit?usp=sharing"",""สุราษฎร์ธานี!S607"")"),0)</f>
        <v>0</v>
      </c>
      <c r="T607" s="331">
        <f t="shared" ca="1" si="427"/>
        <v>0</v>
      </c>
      <c r="U607" s="331">
        <f t="shared" ca="1" si="428"/>
        <v>0</v>
      </c>
    </row>
    <row r="608" spans="1:21" ht="19.5" hidden="1" x14ac:dyDescent="0.3">
      <c r="A608" s="432"/>
      <c r="B608" s="433"/>
      <c r="C608" s="417" t="s">
        <v>18</v>
      </c>
      <c r="D608" s="434" t="s">
        <v>38</v>
      </c>
      <c r="E608" s="435"/>
      <c r="F608" s="435"/>
      <c r="G608" s="436"/>
      <c r="H608" s="437"/>
      <c r="I608" s="428"/>
      <c r="J608" s="428"/>
      <c r="K608" s="429"/>
      <c r="L608" s="332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332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332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332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8.75" hidden="1" x14ac:dyDescent="0.25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448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455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56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46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463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t="shared" ref="I615:J615" ca="1" si="437">I626</f>
        <v>550</v>
      </c>
      <c r="J615" s="468">
        <f t="shared" ca="1" si="437"/>
        <v>0</v>
      </c>
      <c r="K615" s="469">
        <f ca="1">IF(I615&gt;0,J615*100/I615,0)</f>
        <v>0</v>
      </c>
      <c r="L615" s="470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188" t="s">
        <v>18</v>
      </c>
      <c r="D616" s="532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132">
        <f t="shared" ref="L616:N616" ca="1" si="438">L617+L618</f>
        <v>0</v>
      </c>
      <c r="M616" s="132">
        <f t="shared" ca="1" si="438"/>
        <v>0</v>
      </c>
      <c r="N616" s="132">
        <f t="shared" ca="1" si="438"/>
        <v>0</v>
      </c>
      <c r="O616" s="132">
        <f t="shared" ref="O616:O624" ca="1" si="439">IF(L616&gt;0,N616*100/L616,0)</f>
        <v>0</v>
      </c>
      <c r="P616" s="132">
        <f t="shared" ref="P616:P624" ca="1" si="440">IF(M616&gt;0,N616*100/M616,0)</f>
        <v>0</v>
      </c>
      <c r="Q616" s="132">
        <f t="shared" ref="Q616:S616" ca="1" si="441">Q617+Q618</f>
        <v>83175</v>
      </c>
      <c r="R616" s="132">
        <f t="shared" ca="1" si="441"/>
        <v>83175</v>
      </c>
      <c r="S616" s="132">
        <f t="shared" ca="1" si="441"/>
        <v>18035</v>
      </c>
      <c r="T616" s="132">
        <f t="shared" ref="T616:T624" ca="1" si="442">IF(Q616&gt;0,S616*100/Q616,0)</f>
        <v>21.683198076345057</v>
      </c>
      <c r="U616" s="132">
        <f t="shared" ref="U616:U624" ca="1" si="443">IF(R616&gt;0,S616*100/R616,0)</f>
        <v>21.683198076345057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49">
        <f t="shared" ref="L617:N617" ca="1" si="444">L620+L623</f>
        <v>0</v>
      </c>
      <c r="M617" s="49">
        <f t="shared" ca="1" si="444"/>
        <v>0</v>
      </c>
      <c r="N617" s="49">
        <f t="shared" ca="1" si="444"/>
        <v>0</v>
      </c>
      <c r="O617" s="49">
        <f t="shared" ca="1" si="439"/>
        <v>0</v>
      </c>
      <c r="P617" s="49">
        <f t="shared" ca="1" si="440"/>
        <v>0</v>
      </c>
      <c r="Q617" s="49">
        <f t="shared" ref="Q617:S617" ca="1" si="445">Q620+Q623</f>
        <v>0</v>
      </c>
      <c r="R617" s="49">
        <f t="shared" ca="1" si="445"/>
        <v>0</v>
      </c>
      <c r="S617" s="49">
        <f t="shared" ca="1" si="445"/>
        <v>0</v>
      </c>
      <c r="T617" s="49">
        <f t="shared" ca="1" si="442"/>
        <v>0</v>
      </c>
      <c r="U617" s="49">
        <f t="shared" ca="1" si="443"/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47">
        <f t="shared" ref="L618:N618" ca="1" si="446">L621+L624</f>
        <v>0</v>
      </c>
      <c r="M618" s="47">
        <f t="shared" ca="1" si="446"/>
        <v>0</v>
      </c>
      <c r="N618" s="47">
        <f t="shared" ca="1" si="446"/>
        <v>0</v>
      </c>
      <c r="O618" s="47">
        <f t="shared" ca="1" si="439"/>
        <v>0</v>
      </c>
      <c r="P618" s="47">
        <f t="shared" ca="1" si="440"/>
        <v>0</v>
      </c>
      <c r="Q618" s="47">
        <f t="shared" ref="Q618:S618" ca="1" si="447">Q621+Q624</f>
        <v>83175</v>
      </c>
      <c r="R618" s="47">
        <f t="shared" ca="1" si="447"/>
        <v>83175</v>
      </c>
      <c r="S618" s="47">
        <f t="shared" ca="1" si="447"/>
        <v>18035</v>
      </c>
      <c r="T618" s="47">
        <f t="shared" ca="1" si="442"/>
        <v>21.683198076345057</v>
      </c>
      <c r="U618" s="47">
        <f t="shared" ca="1" si="443"/>
        <v>21.683198076345057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47">
        <f t="shared" ref="L619:N619" ca="1" si="448">L620+L621</f>
        <v>0</v>
      </c>
      <c r="M619" s="47">
        <f t="shared" ca="1" si="448"/>
        <v>0</v>
      </c>
      <c r="N619" s="47">
        <f t="shared" ca="1" si="448"/>
        <v>0</v>
      </c>
      <c r="O619" s="47">
        <f t="shared" ca="1" si="439"/>
        <v>0</v>
      </c>
      <c r="P619" s="47">
        <f t="shared" ca="1" si="440"/>
        <v>0</v>
      </c>
      <c r="Q619" s="47">
        <f t="shared" ref="Q619:S619" ca="1" si="449">Q620+Q621</f>
        <v>83175</v>
      </c>
      <c r="R619" s="47">
        <f t="shared" ca="1" si="449"/>
        <v>83175</v>
      </c>
      <c r="S619" s="47">
        <f t="shared" ca="1" si="449"/>
        <v>18035</v>
      </c>
      <c r="T619" s="47">
        <f t="shared" ca="1" si="442"/>
        <v>21.683198076345057</v>
      </c>
      <c r="U619" s="47">
        <f t="shared" ca="1" si="443"/>
        <v>21.683198076345057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49">
        <f ca="1">IFERROR(__xludf.DUMMYFUNCTION("IMPORTRANGE(""https://docs.google.com/spreadsheets/d/1kKUcYdkIfrgTSj8iHHHB2MD2FAtwyyocFgqGQn6ADyI/edit?usp=sharing"",""กระบี่!L620"")+IMPORTRANGE(""https://docs.google.com/spreadsheets/d/1GwtLaSlNZkLk7iDqcyZz22giiy40b_usZZBXYciEN1U/edit?usp=sharing"",""ชุ"&amp;"มพร!L620"")+IMPORTRANGE(""https://docs.google.com/spreadsheets/d/16pAz3pOhQEZBhvFNMa5KGgZS6iKWpsKX0pg6tQmwFpo/edit?usp=sharing"",""ตรัง!L620"")+IMPORTRANGE(""https://docs.google.com/spreadsheets/d/1Dj4jcHCTV9JXKCaMoheSXS52JE63kDKyG7bPXnFogHk/edit?usp=shar"&amp;"ing"",""นครศรีธรรมราช!L620"")+IMPORTRANGE(""https://docs.google.com/spreadsheets/d/1iodCdmuK2GR3jzUwk8tpccY2JHQQA-87DLOtJP-ooyU/edit?usp=sharing"",""นราธิวาส!L620"")+IMPORTRANGE(""https://docs.google.com/spreadsheets/d/1SDNX3JhDdYRuIOsj0Wh2M-Qa_eaXl0NbWmh"&amp;"AOTbfQAs/edit?usp=sharing"",""ปัตตานี!L620"")+IMPORTRANGE(""https://docs.google.com/spreadsheets/d/16JDLGguT8s5DsGCND1KcwHP_AWR_zDMTqLHPLJUKhaU/edit?usp=sharing"",""พังงา!L620"")+IMPORTRANGE(""https://docs.google.com/spreadsheets/d/17ht0gPKzzT3PObBL1XJkeR"&amp;"mntBXI7wGjpLV7QorqlTk/edit?usp=sharing"",""พัทลุง!L620"")+IMPORTRANGE(""https://docs.google.com/spreadsheets/d/1rd4qoM1q_hsgaolqNGfrim9gbsoLxQsda4-vOz5x_BM/edit?usp=sharing"",""ภูเก็ต!L620"")+IMPORTRANGE(""https://docs.google.com/spreadsheets/d/1woKwKjgoL"&amp;"ssDvPcPeVyezB5izizAn4X1JDrys69n6xI/edit?usp=sharing"",""ยะลา!L620"")+IMPORTRANGE(""https://docs.google.com/spreadsheets/d/1qfrKjzMhm2HJfxQ-qVlJlJQ25Hne1d0khsySbZyGtPA/edit?usp=sharing"",""ระนอง!L620"")+IMPORTRANGE(""https://docs.google.com/spreadsheets/d/"&amp;"1IbSCnFOKpZsnFogBHJnL_isstZVaOMnFiIN0fGTPZZw/edit?usp=sharing"",""สงขลา!L620"")+IMPORTRANGE(""https://docs.google.com/spreadsheets/d/1q9nWasZJ-K8bFGvbE9n0qSRuKGA4Toe3Y89cKCiVtCU/edit?usp=sharing"",""สตูล!L620"")+IMPORTRANGE(""https://docs.google.com/sprea"&amp;"dsheets/d/18T20gbkS_WBjdscyTOV05cvq_JqvqQ17C81mpxf7Ncs/edit?usp=sharing"",""สุราษฎร์ธานี!L620"")"),0)</f>
        <v>0</v>
      </c>
      <c r="M620" s="49">
        <f ca="1">IFERROR(__xludf.DUMMYFUNCTION("IMPORTRANGE(""https://docs.google.com/spreadsheets/d/1kKUcYdkIfrgTSj8iHHHB2MD2FAtwyyocFgqGQn6ADyI/edit?usp=sharing"",""กระบี่!M620"")+IMPORTRANGE(""https://docs.google.com/spreadsheets/d/1GwtLaSlNZkLk7iDqcyZz22giiy40b_usZZBXYciEN1U/edit?usp=sharing"",""ชุ"&amp;"มพร!M620"")+IMPORTRANGE(""https://docs.google.com/spreadsheets/d/16pAz3pOhQEZBhvFNMa5KGgZS6iKWpsKX0pg6tQmwFpo/edit?usp=sharing"",""ตรัง!M620"")+IMPORTRANGE(""https://docs.google.com/spreadsheets/d/1Dj4jcHCTV9JXKCaMoheSXS52JE63kDKyG7bPXnFogHk/edit?usp=shar"&amp;"ing"",""นครศรีธรรมราช!M620"")+IMPORTRANGE(""https://docs.google.com/spreadsheets/d/1iodCdmuK2GR3jzUwk8tpccY2JHQQA-87DLOtJP-ooyU/edit?usp=sharing"",""นราธิวาส!M620"")+IMPORTRANGE(""https://docs.google.com/spreadsheets/d/1SDNX3JhDdYRuIOsj0Wh2M-Qa_eaXl0NbWmh"&amp;"AOTbfQAs/edit?usp=sharing"",""ปัตตานี!M620"")+IMPORTRANGE(""https://docs.google.com/spreadsheets/d/16JDLGguT8s5DsGCND1KcwHP_AWR_zDMTqLHPLJUKhaU/edit?usp=sharing"",""พังงา!M620"")+IMPORTRANGE(""https://docs.google.com/spreadsheets/d/17ht0gPKzzT3PObBL1XJkeR"&amp;"mntBXI7wGjpLV7QorqlTk/edit?usp=sharing"",""พัทลุง!M620"")+IMPORTRANGE(""https://docs.google.com/spreadsheets/d/1rd4qoM1q_hsgaolqNGfrim9gbsoLxQsda4-vOz5x_BM/edit?usp=sharing"",""ภูเก็ต!M620"")+IMPORTRANGE(""https://docs.google.com/spreadsheets/d/1woKwKjgoL"&amp;"ssDvPcPeVyezB5izizAn4X1JDrys69n6xI/edit?usp=sharing"",""ยะลา!M620"")+IMPORTRANGE(""https://docs.google.com/spreadsheets/d/1qfrKjzMhm2HJfxQ-qVlJlJQ25Hne1d0khsySbZyGtPA/edit?usp=sharing"",""ระนอง!M620"")+IMPORTRANGE(""https://docs.google.com/spreadsheets/d/"&amp;"1IbSCnFOKpZsnFogBHJnL_isstZVaOMnFiIN0fGTPZZw/edit?usp=sharing"",""สงขลา!M620"")+IMPORTRANGE(""https://docs.google.com/spreadsheets/d/1q9nWasZJ-K8bFGvbE9n0qSRuKGA4Toe3Y89cKCiVtCU/edit?usp=sharing"",""สตูล!M620"")+IMPORTRANGE(""https://docs.google.com/sprea"&amp;"dsheets/d/18T20gbkS_WBjdscyTOV05cvq_JqvqQ17C81mpxf7Ncs/edit?usp=sharing"",""สุราษฎร์ธานี!M620"")"),0)</f>
        <v>0</v>
      </c>
      <c r="N620" s="49">
        <f ca="1">IFERROR(__xludf.DUMMYFUNCTION("IMPORTRANGE(""https://docs.google.com/spreadsheets/d/1kKUcYdkIfrgTSj8iHHHB2MD2FAtwyyocFgqGQn6ADyI/edit?usp=sharing"",""กระบี่!N620"")+IMPORTRANGE(""https://docs.google.com/spreadsheets/d/1GwtLaSlNZkLk7iDqcyZz22giiy40b_usZZBXYciEN1U/edit?usp=sharing"",""ชุ"&amp;"มพร!N620"")+IMPORTRANGE(""https://docs.google.com/spreadsheets/d/16pAz3pOhQEZBhvFNMa5KGgZS6iKWpsKX0pg6tQmwFpo/edit?usp=sharing"",""ตรัง!N620"")+IMPORTRANGE(""https://docs.google.com/spreadsheets/d/1Dj4jcHCTV9JXKCaMoheSXS52JE63kDKyG7bPXnFogHk/edit?usp=shar"&amp;"ing"",""นครศรีธรรมราช!N620"")+IMPORTRANGE(""https://docs.google.com/spreadsheets/d/1iodCdmuK2GR3jzUwk8tpccY2JHQQA-87DLOtJP-ooyU/edit?usp=sharing"",""นราธิวาส!N620"")+IMPORTRANGE(""https://docs.google.com/spreadsheets/d/1SDNX3JhDdYRuIOsj0Wh2M-Qa_eaXl0NbWmh"&amp;"AOTbfQAs/edit?usp=sharing"",""ปัตตานี!N620"")+IMPORTRANGE(""https://docs.google.com/spreadsheets/d/16JDLGguT8s5DsGCND1KcwHP_AWR_zDMTqLHPLJUKhaU/edit?usp=sharing"",""พังงา!N620"")+IMPORTRANGE(""https://docs.google.com/spreadsheets/d/17ht0gPKzzT3PObBL1XJkeR"&amp;"mntBXI7wGjpLV7QorqlTk/edit?usp=sharing"",""พัทลุง!N620"")+IMPORTRANGE(""https://docs.google.com/spreadsheets/d/1rd4qoM1q_hsgaolqNGfrim9gbsoLxQsda4-vOz5x_BM/edit?usp=sharing"",""ภูเก็ต!N620"")+IMPORTRANGE(""https://docs.google.com/spreadsheets/d/1woKwKjgoL"&amp;"ssDvPcPeVyezB5izizAn4X1JDrys69n6xI/edit?usp=sharing"",""ยะลา!N620"")+IMPORTRANGE(""https://docs.google.com/spreadsheets/d/1qfrKjzMhm2HJfxQ-qVlJlJQ25Hne1d0khsySbZyGtPA/edit?usp=sharing"",""ระนอง!N620"")+IMPORTRANGE(""https://docs.google.com/spreadsheets/d/"&amp;"1IbSCnFOKpZsnFogBHJnL_isstZVaOMnFiIN0fGTPZZw/edit?usp=sharing"",""สงขลา!N620"")+IMPORTRANGE(""https://docs.google.com/spreadsheets/d/1q9nWasZJ-K8bFGvbE9n0qSRuKGA4Toe3Y89cKCiVtCU/edit?usp=sharing"",""สตูล!N620"")+IMPORTRANGE(""https://docs.google.com/sprea"&amp;"dsheets/d/18T20gbkS_WBjdscyTOV05cvq_JqvqQ17C81mpxf7Ncs/edit?usp=sharing"",""สุราษฎร์ธานี!N620"")"),0)</f>
        <v>0</v>
      </c>
      <c r="O620" s="49">
        <f t="shared" ca="1" si="439"/>
        <v>0</v>
      </c>
      <c r="P620" s="49">
        <f t="shared" ca="1" si="440"/>
        <v>0</v>
      </c>
      <c r="Q620" s="49">
        <f ca="1">IFERROR(__xludf.DUMMYFUNCTION("IMPORTRANGE(""https://docs.google.com/spreadsheets/d/1kKUcYdkIfrgTSj8iHHHB2MD2FAtwyyocFgqGQn6ADyI/edit?usp=sharing"",""กระบี่!Q620"")+IMPORTRANGE(""https://docs.google.com/spreadsheets/d/1GwtLaSlNZkLk7iDqcyZz22giiy40b_usZZBXYciEN1U/edit?usp=sharing"",""ชุ"&amp;"มพร!Q620"")+IMPORTRANGE(""https://docs.google.com/spreadsheets/d/16pAz3pOhQEZBhvFNMa5KGgZS6iKWpsKX0pg6tQmwFpo/edit?usp=sharing"",""ตรัง!Q620"")+IMPORTRANGE(""https://docs.google.com/spreadsheets/d/1Dj4jcHCTV9JXKCaMoheSXS52JE63kDKyG7bPXnFogHk/edit?usp=shar"&amp;"ing"",""นครศรีธรรมราช!Q620"")+IMPORTRANGE(""https://docs.google.com/spreadsheets/d/1iodCdmuK2GR3jzUwk8tpccY2JHQQA-87DLOtJP-ooyU/edit?usp=sharing"",""นราธิวาส!Q620"")+IMPORTRANGE(""https://docs.google.com/spreadsheets/d/1SDNX3JhDdYRuIOsj0Wh2M-Qa_eaXl0NbWmh"&amp;"AOTbfQAs/edit?usp=sharing"",""ปัตตานี!Q620"")+IMPORTRANGE(""https://docs.google.com/spreadsheets/d/16JDLGguT8s5DsGCND1KcwHP_AWR_zDMTqLHPLJUKhaU/edit?usp=sharing"",""พังงา!Q620"")+IMPORTRANGE(""https://docs.google.com/spreadsheets/d/17ht0gPKzzT3PObBL1XJkeR"&amp;"mntBXI7wGjpLV7QorqlTk/edit?usp=sharing"",""พัทลุง!Q620"")+IMPORTRANGE(""https://docs.google.com/spreadsheets/d/1rd4qoM1q_hsgaolqNGfrim9gbsoLxQsda4-vOz5x_BM/edit?usp=sharing"",""ภูเก็ต!Q620"")+IMPORTRANGE(""https://docs.google.com/spreadsheets/d/1woKwKjgoL"&amp;"ssDvPcPeVyezB5izizAn4X1JDrys69n6xI/edit?usp=sharing"",""ยะลา!Q620"")+IMPORTRANGE(""https://docs.google.com/spreadsheets/d/1qfrKjzMhm2HJfxQ-qVlJlJQ25Hne1d0khsySbZyGtPA/edit?usp=sharing"",""ระนอง!Q620"")+IMPORTRANGE(""https://docs.google.com/spreadsheets/d/"&amp;"1IbSCnFOKpZsnFogBHJnL_isstZVaOMnFiIN0fGTPZZw/edit?usp=sharing"",""สงขลา!Q620"")+IMPORTRANGE(""https://docs.google.com/spreadsheets/d/1q9nWasZJ-K8bFGvbE9n0qSRuKGA4Toe3Y89cKCiVtCU/edit?usp=sharing"",""สตูล!Q620"")+IMPORTRANGE(""https://docs.google.com/sprea"&amp;"dsheets/d/18T20gbkS_WBjdscyTOV05cvq_JqvqQ17C81mpxf7Ncs/edit?usp=sharing"",""สุราษฎร์ธานี!Q620"")"),0)</f>
        <v>0</v>
      </c>
      <c r="R620" s="49">
        <f ca="1">IFERROR(__xludf.DUMMYFUNCTION("IMPORTRANGE(""https://docs.google.com/spreadsheets/d/1kKUcYdkIfrgTSj8iHHHB2MD2FAtwyyocFgqGQn6ADyI/edit?usp=sharing"",""กระบี่!R620"")+IMPORTRANGE(""https://docs.google.com/spreadsheets/d/1GwtLaSlNZkLk7iDqcyZz22giiy40b_usZZBXYciEN1U/edit?usp=sharing"",""ชุ"&amp;"มพร!R620"")+IMPORTRANGE(""https://docs.google.com/spreadsheets/d/16pAz3pOhQEZBhvFNMa5KGgZS6iKWpsKX0pg6tQmwFpo/edit?usp=sharing"",""ตรัง!R620"")+IMPORTRANGE(""https://docs.google.com/spreadsheets/d/1Dj4jcHCTV9JXKCaMoheSXS52JE63kDKyG7bPXnFogHk/edit?usp=shar"&amp;"ing"",""นครศรีธรรมราช!R620"")+IMPORTRANGE(""https://docs.google.com/spreadsheets/d/1iodCdmuK2GR3jzUwk8tpccY2JHQQA-87DLOtJP-ooyU/edit?usp=sharing"",""นราธิวาส!R620"")+IMPORTRANGE(""https://docs.google.com/spreadsheets/d/1SDNX3JhDdYRuIOsj0Wh2M-Qa_eaXl0NbWmh"&amp;"AOTbfQAs/edit?usp=sharing"",""ปัตตานี!R620"")+IMPORTRANGE(""https://docs.google.com/spreadsheets/d/16JDLGguT8s5DsGCND1KcwHP_AWR_zDMTqLHPLJUKhaU/edit?usp=sharing"",""พังงา!R620"")+IMPORTRANGE(""https://docs.google.com/spreadsheets/d/17ht0gPKzzT3PObBL1XJkeR"&amp;"mntBXI7wGjpLV7QorqlTk/edit?usp=sharing"",""พัทลุง!R620"")+IMPORTRANGE(""https://docs.google.com/spreadsheets/d/1rd4qoM1q_hsgaolqNGfrim9gbsoLxQsda4-vOz5x_BM/edit?usp=sharing"",""ภูเก็ต!R620"")+IMPORTRANGE(""https://docs.google.com/spreadsheets/d/1woKwKjgoL"&amp;"ssDvPcPeVyezB5izizAn4X1JDrys69n6xI/edit?usp=sharing"",""ยะลา!R620"")+IMPORTRANGE(""https://docs.google.com/spreadsheets/d/1qfrKjzMhm2HJfxQ-qVlJlJQ25Hne1d0khsySbZyGtPA/edit?usp=sharing"",""ระนอง!R620"")+IMPORTRANGE(""https://docs.google.com/spreadsheets/d/"&amp;"1IbSCnFOKpZsnFogBHJnL_isstZVaOMnFiIN0fGTPZZw/edit?usp=sharing"",""สงขลา!R620"")+IMPORTRANGE(""https://docs.google.com/spreadsheets/d/1q9nWasZJ-K8bFGvbE9n0qSRuKGA4Toe3Y89cKCiVtCU/edit?usp=sharing"",""สตูล!R620"")+IMPORTRANGE(""https://docs.google.com/sprea"&amp;"dsheets/d/18T20gbkS_WBjdscyTOV05cvq_JqvqQ17C81mpxf7Ncs/edit?usp=sharing"",""สุราษฎร์ธานี!R620"")"),0)</f>
        <v>0</v>
      </c>
      <c r="S620" s="49">
        <f ca="1">IFERROR(__xludf.DUMMYFUNCTION("IMPORTRANGE(""https://docs.google.com/spreadsheets/d/1kKUcYdkIfrgTSj8iHHHB2MD2FAtwyyocFgqGQn6ADyI/edit?usp=sharing"",""กระบี่!S620"")+IMPORTRANGE(""https://docs.google.com/spreadsheets/d/1GwtLaSlNZkLk7iDqcyZz22giiy40b_usZZBXYciEN1U/edit?usp=sharing"",""ชุ"&amp;"มพร!S620"")+IMPORTRANGE(""https://docs.google.com/spreadsheets/d/16pAz3pOhQEZBhvFNMa5KGgZS6iKWpsKX0pg6tQmwFpo/edit?usp=sharing"",""ตรัง!S620"")+IMPORTRANGE(""https://docs.google.com/spreadsheets/d/1Dj4jcHCTV9JXKCaMoheSXS52JE63kDKyG7bPXnFogHk/edit?usp=shar"&amp;"ing"",""นครศรีธรรมราช!S620"")+IMPORTRANGE(""https://docs.google.com/spreadsheets/d/1iodCdmuK2GR3jzUwk8tpccY2JHQQA-87DLOtJP-ooyU/edit?usp=sharing"",""นราธิวาส!S620"")+IMPORTRANGE(""https://docs.google.com/spreadsheets/d/1SDNX3JhDdYRuIOsj0Wh2M-Qa_eaXl0NbWmh"&amp;"AOTbfQAs/edit?usp=sharing"",""ปัตตานี!S620"")+IMPORTRANGE(""https://docs.google.com/spreadsheets/d/16JDLGguT8s5DsGCND1KcwHP_AWR_zDMTqLHPLJUKhaU/edit?usp=sharing"",""พังงา!S620"")+IMPORTRANGE(""https://docs.google.com/spreadsheets/d/17ht0gPKzzT3PObBL1XJkeR"&amp;"mntBXI7wGjpLV7QorqlTk/edit?usp=sharing"",""พัทลุง!S620"")+IMPORTRANGE(""https://docs.google.com/spreadsheets/d/1rd4qoM1q_hsgaolqNGfrim9gbsoLxQsda4-vOz5x_BM/edit?usp=sharing"",""ภูเก็ต!S620"")+IMPORTRANGE(""https://docs.google.com/spreadsheets/d/1woKwKjgoL"&amp;"ssDvPcPeVyezB5izizAn4X1JDrys69n6xI/edit?usp=sharing"",""ยะลา!S620"")+IMPORTRANGE(""https://docs.google.com/spreadsheets/d/1qfrKjzMhm2HJfxQ-qVlJlJQ25Hne1d0khsySbZyGtPA/edit?usp=sharing"",""ระนอง!S620"")+IMPORTRANGE(""https://docs.google.com/spreadsheets/d/"&amp;"1IbSCnFOKpZsnFogBHJnL_isstZVaOMnFiIN0fGTPZZw/edit?usp=sharing"",""สงขลา!S620"")+IMPORTRANGE(""https://docs.google.com/spreadsheets/d/1q9nWasZJ-K8bFGvbE9n0qSRuKGA4Toe3Y89cKCiVtCU/edit?usp=sharing"",""สตูล!S620"")+IMPORTRANGE(""https://docs.google.com/sprea"&amp;"dsheets/d/18T20gbkS_WBjdscyTOV05cvq_JqvqQ17C81mpxf7Ncs/edit?usp=sharing"",""สุราษฎร์ธานี!S620"")"),0)</f>
        <v>0</v>
      </c>
      <c r="T620" s="49">
        <f t="shared" ca="1" si="442"/>
        <v>0</v>
      </c>
      <c r="U620" s="49">
        <f t="shared" ca="1" si="443"/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47">
        <f ca="1">IFERROR(__xludf.DUMMYFUNCTION("IMPORTRANGE(""https://docs.google.com/spreadsheets/d/1kKUcYdkIfrgTSj8iHHHB2MD2FAtwyyocFgqGQn6ADyI/edit?usp=sharing"",""กระบี่!L621"")+IMPORTRANGE(""https://docs.google.com/spreadsheets/d/1GwtLaSlNZkLk7iDqcyZz22giiy40b_usZZBXYciEN1U/edit?usp=sharing"",""ชุ"&amp;"มพร!L621"")+IMPORTRANGE(""https://docs.google.com/spreadsheets/d/16pAz3pOhQEZBhvFNMa5KGgZS6iKWpsKX0pg6tQmwFpo/edit?usp=sharing"",""ตรัง!L621"")+IMPORTRANGE(""https://docs.google.com/spreadsheets/d/1Dj4jcHCTV9JXKCaMoheSXS52JE63kDKyG7bPXnFogHk/edit?usp=shar"&amp;"ing"",""นครศรีธรรมราช!L621"")+IMPORTRANGE(""https://docs.google.com/spreadsheets/d/1iodCdmuK2GR3jzUwk8tpccY2JHQQA-87DLOtJP-ooyU/edit?usp=sharing"",""นราธิวาส!L621"")+IMPORTRANGE(""https://docs.google.com/spreadsheets/d/1SDNX3JhDdYRuIOsj0Wh2M-Qa_eaXl0NbWmh"&amp;"AOTbfQAs/edit?usp=sharing"",""ปัตตานี!L621"")+IMPORTRANGE(""https://docs.google.com/spreadsheets/d/16JDLGguT8s5DsGCND1KcwHP_AWR_zDMTqLHPLJUKhaU/edit?usp=sharing"",""พังงา!L621"")+IMPORTRANGE(""https://docs.google.com/spreadsheets/d/17ht0gPKzzT3PObBL1XJkeR"&amp;"mntBXI7wGjpLV7QorqlTk/edit?usp=sharing"",""พัทลุง!L621"")+IMPORTRANGE(""https://docs.google.com/spreadsheets/d/1rd4qoM1q_hsgaolqNGfrim9gbsoLxQsda4-vOz5x_BM/edit?usp=sharing"",""ภูเก็ต!L621"")+IMPORTRANGE(""https://docs.google.com/spreadsheets/d/1woKwKjgoL"&amp;"ssDvPcPeVyezB5izizAn4X1JDrys69n6xI/edit?usp=sharing"",""ยะลา!L621"")+IMPORTRANGE(""https://docs.google.com/spreadsheets/d/1qfrKjzMhm2HJfxQ-qVlJlJQ25Hne1d0khsySbZyGtPA/edit?usp=sharing"",""ระนอง!L621"")+IMPORTRANGE(""https://docs.google.com/spreadsheets/d/"&amp;"1IbSCnFOKpZsnFogBHJnL_isstZVaOMnFiIN0fGTPZZw/edit?usp=sharing"",""สงขลา!L621"")+IMPORTRANGE(""https://docs.google.com/spreadsheets/d/1q9nWasZJ-K8bFGvbE9n0qSRuKGA4Toe3Y89cKCiVtCU/edit?usp=sharing"",""สตูล!L621"")+IMPORTRANGE(""https://docs.google.com/sprea"&amp;"dsheets/d/18T20gbkS_WBjdscyTOV05cvq_JqvqQ17C81mpxf7Ncs/edit?usp=sharing"",""สุราษฎร์ธานี!L621"")"),0)</f>
        <v>0</v>
      </c>
      <c r="M621" s="47">
        <f ca="1">IFERROR(__xludf.DUMMYFUNCTION("IMPORTRANGE(""https://docs.google.com/spreadsheets/d/1kKUcYdkIfrgTSj8iHHHB2MD2FAtwyyocFgqGQn6ADyI/edit?usp=sharing"",""กระบี่!M621"")+IMPORTRANGE(""https://docs.google.com/spreadsheets/d/1GwtLaSlNZkLk7iDqcyZz22giiy40b_usZZBXYciEN1U/edit?usp=sharing"",""ชุ"&amp;"มพร!M621"")+IMPORTRANGE(""https://docs.google.com/spreadsheets/d/16pAz3pOhQEZBhvFNMa5KGgZS6iKWpsKX0pg6tQmwFpo/edit?usp=sharing"",""ตรัง!M621"")+IMPORTRANGE(""https://docs.google.com/spreadsheets/d/1Dj4jcHCTV9JXKCaMoheSXS52JE63kDKyG7bPXnFogHk/edit?usp=shar"&amp;"ing"",""นครศรีธรรมราช!M621"")+IMPORTRANGE(""https://docs.google.com/spreadsheets/d/1iodCdmuK2GR3jzUwk8tpccY2JHQQA-87DLOtJP-ooyU/edit?usp=sharing"",""นราธิวาส!M621"")+IMPORTRANGE(""https://docs.google.com/spreadsheets/d/1SDNX3JhDdYRuIOsj0Wh2M-Qa_eaXl0NbWmh"&amp;"AOTbfQAs/edit?usp=sharing"",""ปัตตานี!M621"")+IMPORTRANGE(""https://docs.google.com/spreadsheets/d/16JDLGguT8s5DsGCND1KcwHP_AWR_zDMTqLHPLJUKhaU/edit?usp=sharing"",""พังงา!M621"")+IMPORTRANGE(""https://docs.google.com/spreadsheets/d/17ht0gPKzzT3PObBL1XJkeR"&amp;"mntBXI7wGjpLV7QorqlTk/edit?usp=sharing"",""พัทลุง!M621"")+IMPORTRANGE(""https://docs.google.com/spreadsheets/d/1rd4qoM1q_hsgaolqNGfrim9gbsoLxQsda4-vOz5x_BM/edit?usp=sharing"",""ภูเก็ต!M621"")+IMPORTRANGE(""https://docs.google.com/spreadsheets/d/1woKwKjgoL"&amp;"ssDvPcPeVyezB5izizAn4X1JDrys69n6xI/edit?usp=sharing"",""ยะลา!M621"")+IMPORTRANGE(""https://docs.google.com/spreadsheets/d/1qfrKjzMhm2HJfxQ-qVlJlJQ25Hne1d0khsySbZyGtPA/edit?usp=sharing"",""ระนอง!M621"")+IMPORTRANGE(""https://docs.google.com/spreadsheets/d/"&amp;"1IbSCnFOKpZsnFogBHJnL_isstZVaOMnFiIN0fGTPZZw/edit?usp=sharing"",""สงขลา!M621"")+IMPORTRANGE(""https://docs.google.com/spreadsheets/d/1q9nWasZJ-K8bFGvbE9n0qSRuKGA4Toe3Y89cKCiVtCU/edit?usp=sharing"",""สตูล!M621"")+IMPORTRANGE(""https://docs.google.com/sprea"&amp;"dsheets/d/18T20gbkS_WBjdscyTOV05cvq_JqvqQ17C81mpxf7Ncs/edit?usp=sharing"",""สุราษฎร์ธานี!M621"")"),0)</f>
        <v>0</v>
      </c>
      <c r="N621" s="47">
        <f ca="1">IFERROR(__xludf.DUMMYFUNCTION("IMPORTRANGE(""https://docs.google.com/spreadsheets/d/1kKUcYdkIfrgTSj8iHHHB2MD2FAtwyyocFgqGQn6ADyI/edit?usp=sharing"",""กระบี่!N621"")+IMPORTRANGE(""https://docs.google.com/spreadsheets/d/1GwtLaSlNZkLk7iDqcyZz22giiy40b_usZZBXYciEN1U/edit?usp=sharing"",""ชุ"&amp;"มพร!N621"")+IMPORTRANGE(""https://docs.google.com/spreadsheets/d/16pAz3pOhQEZBhvFNMa5KGgZS6iKWpsKX0pg6tQmwFpo/edit?usp=sharing"",""ตรัง!N621"")+IMPORTRANGE(""https://docs.google.com/spreadsheets/d/1Dj4jcHCTV9JXKCaMoheSXS52JE63kDKyG7bPXnFogHk/edit?usp=shar"&amp;"ing"",""นครศรีธรรมราช!N621"")+IMPORTRANGE(""https://docs.google.com/spreadsheets/d/1iodCdmuK2GR3jzUwk8tpccY2JHQQA-87DLOtJP-ooyU/edit?usp=sharing"",""นราธิวาส!N621"")+IMPORTRANGE(""https://docs.google.com/spreadsheets/d/1SDNX3JhDdYRuIOsj0Wh2M-Qa_eaXl0NbWmh"&amp;"AOTbfQAs/edit?usp=sharing"",""ปัตตานี!N621"")+IMPORTRANGE(""https://docs.google.com/spreadsheets/d/16JDLGguT8s5DsGCND1KcwHP_AWR_zDMTqLHPLJUKhaU/edit?usp=sharing"",""พังงา!N621"")+IMPORTRANGE(""https://docs.google.com/spreadsheets/d/17ht0gPKzzT3PObBL1XJkeR"&amp;"mntBXI7wGjpLV7QorqlTk/edit?usp=sharing"",""พัทลุง!N621"")+IMPORTRANGE(""https://docs.google.com/spreadsheets/d/1rd4qoM1q_hsgaolqNGfrim9gbsoLxQsda4-vOz5x_BM/edit?usp=sharing"",""ภูเก็ต!N621"")+IMPORTRANGE(""https://docs.google.com/spreadsheets/d/1woKwKjgoL"&amp;"ssDvPcPeVyezB5izizAn4X1JDrys69n6xI/edit?usp=sharing"",""ยะลา!N621"")+IMPORTRANGE(""https://docs.google.com/spreadsheets/d/1qfrKjzMhm2HJfxQ-qVlJlJQ25Hne1d0khsySbZyGtPA/edit?usp=sharing"",""ระนอง!N621"")+IMPORTRANGE(""https://docs.google.com/spreadsheets/d/"&amp;"1IbSCnFOKpZsnFogBHJnL_isstZVaOMnFiIN0fGTPZZw/edit?usp=sharing"",""สงขลา!N621"")+IMPORTRANGE(""https://docs.google.com/spreadsheets/d/1q9nWasZJ-K8bFGvbE9n0qSRuKGA4Toe3Y89cKCiVtCU/edit?usp=sharing"",""สตูล!N621"")+IMPORTRANGE(""https://docs.google.com/sprea"&amp;"dsheets/d/18T20gbkS_WBjdscyTOV05cvq_JqvqQ17C81mpxf7Ncs/edit?usp=sharing"",""สุราษฎร์ธานี!N621"")"),0)</f>
        <v>0</v>
      </c>
      <c r="O621" s="47">
        <f t="shared" ca="1" si="439"/>
        <v>0</v>
      </c>
      <c r="P621" s="47">
        <f t="shared" ca="1" si="440"/>
        <v>0</v>
      </c>
      <c r="Q621" s="47">
        <f ca="1">IFERROR(__xludf.DUMMYFUNCTION("IMPORTRANGE(""https://docs.google.com/spreadsheets/d/1kKUcYdkIfrgTSj8iHHHB2MD2FAtwyyocFgqGQn6ADyI/edit?usp=sharing"",""กระบี่!Q621"")+IMPORTRANGE(""https://docs.google.com/spreadsheets/d/1GwtLaSlNZkLk7iDqcyZz22giiy40b_usZZBXYciEN1U/edit?usp=sharing"",""ชุ"&amp;"มพร!Q621"")+IMPORTRANGE(""https://docs.google.com/spreadsheets/d/16pAz3pOhQEZBhvFNMa5KGgZS6iKWpsKX0pg6tQmwFpo/edit?usp=sharing"",""ตรัง!Q621"")+IMPORTRANGE(""https://docs.google.com/spreadsheets/d/1Dj4jcHCTV9JXKCaMoheSXS52JE63kDKyG7bPXnFogHk/edit?usp=shar"&amp;"ing"",""นครศรีธรรมราช!Q621"")+IMPORTRANGE(""https://docs.google.com/spreadsheets/d/1iodCdmuK2GR3jzUwk8tpccY2JHQQA-87DLOtJP-ooyU/edit?usp=sharing"",""นราธิวาส!Q621"")+IMPORTRANGE(""https://docs.google.com/spreadsheets/d/1SDNX3JhDdYRuIOsj0Wh2M-Qa_eaXl0NbWmh"&amp;"AOTbfQAs/edit?usp=sharing"",""ปัตตานี!Q621"")+IMPORTRANGE(""https://docs.google.com/spreadsheets/d/16JDLGguT8s5DsGCND1KcwHP_AWR_zDMTqLHPLJUKhaU/edit?usp=sharing"",""พังงา!Q621"")+IMPORTRANGE(""https://docs.google.com/spreadsheets/d/17ht0gPKzzT3PObBL1XJkeR"&amp;"mntBXI7wGjpLV7QorqlTk/edit?usp=sharing"",""พัทลุง!Q621"")+IMPORTRANGE(""https://docs.google.com/spreadsheets/d/1rd4qoM1q_hsgaolqNGfrim9gbsoLxQsda4-vOz5x_BM/edit?usp=sharing"",""ภูเก็ต!Q621"")+IMPORTRANGE(""https://docs.google.com/spreadsheets/d/1woKwKjgoL"&amp;"ssDvPcPeVyezB5izizAn4X1JDrys69n6xI/edit?usp=sharing"",""ยะลา!Q621"")+IMPORTRANGE(""https://docs.google.com/spreadsheets/d/1qfrKjzMhm2HJfxQ-qVlJlJQ25Hne1d0khsySbZyGtPA/edit?usp=sharing"",""ระนอง!Q621"")+IMPORTRANGE(""https://docs.google.com/spreadsheets/d/"&amp;"1IbSCnFOKpZsnFogBHJnL_isstZVaOMnFiIN0fGTPZZw/edit?usp=sharing"",""สงขลา!Q621"")+IMPORTRANGE(""https://docs.google.com/spreadsheets/d/1q9nWasZJ-K8bFGvbE9n0qSRuKGA4Toe3Y89cKCiVtCU/edit?usp=sharing"",""สตูล!Q621"")+IMPORTRANGE(""https://docs.google.com/sprea"&amp;"dsheets/d/18T20gbkS_WBjdscyTOV05cvq_JqvqQ17C81mpxf7Ncs/edit?usp=sharing"",""สุราษฎร์ธานี!Q621"")"),83175)</f>
        <v>83175</v>
      </c>
      <c r="R621" s="47">
        <f ca="1">IFERROR(__xludf.DUMMYFUNCTION("IMPORTRANGE(""https://docs.google.com/spreadsheets/d/1kKUcYdkIfrgTSj8iHHHB2MD2FAtwyyocFgqGQn6ADyI/edit?usp=sharing"",""กระบี่!R621"")+IMPORTRANGE(""https://docs.google.com/spreadsheets/d/1GwtLaSlNZkLk7iDqcyZz22giiy40b_usZZBXYciEN1U/edit?usp=sharing"",""ชุ"&amp;"มพร!R621"")+IMPORTRANGE(""https://docs.google.com/spreadsheets/d/16pAz3pOhQEZBhvFNMa5KGgZS6iKWpsKX0pg6tQmwFpo/edit?usp=sharing"",""ตรัง!R621"")+IMPORTRANGE(""https://docs.google.com/spreadsheets/d/1Dj4jcHCTV9JXKCaMoheSXS52JE63kDKyG7bPXnFogHk/edit?usp=shar"&amp;"ing"",""นครศรีธรรมราช!R621"")+IMPORTRANGE(""https://docs.google.com/spreadsheets/d/1iodCdmuK2GR3jzUwk8tpccY2JHQQA-87DLOtJP-ooyU/edit?usp=sharing"",""นราธิวาส!R621"")+IMPORTRANGE(""https://docs.google.com/spreadsheets/d/1SDNX3JhDdYRuIOsj0Wh2M-Qa_eaXl0NbWmh"&amp;"AOTbfQAs/edit?usp=sharing"",""ปัตตานี!R621"")+IMPORTRANGE(""https://docs.google.com/spreadsheets/d/16JDLGguT8s5DsGCND1KcwHP_AWR_zDMTqLHPLJUKhaU/edit?usp=sharing"",""พังงา!R621"")+IMPORTRANGE(""https://docs.google.com/spreadsheets/d/17ht0gPKzzT3PObBL1XJkeR"&amp;"mntBXI7wGjpLV7QorqlTk/edit?usp=sharing"",""พัทลุง!R621"")+IMPORTRANGE(""https://docs.google.com/spreadsheets/d/1rd4qoM1q_hsgaolqNGfrim9gbsoLxQsda4-vOz5x_BM/edit?usp=sharing"",""ภูเก็ต!R621"")+IMPORTRANGE(""https://docs.google.com/spreadsheets/d/1woKwKjgoL"&amp;"ssDvPcPeVyezB5izizAn4X1JDrys69n6xI/edit?usp=sharing"",""ยะลา!R621"")+IMPORTRANGE(""https://docs.google.com/spreadsheets/d/1qfrKjzMhm2HJfxQ-qVlJlJQ25Hne1d0khsySbZyGtPA/edit?usp=sharing"",""ระนอง!R621"")+IMPORTRANGE(""https://docs.google.com/spreadsheets/d/"&amp;"1IbSCnFOKpZsnFogBHJnL_isstZVaOMnFiIN0fGTPZZw/edit?usp=sharing"",""สงขลา!R621"")+IMPORTRANGE(""https://docs.google.com/spreadsheets/d/1q9nWasZJ-K8bFGvbE9n0qSRuKGA4Toe3Y89cKCiVtCU/edit?usp=sharing"",""สตูล!R621"")+IMPORTRANGE(""https://docs.google.com/sprea"&amp;"dsheets/d/18T20gbkS_WBjdscyTOV05cvq_JqvqQ17C81mpxf7Ncs/edit?usp=sharing"",""สุราษฎร์ธานี!R621"")"),83175)</f>
        <v>83175</v>
      </c>
      <c r="S621" s="47">
        <f ca="1">IFERROR(__xludf.DUMMYFUNCTION("IMPORTRANGE(""https://docs.google.com/spreadsheets/d/1kKUcYdkIfrgTSj8iHHHB2MD2FAtwyyocFgqGQn6ADyI/edit?usp=sharing"",""กระบี่!S621"")+IMPORTRANGE(""https://docs.google.com/spreadsheets/d/1GwtLaSlNZkLk7iDqcyZz22giiy40b_usZZBXYciEN1U/edit?usp=sharing"",""ชุ"&amp;"มพร!S621"")+IMPORTRANGE(""https://docs.google.com/spreadsheets/d/16pAz3pOhQEZBhvFNMa5KGgZS6iKWpsKX0pg6tQmwFpo/edit?usp=sharing"",""ตรัง!S621"")+IMPORTRANGE(""https://docs.google.com/spreadsheets/d/1Dj4jcHCTV9JXKCaMoheSXS52JE63kDKyG7bPXnFogHk/edit?usp=shar"&amp;"ing"",""นครศรีธรรมราช!S621"")+IMPORTRANGE(""https://docs.google.com/spreadsheets/d/1iodCdmuK2GR3jzUwk8tpccY2JHQQA-87DLOtJP-ooyU/edit?usp=sharing"",""นราธิวาส!S621"")+IMPORTRANGE(""https://docs.google.com/spreadsheets/d/1SDNX3JhDdYRuIOsj0Wh2M-Qa_eaXl0NbWmh"&amp;"AOTbfQAs/edit?usp=sharing"",""ปัตตานี!S621"")+IMPORTRANGE(""https://docs.google.com/spreadsheets/d/16JDLGguT8s5DsGCND1KcwHP_AWR_zDMTqLHPLJUKhaU/edit?usp=sharing"",""พังงา!S621"")+IMPORTRANGE(""https://docs.google.com/spreadsheets/d/17ht0gPKzzT3PObBL1XJkeR"&amp;"mntBXI7wGjpLV7QorqlTk/edit?usp=sharing"",""พัทลุง!S621"")+IMPORTRANGE(""https://docs.google.com/spreadsheets/d/1rd4qoM1q_hsgaolqNGfrim9gbsoLxQsda4-vOz5x_BM/edit?usp=sharing"",""ภูเก็ต!S621"")+IMPORTRANGE(""https://docs.google.com/spreadsheets/d/1woKwKjgoL"&amp;"ssDvPcPeVyezB5izizAn4X1JDrys69n6xI/edit?usp=sharing"",""ยะลา!S621"")+IMPORTRANGE(""https://docs.google.com/spreadsheets/d/1qfrKjzMhm2HJfxQ-qVlJlJQ25Hne1d0khsySbZyGtPA/edit?usp=sharing"",""ระนอง!S621"")+IMPORTRANGE(""https://docs.google.com/spreadsheets/d/"&amp;"1IbSCnFOKpZsnFogBHJnL_isstZVaOMnFiIN0fGTPZZw/edit?usp=sharing"",""สงขลา!S621"")+IMPORTRANGE(""https://docs.google.com/spreadsheets/d/1q9nWasZJ-K8bFGvbE9n0qSRuKGA4Toe3Y89cKCiVtCU/edit?usp=sharing"",""สตูล!S621"")+IMPORTRANGE(""https://docs.google.com/sprea"&amp;"dsheets/d/18T20gbkS_WBjdscyTOV05cvq_JqvqQ17C81mpxf7Ncs/edit?usp=sharing"",""สุราษฎร์ธานี!S621"")"),18035)</f>
        <v>18035</v>
      </c>
      <c r="T621" s="47">
        <f t="shared" ca="1" si="442"/>
        <v>21.683198076345057</v>
      </c>
      <c r="U621" s="47">
        <f t="shared" ca="1" si="443"/>
        <v>21.683198076345057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47">
        <f t="shared" ref="L622:N622" ca="1" si="450">L623+L624</f>
        <v>0</v>
      </c>
      <c r="M622" s="47">
        <f t="shared" ca="1" si="450"/>
        <v>0</v>
      </c>
      <c r="N622" s="47">
        <f t="shared" ca="1" si="450"/>
        <v>0</v>
      </c>
      <c r="O622" s="47">
        <f t="shared" ca="1" si="439"/>
        <v>0</v>
      </c>
      <c r="P622" s="47">
        <f t="shared" ca="1" si="440"/>
        <v>0</v>
      </c>
      <c r="Q622" s="47">
        <f t="shared" ref="Q622:S622" ca="1" si="451">Q623+Q624</f>
        <v>0</v>
      </c>
      <c r="R622" s="47">
        <f t="shared" ca="1" si="451"/>
        <v>0</v>
      </c>
      <c r="S622" s="47">
        <f t="shared" ca="1" si="451"/>
        <v>0</v>
      </c>
      <c r="T622" s="47">
        <f t="shared" ca="1" si="442"/>
        <v>0</v>
      </c>
      <c r="U622" s="47">
        <f t="shared" ca="1" si="443"/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49">
        <f ca="1">IFERROR(__xludf.DUMMYFUNCTION("IMPORTRANGE(""https://docs.google.com/spreadsheets/d/1kKUcYdkIfrgTSj8iHHHB2MD2FAtwyyocFgqGQn6ADyI/edit?usp=sharing"",""กระบี่!L623"")+IMPORTRANGE(""https://docs.google.com/spreadsheets/d/1GwtLaSlNZkLk7iDqcyZz22giiy40b_usZZBXYciEN1U/edit?usp=sharing"",""ชุ"&amp;"มพร!L623"")+IMPORTRANGE(""https://docs.google.com/spreadsheets/d/16pAz3pOhQEZBhvFNMa5KGgZS6iKWpsKX0pg6tQmwFpo/edit?usp=sharing"",""ตรัง!L623"")+IMPORTRANGE(""https://docs.google.com/spreadsheets/d/1Dj4jcHCTV9JXKCaMoheSXS52JE63kDKyG7bPXnFogHk/edit?usp=shar"&amp;"ing"",""นครศรีธรรมราช!L623"")+IMPORTRANGE(""https://docs.google.com/spreadsheets/d/1iodCdmuK2GR3jzUwk8tpccY2JHQQA-87DLOtJP-ooyU/edit?usp=sharing"",""นราธิวาส!L623"")+IMPORTRANGE(""https://docs.google.com/spreadsheets/d/1SDNX3JhDdYRuIOsj0Wh2M-Qa_eaXl0NbWmh"&amp;"AOTbfQAs/edit?usp=sharing"",""ปัตตานี!L623"")+IMPORTRANGE(""https://docs.google.com/spreadsheets/d/16JDLGguT8s5DsGCND1KcwHP_AWR_zDMTqLHPLJUKhaU/edit?usp=sharing"",""พังงา!L623"")+IMPORTRANGE(""https://docs.google.com/spreadsheets/d/17ht0gPKzzT3PObBL1XJkeR"&amp;"mntBXI7wGjpLV7QorqlTk/edit?usp=sharing"",""พัทลุง!L623"")+IMPORTRANGE(""https://docs.google.com/spreadsheets/d/1rd4qoM1q_hsgaolqNGfrim9gbsoLxQsda4-vOz5x_BM/edit?usp=sharing"",""ภูเก็ต!L623"")+IMPORTRANGE(""https://docs.google.com/spreadsheets/d/1woKwKjgoL"&amp;"ssDvPcPeVyezB5izizAn4X1JDrys69n6xI/edit?usp=sharing"",""ยะลา!L623"")+IMPORTRANGE(""https://docs.google.com/spreadsheets/d/1qfrKjzMhm2HJfxQ-qVlJlJQ25Hne1d0khsySbZyGtPA/edit?usp=sharing"",""ระนอง!L623"")+IMPORTRANGE(""https://docs.google.com/spreadsheets/d/"&amp;"1IbSCnFOKpZsnFogBHJnL_isstZVaOMnFiIN0fGTPZZw/edit?usp=sharing"",""สงขลา!L623"")+IMPORTRANGE(""https://docs.google.com/spreadsheets/d/1q9nWasZJ-K8bFGvbE9n0qSRuKGA4Toe3Y89cKCiVtCU/edit?usp=sharing"",""สตูล!L623"")+IMPORTRANGE(""https://docs.google.com/sprea"&amp;"dsheets/d/18T20gbkS_WBjdscyTOV05cvq_JqvqQ17C81mpxf7Ncs/edit?usp=sharing"",""สุราษฎร์ธานี!L623"")"),0)</f>
        <v>0</v>
      </c>
      <c r="M623" s="49">
        <f ca="1">IFERROR(__xludf.DUMMYFUNCTION("IMPORTRANGE(""https://docs.google.com/spreadsheets/d/1kKUcYdkIfrgTSj8iHHHB2MD2FAtwyyocFgqGQn6ADyI/edit?usp=sharing"",""กระบี่!M623"")+IMPORTRANGE(""https://docs.google.com/spreadsheets/d/1GwtLaSlNZkLk7iDqcyZz22giiy40b_usZZBXYciEN1U/edit?usp=sharing"",""ชุ"&amp;"มพร!M623"")+IMPORTRANGE(""https://docs.google.com/spreadsheets/d/16pAz3pOhQEZBhvFNMa5KGgZS6iKWpsKX0pg6tQmwFpo/edit?usp=sharing"",""ตรัง!M623"")+IMPORTRANGE(""https://docs.google.com/spreadsheets/d/1Dj4jcHCTV9JXKCaMoheSXS52JE63kDKyG7bPXnFogHk/edit?usp=shar"&amp;"ing"",""นครศรีธรรมราช!M623"")+IMPORTRANGE(""https://docs.google.com/spreadsheets/d/1iodCdmuK2GR3jzUwk8tpccY2JHQQA-87DLOtJP-ooyU/edit?usp=sharing"",""นราธิวาส!M623"")+IMPORTRANGE(""https://docs.google.com/spreadsheets/d/1SDNX3JhDdYRuIOsj0Wh2M-Qa_eaXl0NbWmh"&amp;"AOTbfQAs/edit?usp=sharing"",""ปัตตานี!M623"")+IMPORTRANGE(""https://docs.google.com/spreadsheets/d/16JDLGguT8s5DsGCND1KcwHP_AWR_zDMTqLHPLJUKhaU/edit?usp=sharing"",""พังงา!M623"")+IMPORTRANGE(""https://docs.google.com/spreadsheets/d/17ht0gPKzzT3PObBL1XJkeR"&amp;"mntBXI7wGjpLV7QorqlTk/edit?usp=sharing"",""พัทลุง!M623"")+IMPORTRANGE(""https://docs.google.com/spreadsheets/d/1rd4qoM1q_hsgaolqNGfrim9gbsoLxQsda4-vOz5x_BM/edit?usp=sharing"",""ภูเก็ต!M623"")+IMPORTRANGE(""https://docs.google.com/spreadsheets/d/1woKwKjgoL"&amp;"ssDvPcPeVyezB5izizAn4X1JDrys69n6xI/edit?usp=sharing"",""ยะลา!M623"")+IMPORTRANGE(""https://docs.google.com/spreadsheets/d/1qfrKjzMhm2HJfxQ-qVlJlJQ25Hne1d0khsySbZyGtPA/edit?usp=sharing"",""ระนอง!M623"")+IMPORTRANGE(""https://docs.google.com/spreadsheets/d/"&amp;"1IbSCnFOKpZsnFogBHJnL_isstZVaOMnFiIN0fGTPZZw/edit?usp=sharing"",""สงขลา!M623"")+IMPORTRANGE(""https://docs.google.com/spreadsheets/d/1q9nWasZJ-K8bFGvbE9n0qSRuKGA4Toe3Y89cKCiVtCU/edit?usp=sharing"",""สตูล!M623"")+IMPORTRANGE(""https://docs.google.com/sprea"&amp;"dsheets/d/18T20gbkS_WBjdscyTOV05cvq_JqvqQ17C81mpxf7Ncs/edit?usp=sharing"",""สุราษฎร์ธานี!M623"")"),0)</f>
        <v>0</v>
      </c>
      <c r="N623" s="49">
        <f ca="1">IFERROR(__xludf.DUMMYFUNCTION("IMPORTRANGE(""https://docs.google.com/spreadsheets/d/1kKUcYdkIfrgTSj8iHHHB2MD2FAtwyyocFgqGQn6ADyI/edit?usp=sharing"",""กระบี่!N623"")+IMPORTRANGE(""https://docs.google.com/spreadsheets/d/1GwtLaSlNZkLk7iDqcyZz22giiy40b_usZZBXYciEN1U/edit?usp=sharing"",""ชุ"&amp;"มพร!N623"")+IMPORTRANGE(""https://docs.google.com/spreadsheets/d/16pAz3pOhQEZBhvFNMa5KGgZS6iKWpsKX0pg6tQmwFpo/edit?usp=sharing"",""ตรัง!N623"")+IMPORTRANGE(""https://docs.google.com/spreadsheets/d/1Dj4jcHCTV9JXKCaMoheSXS52JE63kDKyG7bPXnFogHk/edit?usp=shar"&amp;"ing"",""นครศรีธรรมราช!N623"")+IMPORTRANGE(""https://docs.google.com/spreadsheets/d/1iodCdmuK2GR3jzUwk8tpccY2JHQQA-87DLOtJP-ooyU/edit?usp=sharing"",""นราธิวาส!N623"")+IMPORTRANGE(""https://docs.google.com/spreadsheets/d/1SDNX3JhDdYRuIOsj0Wh2M-Qa_eaXl0NbWmh"&amp;"AOTbfQAs/edit?usp=sharing"",""ปัตตานี!N623"")+IMPORTRANGE(""https://docs.google.com/spreadsheets/d/16JDLGguT8s5DsGCND1KcwHP_AWR_zDMTqLHPLJUKhaU/edit?usp=sharing"",""พังงา!N623"")+IMPORTRANGE(""https://docs.google.com/spreadsheets/d/17ht0gPKzzT3PObBL1XJkeR"&amp;"mntBXI7wGjpLV7QorqlTk/edit?usp=sharing"",""พัทลุง!N623"")+IMPORTRANGE(""https://docs.google.com/spreadsheets/d/1rd4qoM1q_hsgaolqNGfrim9gbsoLxQsda4-vOz5x_BM/edit?usp=sharing"",""ภูเก็ต!N623"")+IMPORTRANGE(""https://docs.google.com/spreadsheets/d/1woKwKjgoL"&amp;"ssDvPcPeVyezB5izizAn4X1JDrys69n6xI/edit?usp=sharing"",""ยะลา!N623"")+IMPORTRANGE(""https://docs.google.com/spreadsheets/d/1qfrKjzMhm2HJfxQ-qVlJlJQ25Hne1d0khsySbZyGtPA/edit?usp=sharing"",""ระนอง!N623"")+IMPORTRANGE(""https://docs.google.com/spreadsheets/d/"&amp;"1IbSCnFOKpZsnFogBHJnL_isstZVaOMnFiIN0fGTPZZw/edit?usp=sharing"",""สงขลา!N623"")+IMPORTRANGE(""https://docs.google.com/spreadsheets/d/1q9nWasZJ-K8bFGvbE9n0qSRuKGA4Toe3Y89cKCiVtCU/edit?usp=sharing"",""สตูล!N623"")+IMPORTRANGE(""https://docs.google.com/sprea"&amp;"dsheets/d/18T20gbkS_WBjdscyTOV05cvq_JqvqQ17C81mpxf7Ncs/edit?usp=sharing"",""สุราษฎร์ธานี!N623"")"),0)</f>
        <v>0</v>
      </c>
      <c r="O623" s="49">
        <f t="shared" ca="1" si="439"/>
        <v>0</v>
      </c>
      <c r="P623" s="49">
        <f t="shared" ca="1" si="440"/>
        <v>0</v>
      </c>
      <c r="Q623" s="49">
        <f ca="1">IFERROR(__xludf.DUMMYFUNCTION("IMPORTRANGE(""https://docs.google.com/spreadsheets/d/1kKUcYdkIfrgTSj8iHHHB2MD2FAtwyyocFgqGQn6ADyI/edit?usp=sharing"",""กระบี่!Q623"")+IMPORTRANGE(""https://docs.google.com/spreadsheets/d/1GwtLaSlNZkLk7iDqcyZz22giiy40b_usZZBXYciEN1U/edit?usp=sharing"",""ชุ"&amp;"มพร!Q623"")+IMPORTRANGE(""https://docs.google.com/spreadsheets/d/16pAz3pOhQEZBhvFNMa5KGgZS6iKWpsKX0pg6tQmwFpo/edit?usp=sharing"",""ตรัง!Q623"")+IMPORTRANGE(""https://docs.google.com/spreadsheets/d/1Dj4jcHCTV9JXKCaMoheSXS52JE63kDKyG7bPXnFogHk/edit?usp=shar"&amp;"ing"",""นครศรีธรรมราช!Q623"")+IMPORTRANGE(""https://docs.google.com/spreadsheets/d/1iodCdmuK2GR3jzUwk8tpccY2JHQQA-87DLOtJP-ooyU/edit?usp=sharing"",""นราธิวาส!Q623"")+IMPORTRANGE(""https://docs.google.com/spreadsheets/d/1SDNX3JhDdYRuIOsj0Wh2M-Qa_eaXl0NbWmh"&amp;"AOTbfQAs/edit?usp=sharing"",""ปัตตานี!Q623"")+IMPORTRANGE(""https://docs.google.com/spreadsheets/d/16JDLGguT8s5DsGCND1KcwHP_AWR_zDMTqLHPLJUKhaU/edit?usp=sharing"",""พังงา!Q623"")+IMPORTRANGE(""https://docs.google.com/spreadsheets/d/17ht0gPKzzT3PObBL1XJkeR"&amp;"mntBXI7wGjpLV7QorqlTk/edit?usp=sharing"",""พัทลุง!Q623"")+IMPORTRANGE(""https://docs.google.com/spreadsheets/d/1rd4qoM1q_hsgaolqNGfrim9gbsoLxQsda4-vOz5x_BM/edit?usp=sharing"",""ภูเก็ต!Q623"")+IMPORTRANGE(""https://docs.google.com/spreadsheets/d/1woKwKjgoL"&amp;"ssDvPcPeVyezB5izizAn4X1JDrys69n6xI/edit?usp=sharing"",""ยะลา!Q623"")+IMPORTRANGE(""https://docs.google.com/spreadsheets/d/1qfrKjzMhm2HJfxQ-qVlJlJQ25Hne1d0khsySbZyGtPA/edit?usp=sharing"",""ระนอง!Q623"")+IMPORTRANGE(""https://docs.google.com/spreadsheets/d/"&amp;"1IbSCnFOKpZsnFogBHJnL_isstZVaOMnFiIN0fGTPZZw/edit?usp=sharing"",""สงขลา!Q623"")+IMPORTRANGE(""https://docs.google.com/spreadsheets/d/1q9nWasZJ-K8bFGvbE9n0qSRuKGA4Toe3Y89cKCiVtCU/edit?usp=sharing"",""สตูล!Q623"")+IMPORTRANGE(""https://docs.google.com/sprea"&amp;"dsheets/d/18T20gbkS_WBjdscyTOV05cvq_JqvqQ17C81mpxf7Ncs/edit?usp=sharing"",""สุราษฎร์ธานี!Q623"")"),0)</f>
        <v>0</v>
      </c>
      <c r="R623" s="49">
        <f ca="1">IFERROR(__xludf.DUMMYFUNCTION("IMPORTRANGE(""https://docs.google.com/spreadsheets/d/1kKUcYdkIfrgTSj8iHHHB2MD2FAtwyyocFgqGQn6ADyI/edit?usp=sharing"",""กระบี่!R623"")+IMPORTRANGE(""https://docs.google.com/spreadsheets/d/1GwtLaSlNZkLk7iDqcyZz22giiy40b_usZZBXYciEN1U/edit?usp=sharing"",""ชุ"&amp;"มพร!R623"")+IMPORTRANGE(""https://docs.google.com/spreadsheets/d/16pAz3pOhQEZBhvFNMa5KGgZS6iKWpsKX0pg6tQmwFpo/edit?usp=sharing"",""ตรัง!R623"")+IMPORTRANGE(""https://docs.google.com/spreadsheets/d/1Dj4jcHCTV9JXKCaMoheSXS52JE63kDKyG7bPXnFogHk/edit?usp=shar"&amp;"ing"",""นครศรีธรรมราช!R623"")+IMPORTRANGE(""https://docs.google.com/spreadsheets/d/1iodCdmuK2GR3jzUwk8tpccY2JHQQA-87DLOtJP-ooyU/edit?usp=sharing"",""นราธิวาส!R623"")+IMPORTRANGE(""https://docs.google.com/spreadsheets/d/1SDNX3JhDdYRuIOsj0Wh2M-Qa_eaXl0NbWmh"&amp;"AOTbfQAs/edit?usp=sharing"",""ปัตตานี!R623"")+IMPORTRANGE(""https://docs.google.com/spreadsheets/d/16JDLGguT8s5DsGCND1KcwHP_AWR_zDMTqLHPLJUKhaU/edit?usp=sharing"",""พังงา!R623"")+IMPORTRANGE(""https://docs.google.com/spreadsheets/d/17ht0gPKzzT3PObBL1XJkeR"&amp;"mntBXI7wGjpLV7QorqlTk/edit?usp=sharing"",""พัทลุง!R623"")+IMPORTRANGE(""https://docs.google.com/spreadsheets/d/1rd4qoM1q_hsgaolqNGfrim9gbsoLxQsda4-vOz5x_BM/edit?usp=sharing"",""ภูเก็ต!R623"")+IMPORTRANGE(""https://docs.google.com/spreadsheets/d/1woKwKjgoL"&amp;"ssDvPcPeVyezB5izizAn4X1JDrys69n6xI/edit?usp=sharing"",""ยะลา!R623"")+IMPORTRANGE(""https://docs.google.com/spreadsheets/d/1qfrKjzMhm2HJfxQ-qVlJlJQ25Hne1d0khsySbZyGtPA/edit?usp=sharing"",""ระนอง!R623"")+IMPORTRANGE(""https://docs.google.com/spreadsheets/d/"&amp;"1IbSCnFOKpZsnFogBHJnL_isstZVaOMnFiIN0fGTPZZw/edit?usp=sharing"",""สงขลา!R623"")+IMPORTRANGE(""https://docs.google.com/spreadsheets/d/1q9nWasZJ-K8bFGvbE9n0qSRuKGA4Toe3Y89cKCiVtCU/edit?usp=sharing"",""สตูล!R623"")+IMPORTRANGE(""https://docs.google.com/sprea"&amp;"dsheets/d/18T20gbkS_WBjdscyTOV05cvq_JqvqQ17C81mpxf7Ncs/edit?usp=sharing"",""สุราษฎร์ธานี!R623"")"),0)</f>
        <v>0</v>
      </c>
      <c r="S623" s="49">
        <f ca="1">IFERROR(__xludf.DUMMYFUNCTION("IMPORTRANGE(""https://docs.google.com/spreadsheets/d/1kKUcYdkIfrgTSj8iHHHB2MD2FAtwyyocFgqGQn6ADyI/edit?usp=sharing"",""กระบี่!S623"")+IMPORTRANGE(""https://docs.google.com/spreadsheets/d/1GwtLaSlNZkLk7iDqcyZz22giiy40b_usZZBXYciEN1U/edit?usp=sharing"",""ชุ"&amp;"มพร!S623"")+IMPORTRANGE(""https://docs.google.com/spreadsheets/d/16pAz3pOhQEZBhvFNMa5KGgZS6iKWpsKX0pg6tQmwFpo/edit?usp=sharing"",""ตรัง!S623"")+IMPORTRANGE(""https://docs.google.com/spreadsheets/d/1Dj4jcHCTV9JXKCaMoheSXS52JE63kDKyG7bPXnFogHk/edit?usp=shar"&amp;"ing"",""นครศรีธรรมราช!S623"")+IMPORTRANGE(""https://docs.google.com/spreadsheets/d/1iodCdmuK2GR3jzUwk8tpccY2JHQQA-87DLOtJP-ooyU/edit?usp=sharing"",""นราธิวาส!S623"")+IMPORTRANGE(""https://docs.google.com/spreadsheets/d/1SDNX3JhDdYRuIOsj0Wh2M-Qa_eaXl0NbWmh"&amp;"AOTbfQAs/edit?usp=sharing"",""ปัตตานี!S623"")+IMPORTRANGE(""https://docs.google.com/spreadsheets/d/16JDLGguT8s5DsGCND1KcwHP_AWR_zDMTqLHPLJUKhaU/edit?usp=sharing"",""พังงา!S623"")+IMPORTRANGE(""https://docs.google.com/spreadsheets/d/17ht0gPKzzT3PObBL1XJkeR"&amp;"mntBXI7wGjpLV7QorqlTk/edit?usp=sharing"",""พัทลุง!S623"")+IMPORTRANGE(""https://docs.google.com/spreadsheets/d/1rd4qoM1q_hsgaolqNGfrim9gbsoLxQsda4-vOz5x_BM/edit?usp=sharing"",""ภูเก็ต!S623"")+IMPORTRANGE(""https://docs.google.com/spreadsheets/d/1woKwKjgoL"&amp;"ssDvPcPeVyezB5izizAn4X1JDrys69n6xI/edit?usp=sharing"",""ยะลา!S623"")+IMPORTRANGE(""https://docs.google.com/spreadsheets/d/1qfrKjzMhm2HJfxQ-qVlJlJQ25Hne1d0khsySbZyGtPA/edit?usp=sharing"",""ระนอง!S623"")+IMPORTRANGE(""https://docs.google.com/spreadsheets/d/"&amp;"1IbSCnFOKpZsnFogBHJnL_isstZVaOMnFiIN0fGTPZZw/edit?usp=sharing"",""สงขลา!S623"")+IMPORTRANGE(""https://docs.google.com/spreadsheets/d/1q9nWasZJ-K8bFGvbE9n0qSRuKGA4Toe3Y89cKCiVtCU/edit?usp=sharing"",""สตูล!S623"")+IMPORTRANGE(""https://docs.google.com/sprea"&amp;"dsheets/d/18T20gbkS_WBjdscyTOV05cvq_JqvqQ17C81mpxf7Ncs/edit?usp=sharing"",""สุราษฎร์ธานี!S623"")"),0)</f>
        <v>0</v>
      </c>
      <c r="T623" s="49">
        <f t="shared" ca="1" si="442"/>
        <v>0</v>
      </c>
      <c r="U623" s="49">
        <f t="shared" ca="1" si="443"/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47">
        <f ca="1">IFERROR(__xludf.DUMMYFUNCTION("IMPORTRANGE(""https://docs.google.com/spreadsheets/d/1kKUcYdkIfrgTSj8iHHHB2MD2FAtwyyocFgqGQn6ADyI/edit?usp=sharing"",""กระบี่!L624"")+IMPORTRANGE(""https://docs.google.com/spreadsheets/d/1GwtLaSlNZkLk7iDqcyZz22giiy40b_usZZBXYciEN1U/edit?usp=sharing"",""ชุ"&amp;"มพร!L624"")+IMPORTRANGE(""https://docs.google.com/spreadsheets/d/16pAz3pOhQEZBhvFNMa5KGgZS6iKWpsKX0pg6tQmwFpo/edit?usp=sharing"",""ตรัง!L624"")+IMPORTRANGE(""https://docs.google.com/spreadsheets/d/1Dj4jcHCTV9JXKCaMoheSXS52JE63kDKyG7bPXnFogHk/edit?usp=shar"&amp;"ing"",""นครศรีธรรมราช!L624"")+IMPORTRANGE(""https://docs.google.com/spreadsheets/d/1iodCdmuK2GR3jzUwk8tpccY2JHQQA-87DLOtJP-ooyU/edit?usp=sharing"",""นราธิวาส!L624"")+IMPORTRANGE(""https://docs.google.com/spreadsheets/d/1SDNX3JhDdYRuIOsj0Wh2M-Qa_eaXl0NbWmh"&amp;"AOTbfQAs/edit?usp=sharing"",""ปัตตานี!L624"")+IMPORTRANGE(""https://docs.google.com/spreadsheets/d/16JDLGguT8s5DsGCND1KcwHP_AWR_zDMTqLHPLJUKhaU/edit?usp=sharing"",""พังงา!L624"")+IMPORTRANGE(""https://docs.google.com/spreadsheets/d/17ht0gPKzzT3PObBL1XJkeR"&amp;"mntBXI7wGjpLV7QorqlTk/edit?usp=sharing"",""พัทลุง!L624"")+IMPORTRANGE(""https://docs.google.com/spreadsheets/d/1rd4qoM1q_hsgaolqNGfrim9gbsoLxQsda4-vOz5x_BM/edit?usp=sharing"",""ภูเก็ต!L624"")+IMPORTRANGE(""https://docs.google.com/spreadsheets/d/1woKwKjgoL"&amp;"ssDvPcPeVyezB5izizAn4X1JDrys69n6xI/edit?usp=sharing"",""ยะลา!L624"")+IMPORTRANGE(""https://docs.google.com/spreadsheets/d/1qfrKjzMhm2HJfxQ-qVlJlJQ25Hne1d0khsySbZyGtPA/edit?usp=sharing"",""ระนอง!L624"")+IMPORTRANGE(""https://docs.google.com/spreadsheets/d/"&amp;"1IbSCnFOKpZsnFogBHJnL_isstZVaOMnFiIN0fGTPZZw/edit?usp=sharing"",""สงขลา!L624"")+IMPORTRANGE(""https://docs.google.com/spreadsheets/d/1q9nWasZJ-K8bFGvbE9n0qSRuKGA4Toe3Y89cKCiVtCU/edit?usp=sharing"",""สตูล!L624"")+IMPORTRANGE(""https://docs.google.com/sprea"&amp;"dsheets/d/18T20gbkS_WBjdscyTOV05cvq_JqvqQ17C81mpxf7Ncs/edit?usp=sharing"",""สุราษฎร์ธานี!L624"")"),0)</f>
        <v>0</v>
      </c>
      <c r="M624" s="47">
        <f ca="1">IFERROR(__xludf.DUMMYFUNCTION("IMPORTRANGE(""https://docs.google.com/spreadsheets/d/1kKUcYdkIfrgTSj8iHHHB2MD2FAtwyyocFgqGQn6ADyI/edit?usp=sharing"",""กระบี่!M624"")+IMPORTRANGE(""https://docs.google.com/spreadsheets/d/1GwtLaSlNZkLk7iDqcyZz22giiy40b_usZZBXYciEN1U/edit?usp=sharing"",""ชุ"&amp;"มพร!M624"")+IMPORTRANGE(""https://docs.google.com/spreadsheets/d/16pAz3pOhQEZBhvFNMa5KGgZS6iKWpsKX0pg6tQmwFpo/edit?usp=sharing"",""ตรัง!M624"")+IMPORTRANGE(""https://docs.google.com/spreadsheets/d/1Dj4jcHCTV9JXKCaMoheSXS52JE63kDKyG7bPXnFogHk/edit?usp=shar"&amp;"ing"",""นครศรีธรรมราช!M624"")+IMPORTRANGE(""https://docs.google.com/spreadsheets/d/1iodCdmuK2GR3jzUwk8tpccY2JHQQA-87DLOtJP-ooyU/edit?usp=sharing"",""นราธิวาส!M624"")+IMPORTRANGE(""https://docs.google.com/spreadsheets/d/1SDNX3JhDdYRuIOsj0Wh2M-Qa_eaXl0NbWmh"&amp;"AOTbfQAs/edit?usp=sharing"",""ปัตตานี!M624"")+IMPORTRANGE(""https://docs.google.com/spreadsheets/d/16JDLGguT8s5DsGCND1KcwHP_AWR_zDMTqLHPLJUKhaU/edit?usp=sharing"",""พังงา!M624"")+IMPORTRANGE(""https://docs.google.com/spreadsheets/d/17ht0gPKzzT3PObBL1XJkeR"&amp;"mntBXI7wGjpLV7QorqlTk/edit?usp=sharing"",""พัทลุง!M624"")+IMPORTRANGE(""https://docs.google.com/spreadsheets/d/1rd4qoM1q_hsgaolqNGfrim9gbsoLxQsda4-vOz5x_BM/edit?usp=sharing"",""ภูเก็ต!M624"")+IMPORTRANGE(""https://docs.google.com/spreadsheets/d/1woKwKjgoL"&amp;"ssDvPcPeVyezB5izizAn4X1JDrys69n6xI/edit?usp=sharing"",""ยะลา!M624"")+IMPORTRANGE(""https://docs.google.com/spreadsheets/d/1qfrKjzMhm2HJfxQ-qVlJlJQ25Hne1d0khsySbZyGtPA/edit?usp=sharing"",""ระนอง!M624"")+IMPORTRANGE(""https://docs.google.com/spreadsheets/d/"&amp;"1IbSCnFOKpZsnFogBHJnL_isstZVaOMnFiIN0fGTPZZw/edit?usp=sharing"",""สงขลา!M624"")+IMPORTRANGE(""https://docs.google.com/spreadsheets/d/1q9nWasZJ-K8bFGvbE9n0qSRuKGA4Toe3Y89cKCiVtCU/edit?usp=sharing"",""สตูล!M624"")+IMPORTRANGE(""https://docs.google.com/sprea"&amp;"dsheets/d/18T20gbkS_WBjdscyTOV05cvq_JqvqQ17C81mpxf7Ncs/edit?usp=sharing"",""สุราษฎร์ธานี!M624"")"),0)</f>
        <v>0</v>
      </c>
      <c r="N624" s="47">
        <f ca="1">IFERROR(__xludf.DUMMYFUNCTION("IMPORTRANGE(""https://docs.google.com/spreadsheets/d/1kKUcYdkIfrgTSj8iHHHB2MD2FAtwyyocFgqGQn6ADyI/edit?usp=sharing"",""กระบี่!N624"")+IMPORTRANGE(""https://docs.google.com/spreadsheets/d/1GwtLaSlNZkLk7iDqcyZz22giiy40b_usZZBXYciEN1U/edit?usp=sharing"",""ชุ"&amp;"มพร!N624"")+IMPORTRANGE(""https://docs.google.com/spreadsheets/d/16pAz3pOhQEZBhvFNMa5KGgZS6iKWpsKX0pg6tQmwFpo/edit?usp=sharing"",""ตรัง!N624"")+IMPORTRANGE(""https://docs.google.com/spreadsheets/d/1Dj4jcHCTV9JXKCaMoheSXS52JE63kDKyG7bPXnFogHk/edit?usp=shar"&amp;"ing"",""นครศรีธรรมราช!N624"")+IMPORTRANGE(""https://docs.google.com/spreadsheets/d/1iodCdmuK2GR3jzUwk8tpccY2JHQQA-87DLOtJP-ooyU/edit?usp=sharing"",""นราธิวาส!N624"")+IMPORTRANGE(""https://docs.google.com/spreadsheets/d/1SDNX3JhDdYRuIOsj0Wh2M-Qa_eaXl0NbWmh"&amp;"AOTbfQAs/edit?usp=sharing"",""ปัตตานี!N624"")+IMPORTRANGE(""https://docs.google.com/spreadsheets/d/16JDLGguT8s5DsGCND1KcwHP_AWR_zDMTqLHPLJUKhaU/edit?usp=sharing"",""พังงา!N624"")+IMPORTRANGE(""https://docs.google.com/spreadsheets/d/17ht0gPKzzT3PObBL1XJkeR"&amp;"mntBXI7wGjpLV7QorqlTk/edit?usp=sharing"",""พัทลุง!N624"")+IMPORTRANGE(""https://docs.google.com/spreadsheets/d/1rd4qoM1q_hsgaolqNGfrim9gbsoLxQsda4-vOz5x_BM/edit?usp=sharing"",""ภูเก็ต!N624"")+IMPORTRANGE(""https://docs.google.com/spreadsheets/d/1woKwKjgoL"&amp;"ssDvPcPeVyezB5izizAn4X1JDrys69n6xI/edit?usp=sharing"",""ยะลา!N624"")+IMPORTRANGE(""https://docs.google.com/spreadsheets/d/1qfrKjzMhm2HJfxQ-qVlJlJQ25Hne1d0khsySbZyGtPA/edit?usp=sharing"",""ระนอง!N624"")+IMPORTRANGE(""https://docs.google.com/spreadsheets/d/"&amp;"1IbSCnFOKpZsnFogBHJnL_isstZVaOMnFiIN0fGTPZZw/edit?usp=sharing"",""สงขลา!N624"")+IMPORTRANGE(""https://docs.google.com/spreadsheets/d/1q9nWasZJ-K8bFGvbE9n0qSRuKGA4Toe3Y89cKCiVtCU/edit?usp=sharing"",""สตูล!N624"")+IMPORTRANGE(""https://docs.google.com/sprea"&amp;"dsheets/d/18T20gbkS_WBjdscyTOV05cvq_JqvqQ17C81mpxf7Ncs/edit?usp=sharing"",""สุราษฎร์ธานี!N624"")"),0)</f>
        <v>0</v>
      </c>
      <c r="O624" s="47">
        <f t="shared" ca="1" si="439"/>
        <v>0</v>
      </c>
      <c r="P624" s="47">
        <f t="shared" ca="1" si="440"/>
        <v>0</v>
      </c>
      <c r="Q624" s="47">
        <f ca="1">IFERROR(__xludf.DUMMYFUNCTION("IMPORTRANGE(""https://docs.google.com/spreadsheets/d/1kKUcYdkIfrgTSj8iHHHB2MD2FAtwyyocFgqGQn6ADyI/edit?usp=sharing"",""กระบี่!Q624"")+IMPORTRANGE(""https://docs.google.com/spreadsheets/d/1GwtLaSlNZkLk7iDqcyZz22giiy40b_usZZBXYciEN1U/edit?usp=sharing"",""ชุ"&amp;"มพร!Q624"")+IMPORTRANGE(""https://docs.google.com/spreadsheets/d/16pAz3pOhQEZBhvFNMa5KGgZS6iKWpsKX0pg6tQmwFpo/edit?usp=sharing"",""ตรัง!Q624"")+IMPORTRANGE(""https://docs.google.com/spreadsheets/d/1Dj4jcHCTV9JXKCaMoheSXS52JE63kDKyG7bPXnFogHk/edit?usp=shar"&amp;"ing"",""นครศรีธรรมราช!Q624"")+IMPORTRANGE(""https://docs.google.com/spreadsheets/d/1iodCdmuK2GR3jzUwk8tpccY2JHQQA-87DLOtJP-ooyU/edit?usp=sharing"",""นราธิวาส!Q624"")+IMPORTRANGE(""https://docs.google.com/spreadsheets/d/1SDNX3JhDdYRuIOsj0Wh2M-Qa_eaXl0NbWmh"&amp;"AOTbfQAs/edit?usp=sharing"",""ปัตตานี!Q624"")+IMPORTRANGE(""https://docs.google.com/spreadsheets/d/16JDLGguT8s5DsGCND1KcwHP_AWR_zDMTqLHPLJUKhaU/edit?usp=sharing"",""พังงา!Q624"")+IMPORTRANGE(""https://docs.google.com/spreadsheets/d/17ht0gPKzzT3PObBL1XJkeR"&amp;"mntBXI7wGjpLV7QorqlTk/edit?usp=sharing"",""พัทลุง!Q624"")+IMPORTRANGE(""https://docs.google.com/spreadsheets/d/1rd4qoM1q_hsgaolqNGfrim9gbsoLxQsda4-vOz5x_BM/edit?usp=sharing"",""ภูเก็ต!Q624"")+IMPORTRANGE(""https://docs.google.com/spreadsheets/d/1woKwKjgoL"&amp;"ssDvPcPeVyezB5izizAn4X1JDrys69n6xI/edit?usp=sharing"",""ยะลา!Q624"")+IMPORTRANGE(""https://docs.google.com/spreadsheets/d/1qfrKjzMhm2HJfxQ-qVlJlJQ25Hne1d0khsySbZyGtPA/edit?usp=sharing"",""ระนอง!Q624"")+IMPORTRANGE(""https://docs.google.com/spreadsheets/d/"&amp;"1IbSCnFOKpZsnFogBHJnL_isstZVaOMnFiIN0fGTPZZw/edit?usp=sharing"",""สงขลา!Q624"")+IMPORTRANGE(""https://docs.google.com/spreadsheets/d/1q9nWasZJ-K8bFGvbE9n0qSRuKGA4Toe3Y89cKCiVtCU/edit?usp=sharing"",""สตูล!Q624"")+IMPORTRANGE(""https://docs.google.com/sprea"&amp;"dsheets/d/18T20gbkS_WBjdscyTOV05cvq_JqvqQ17C81mpxf7Ncs/edit?usp=sharing"",""สุราษฎร์ธานี!Q624"")"),0)</f>
        <v>0</v>
      </c>
      <c r="R624" s="47">
        <f ca="1">IFERROR(__xludf.DUMMYFUNCTION("IMPORTRANGE(""https://docs.google.com/spreadsheets/d/1kKUcYdkIfrgTSj8iHHHB2MD2FAtwyyocFgqGQn6ADyI/edit?usp=sharing"",""กระบี่!R624"")+IMPORTRANGE(""https://docs.google.com/spreadsheets/d/1GwtLaSlNZkLk7iDqcyZz22giiy40b_usZZBXYciEN1U/edit?usp=sharing"",""ชุ"&amp;"มพร!R624"")+IMPORTRANGE(""https://docs.google.com/spreadsheets/d/16pAz3pOhQEZBhvFNMa5KGgZS6iKWpsKX0pg6tQmwFpo/edit?usp=sharing"",""ตรัง!R624"")+IMPORTRANGE(""https://docs.google.com/spreadsheets/d/1Dj4jcHCTV9JXKCaMoheSXS52JE63kDKyG7bPXnFogHk/edit?usp=shar"&amp;"ing"",""นครศรีธรรมราช!R624"")+IMPORTRANGE(""https://docs.google.com/spreadsheets/d/1iodCdmuK2GR3jzUwk8tpccY2JHQQA-87DLOtJP-ooyU/edit?usp=sharing"",""นราธิวาส!R624"")+IMPORTRANGE(""https://docs.google.com/spreadsheets/d/1SDNX3JhDdYRuIOsj0Wh2M-Qa_eaXl0NbWmh"&amp;"AOTbfQAs/edit?usp=sharing"",""ปัตตานี!R624"")+IMPORTRANGE(""https://docs.google.com/spreadsheets/d/16JDLGguT8s5DsGCND1KcwHP_AWR_zDMTqLHPLJUKhaU/edit?usp=sharing"",""พังงา!R624"")+IMPORTRANGE(""https://docs.google.com/spreadsheets/d/17ht0gPKzzT3PObBL1XJkeR"&amp;"mntBXI7wGjpLV7QorqlTk/edit?usp=sharing"",""พัทลุง!R624"")+IMPORTRANGE(""https://docs.google.com/spreadsheets/d/1rd4qoM1q_hsgaolqNGfrim9gbsoLxQsda4-vOz5x_BM/edit?usp=sharing"",""ภูเก็ต!R624"")+IMPORTRANGE(""https://docs.google.com/spreadsheets/d/1woKwKjgoL"&amp;"ssDvPcPeVyezB5izizAn4X1JDrys69n6xI/edit?usp=sharing"",""ยะลา!R624"")+IMPORTRANGE(""https://docs.google.com/spreadsheets/d/1qfrKjzMhm2HJfxQ-qVlJlJQ25Hne1d0khsySbZyGtPA/edit?usp=sharing"",""ระนอง!R624"")+IMPORTRANGE(""https://docs.google.com/spreadsheets/d/"&amp;"1IbSCnFOKpZsnFogBHJnL_isstZVaOMnFiIN0fGTPZZw/edit?usp=sharing"",""สงขลา!R624"")+IMPORTRANGE(""https://docs.google.com/spreadsheets/d/1q9nWasZJ-K8bFGvbE9n0qSRuKGA4Toe3Y89cKCiVtCU/edit?usp=sharing"",""สตูล!R624"")+IMPORTRANGE(""https://docs.google.com/sprea"&amp;"dsheets/d/18T20gbkS_WBjdscyTOV05cvq_JqvqQ17C81mpxf7Ncs/edit?usp=sharing"",""สุราษฎร์ธานี!R624"")"),0)</f>
        <v>0</v>
      </c>
      <c r="S624" s="47">
        <f ca="1">IFERROR(__xludf.DUMMYFUNCTION("IMPORTRANGE(""https://docs.google.com/spreadsheets/d/1kKUcYdkIfrgTSj8iHHHB2MD2FAtwyyocFgqGQn6ADyI/edit?usp=sharing"",""กระบี่!S624"")+IMPORTRANGE(""https://docs.google.com/spreadsheets/d/1GwtLaSlNZkLk7iDqcyZz22giiy40b_usZZBXYciEN1U/edit?usp=sharing"",""ชุ"&amp;"มพร!S624"")+IMPORTRANGE(""https://docs.google.com/spreadsheets/d/16pAz3pOhQEZBhvFNMa5KGgZS6iKWpsKX0pg6tQmwFpo/edit?usp=sharing"",""ตรัง!S624"")+IMPORTRANGE(""https://docs.google.com/spreadsheets/d/1Dj4jcHCTV9JXKCaMoheSXS52JE63kDKyG7bPXnFogHk/edit?usp=shar"&amp;"ing"",""นครศรีธรรมราช!S624"")+IMPORTRANGE(""https://docs.google.com/spreadsheets/d/1iodCdmuK2GR3jzUwk8tpccY2JHQQA-87DLOtJP-ooyU/edit?usp=sharing"",""นราธิวาส!S624"")+IMPORTRANGE(""https://docs.google.com/spreadsheets/d/1SDNX3JhDdYRuIOsj0Wh2M-Qa_eaXl0NbWmh"&amp;"AOTbfQAs/edit?usp=sharing"",""ปัตตานี!S624"")+IMPORTRANGE(""https://docs.google.com/spreadsheets/d/16JDLGguT8s5DsGCND1KcwHP_AWR_zDMTqLHPLJUKhaU/edit?usp=sharing"",""พังงา!S624"")+IMPORTRANGE(""https://docs.google.com/spreadsheets/d/17ht0gPKzzT3PObBL1XJkeR"&amp;"mntBXI7wGjpLV7QorqlTk/edit?usp=sharing"",""พัทลุง!S624"")+IMPORTRANGE(""https://docs.google.com/spreadsheets/d/1rd4qoM1q_hsgaolqNGfrim9gbsoLxQsda4-vOz5x_BM/edit?usp=sharing"",""ภูเก็ต!S624"")+IMPORTRANGE(""https://docs.google.com/spreadsheets/d/1woKwKjgoL"&amp;"ssDvPcPeVyezB5izizAn4X1JDrys69n6xI/edit?usp=sharing"",""ยะลา!S624"")+IMPORTRANGE(""https://docs.google.com/spreadsheets/d/1qfrKjzMhm2HJfxQ-qVlJlJQ25Hne1d0khsySbZyGtPA/edit?usp=sharing"",""ระนอง!S624"")+IMPORTRANGE(""https://docs.google.com/spreadsheets/d/"&amp;"1IbSCnFOKpZsnFogBHJnL_isstZVaOMnFiIN0fGTPZZw/edit?usp=sharing"",""สงขลา!S624"")+IMPORTRANGE(""https://docs.google.com/spreadsheets/d/1q9nWasZJ-K8bFGvbE9n0qSRuKGA4Toe3Y89cKCiVtCU/edit?usp=sharing"",""สตูล!S624"")+IMPORTRANGE(""https://docs.google.com/sprea"&amp;"dsheets/d/18T20gbkS_WBjdscyTOV05cvq_JqvqQ17C81mpxf7Ncs/edit?usp=sharing"",""สุราษฎร์ธานี!S624"")"),0)</f>
        <v>0</v>
      </c>
      <c r="T624" s="47">
        <f t="shared" ca="1" si="442"/>
        <v>0</v>
      </c>
      <c r="U624" s="47">
        <f t="shared" ca="1" si="443"/>
        <v>0</v>
      </c>
    </row>
    <row r="625" spans="1:21" ht="19.5" x14ac:dyDescent="0.3">
      <c r="A625" s="138"/>
      <c r="B625" s="139"/>
      <c r="C625" s="188" t="s">
        <v>18</v>
      </c>
      <c r="D625" s="471" t="s">
        <v>38</v>
      </c>
      <c r="E625" s="141"/>
      <c r="F625" s="141"/>
      <c r="G625" s="142"/>
      <c r="H625" s="189"/>
      <c r="I625" s="135"/>
      <c r="J625" s="135"/>
      <c r="K625" s="136"/>
      <c r="L625" s="136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kKUcYdkIfrgTSj8iHHHB2MD2FAtwyyocFgqGQn6ADyI/edit?usp=sharing"",""กระบี่!I626"")+IMPORTRANGE(""https://docs.google.com/spreadsheets/d/1GwtLaSlNZkLk7iDqcyZz22giiy40b_usZZBXYciEN1U/edit?usp=sharing"",""ชุ"&amp;"มพร!I626"")+IMPORTRANGE(""https://docs.google.com/spreadsheets/d/16pAz3pOhQEZBhvFNMa5KGgZS6iKWpsKX0pg6tQmwFpo/edit?usp=sharing"",""ตรัง!I626"")+IMPORTRANGE(""https://docs.google.com/spreadsheets/d/1Dj4jcHCTV9JXKCaMoheSXS52JE63kDKyG7bPXnFogHk/edit?usp=shar"&amp;"ing"",""นครศรีธรรมราช!I626"")+IMPORTRANGE(""https://docs.google.com/spreadsheets/d/1iodCdmuK2GR3jzUwk8tpccY2JHQQA-87DLOtJP-ooyU/edit?usp=sharing"",""นราธิวาส!I626"")+IMPORTRANGE(""https://docs.google.com/spreadsheets/d/1SDNX3JhDdYRuIOsj0Wh2M-Qa_eaXl0NbWmh"&amp;"AOTbfQAs/edit?usp=sharing"",""ปัตตานี!I626"")+IMPORTRANGE(""https://docs.google.com/spreadsheets/d/16JDLGguT8s5DsGCND1KcwHP_AWR_zDMTqLHPLJUKhaU/edit?usp=sharing"",""พังงา!I626"")+IMPORTRANGE(""https://docs.google.com/spreadsheets/d/17ht0gPKzzT3PObBL1XJkeR"&amp;"mntBXI7wGjpLV7QorqlTk/edit?usp=sharing"",""พัทลุง!I626"")+IMPORTRANGE(""https://docs.google.com/spreadsheets/d/1rd4qoM1q_hsgaolqNGfrim9gbsoLxQsda4-vOz5x_BM/edit?usp=sharing"",""ภูเก็ต!I626"")+IMPORTRANGE(""https://docs.google.com/spreadsheets/d/1woKwKjgoL"&amp;"ssDvPcPeVyezB5izizAn4X1JDrys69n6xI/edit?usp=sharing"",""ยะลา!I626"")+IMPORTRANGE(""https://docs.google.com/spreadsheets/d/1qfrKjzMhm2HJfxQ-qVlJlJQ25Hne1d0khsySbZyGtPA/edit?usp=sharing"",""ระนอง!I626"")+IMPORTRANGE(""https://docs.google.com/spreadsheets/d/"&amp;"1IbSCnFOKpZsnFogBHJnL_isstZVaOMnFiIN0fGTPZZw/edit?usp=sharing"",""สงขลา!I626"")+IMPORTRANGE(""https://docs.google.com/spreadsheets/d/1q9nWasZJ-K8bFGvbE9n0qSRuKGA4Toe3Y89cKCiVtCU/edit?usp=sharing"",""สตูล!I626"")+IMPORTRANGE(""https://docs.google.com/sprea"&amp;"dsheets/d/18T20gbkS_WBjdscyTOV05cvq_JqvqQ17C81mpxf7Ncs/edit?usp=sharing"",""สุราษฎร์ธานี!I626"")"),550)</f>
        <v>550</v>
      </c>
      <c r="J626" s="147">
        <f ca="1">J632</f>
        <v>0</v>
      </c>
      <c r="K626" s="132">
        <f ca="1">IF(I626&gt;0,J626*100/I626,0)</f>
        <v>0</v>
      </c>
      <c r="L626" s="136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kKUcYdkIfrgTSj8iHHHB2MD2FAtwyyocFgqGQn6ADyI/edit?usp=sharing"",""กระบี่!I627"")+IMPORTRANGE(""https://docs.google.com/spreadsheets/d/1GwtLaSlNZkLk7iDqcyZz22giiy40b_usZZBXYciEN1U/edit?usp=sharing"",""ชุ"&amp;"มพร!I627"")+IMPORTRANGE(""https://docs.google.com/spreadsheets/d/16pAz3pOhQEZBhvFNMa5KGgZS6iKWpsKX0pg6tQmwFpo/edit?usp=sharing"",""ตรัง!I627"")+IMPORTRANGE(""https://docs.google.com/spreadsheets/d/1Dj4jcHCTV9JXKCaMoheSXS52JE63kDKyG7bPXnFogHk/edit?usp=shar"&amp;"ing"",""นครศรีธรรมราช!I627"")+IMPORTRANGE(""https://docs.google.com/spreadsheets/d/1iodCdmuK2GR3jzUwk8tpccY2JHQQA-87DLOtJP-ooyU/edit?usp=sharing"",""นราธิวาส!I627"")+IMPORTRANGE(""https://docs.google.com/spreadsheets/d/1SDNX3JhDdYRuIOsj0Wh2M-Qa_eaXl0NbWmh"&amp;"AOTbfQAs/edit?usp=sharing"",""ปัตตานี!I627"")+IMPORTRANGE(""https://docs.google.com/spreadsheets/d/16JDLGguT8s5DsGCND1KcwHP_AWR_zDMTqLHPLJUKhaU/edit?usp=sharing"",""พังงา!I627"")+IMPORTRANGE(""https://docs.google.com/spreadsheets/d/17ht0gPKzzT3PObBL1XJkeR"&amp;"mntBXI7wGjpLV7QorqlTk/edit?usp=sharing"",""พัทลุง!I627"")+IMPORTRANGE(""https://docs.google.com/spreadsheets/d/1rd4qoM1q_hsgaolqNGfrim9gbsoLxQsda4-vOz5x_BM/edit?usp=sharing"",""ภูเก็ต!I627"")+IMPORTRANGE(""https://docs.google.com/spreadsheets/d/1woKwKjgoL"&amp;"ssDvPcPeVyezB5izizAn4X1JDrys69n6xI/edit?usp=sharing"",""ยะลา!I627"")+IMPORTRANGE(""https://docs.google.com/spreadsheets/d/1qfrKjzMhm2HJfxQ-qVlJlJQ25Hne1d0khsySbZyGtPA/edit?usp=sharing"",""ระนอง!I627"")+IMPORTRANGE(""https://docs.google.com/spreadsheets/d/"&amp;"1IbSCnFOKpZsnFogBHJnL_isstZVaOMnFiIN0fGTPZZw/edit?usp=sharing"",""สงขลา!I627"")+IMPORTRANGE(""https://docs.google.com/spreadsheets/d/1q9nWasZJ-K8bFGvbE9n0qSRuKGA4Toe3Y89cKCiVtCU/edit?usp=sharing"",""สตูล!I627"")+IMPORTRANGE(""https://docs.google.com/sprea"&amp;"dsheets/d/18T20gbkS_WBjdscyTOV05cvq_JqvqQ17C81mpxf7Ncs/edit?usp=sharing"",""สุราษฎร์ธานี!I627"")"),9)</f>
        <v>9</v>
      </c>
      <c r="J627" s="167">
        <f ca="1">IFERROR(__xludf.DUMMYFUNCTION("IMPORTRANGE(""https://docs.google.com/spreadsheets/d/1kKUcYdkIfrgTSj8iHHHB2MD2FAtwyyocFgqGQn6ADyI/edit?usp=sharing"",""กระบี่!J627"")+IMPORTRANGE(""https://docs.google.com/spreadsheets/d/1GwtLaSlNZkLk7iDqcyZz22giiy40b_usZZBXYciEN1U/edit?usp=sharing"",""ชุ"&amp;"มพร!J627"")+IMPORTRANGE(""https://docs.google.com/spreadsheets/d/16pAz3pOhQEZBhvFNMa5KGgZS6iKWpsKX0pg6tQmwFpo/edit?usp=sharing"",""ตรัง!J627"")+IMPORTRANGE(""https://docs.google.com/spreadsheets/d/1Dj4jcHCTV9JXKCaMoheSXS52JE63kDKyG7bPXnFogHk/edit?usp=shar"&amp;"ing"",""นครศรีธรรมราช!J627"")+IMPORTRANGE(""https://docs.google.com/spreadsheets/d/1iodCdmuK2GR3jzUwk8tpccY2JHQQA-87DLOtJP-ooyU/edit?usp=sharing"",""นราธิวาส!J627"")+IMPORTRANGE(""https://docs.google.com/spreadsheets/d/1SDNX3JhDdYRuIOsj0Wh2M-Qa_eaXl0NbWmh"&amp;"AOTbfQAs/edit?usp=sharing"",""ปัตตานี!J627"")+IMPORTRANGE(""https://docs.google.com/spreadsheets/d/16JDLGguT8s5DsGCND1KcwHP_AWR_zDMTqLHPLJUKhaU/edit?usp=sharing"",""พังงา!J627"")+IMPORTRANGE(""https://docs.google.com/spreadsheets/d/17ht0gPKzzT3PObBL1XJkeR"&amp;"mntBXI7wGjpLV7QorqlTk/edit?usp=sharing"",""พัทลุง!J627"")+IMPORTRANGE(""https://docs.google.com/spreadsheets/d/1rd4qoM1q_hsgaolqNGfrim9gbsoLxQsda4-vOz5x_BM/edit?usp=sharing"",""ภูเก็ต!J627"")+IMPORTRANGE(""https://docs.google.com/spreadsheets/d/1woKwKjgoL"&amp;"ssDvPcPeVyezB5izizAn4X1JDrys69n6xI/edit?usp=sharing"",""ยะลา!J627"")+IMPORTRANGE(""https://docs.google.com/spreadsheets/d/1qfrKjzMhm2HJfxQ-qVlJlJQ25Hne1d0khsySbZyGtPA/edit?usp=sharing"",""ระนอง!J627"")+IMPORTRANGE(""https://docs.google.com/spreadsheets/d/"&amp;"1IbSCnFOKpZsnFogBHJnL_isstZVaOMnFiIN0fGTPZZw/edit?usp=sharing"",""สงขลา!J627"")+IMPORTRANGE(""https://docs.google.com/spreadsheets/d/1q9nWasZJ-K8bFGvbE9n0qSRuKGA4Toe3Y89cKCiVtCU/edit?usp=sharing"",""สตูล!J627"")+IMPORTRANGE(""https://docs.google.com/sprea"&amp;"dsheets/d/18T20gbkS_WBjdscyTOV05cvq_JqvqQ17C81mpxf7Ncs/edit?usp=sharing"",""สุราษฎร์ธานี!J627"")"),13)</f>
        <v>13</v>
      </c>
      <c r="K627" s="47">
        <f t="shared" ref="K627:K628" ca="1" si="452">IF(I627&gt;0,(J627*100)/I627,0)</f>
        <v>144.44444444444446</v>
      </c>
      <c r="L627" s="136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kKUcYdkIfrgTSj8iHHHB2MD2FAtwyyocFgqGQn6ADyI/edit?usp=sharing"",""กระบี่!I628"")+IMPORTRANGE(""https://docs.google.com/spreadsheets/d/1GwtLaSlNZkLk7iDqcyZz22giiy40b_usZZBXYciEN1U/edit?usp=sharing"",""ชุ"&amp;"มพร!I628"")+IMPORTRANGE(""https://docs.google.com/spreadsheets/d/16pAz3pOhQEZBhvFNMa5KGgZS6iKWpsKX0pg6tQmwFpo/edit?usp=sharing"",""ตรัง!I628"")+IMPORTRANGE(""https://docs.google.com/spreadsheets/d/1Dj4jcHCTV9JXKCaMoheSXS52JE63kDKyG7bPXnFogHk/edit?usp=shar"&amp;"ing"",""นครศรีธรรมราช!I628"")+IMPORTRANGE(""https://docs.google.com/spreadsheets/d/1iodCdmuK2GR3jzUwk8tpccY2JHQQA-87DLOtJP-ooyU/edit?usp=sharing"",""นราธิวาส!I628"")+IMPORTRANGE(""https://docs.google.com/spreadsheets/d/1SDNX3JhDdYRuIOsj0Wh2M-Qa_eaXl0NbWmh"&amp;"AOTbfQAs/edit?usp=sharing"",""ปัตตานี!I628"")+IMPORTRANGE(""https://docs.google.com/spreadsheets/d/16JDLGguT8s5DsGCND1KcwHP_AWR_zDMTqLHPLJUKhaU/edit?usp=sharing"",""พังงา!I628"")+IMPORTRANGE(""https://docs.google.com/spreadsheets/d/17ht0gPKzzT3PObBL1XJkeR"&amp;"mntBXI7wGjpLV7QorqlTk/edit?usp=sharing"",""พัทลุง!I628"")+IMPORTRANGE(""https://docs.google.com/spreadsheets/d/1rd4qoM1q_hsgaolqNGfrim9gbsoLxQsda4-vOz5x_BM/edit?usp=sharing"",""ภูเก็ต!I628"")+IMPORTRANGE(""https://docs.google.com/spreadsheets/d/1woKwKjgoL"&amp;"ssDvPcPeVyezB5izizAn4X1JDrys69n6xI/edit?usp=sharing"",""ยะลา!I628"")+IMPORTRANGE(""https://docs.google.com/spreadsheets/d/1qfrKjzMhm2HJfxQ-qVlJlJQ25Hne1d0khsySbZyGtPA/edit?usp=sharing"",""ระนอง!I628"")+IMPORTRANGE(""https://docs.google.com/spreadsheets/d/"&amp;"1IbSCnFOKpZsnFogBHJnL_isstZVaOMnFiIN0fGTPZZw/edit?usp=sharing"",""สงขลา!I628"")+IMPORTRANGE(""https://docs.google.com/spreadsheets/d/1q9nWasZJ-K8bFGvbE9n0qSRuKGA4Toe3Y89cKCiVtCU/edit?usp=sharing"",""สตูล!I628"")+IMPORTRANGE(""https://docs.google.com/sprea"&amp;"dsheets/d/18T20gbkS_WBjdscyTOV05cvq_JqvqQ17C81mpxf7Ncs/edit?usp=sharing"",""สุราษฎร์ธานี!I628"")"),9)</f>
        <v>9</v>
      </c>
      <c r="J628" s="167">
        <f ca="1">IFERROR(__xludf.DUMMYFUNCTION("IMPORTRANGE(""https://docs.google.com/spreadsheets/d/1kKUcYdkIfrgTSj8iHHHB2MD2FAtwyyocFgqGQn6ADyI/edit?usp=sharing"",""กระบี่!J628"")+IMPORTRANGE(""https://docs.google.com/spreadsheets/d/1GwtLaSlNZkLk7iDqcyZz22giiy40b_usZZBXYciEN1U/edit?usp=sharing"",""ชุ"&amp;"มพร!J628"")+IMPORTRANGE(""https://docs.google.com/spreadsheets/d/16pAz3pOhQEZBhvFNMa5KGgZS6iKWpsKX0pg6tQmwFpo/edit?usp=sharing"",""ตรัง!J628"")+IMPORTRANGE(""https://docs.google.com/spreadsheets/d/1Dj4jcHCTV9JXKCaMoheSXS52JE63kDKyG7bPXnFogHk/edit?usp=shar"&amp;"ing"",""นครศรีธรรมราช!J628"")+IMPORTRANGE(""https://docs.google.com/spreadsheets/d/1iodCdmuK2GR3jzUwk8tpccY2JHQQA-87DLOtJP-ooyU/edit?usp=sharing"",""นราธิวาส!J628"")+IMPORTRANGE(""https://docs.google.com/spreadsheets/d/1SDNX3JhDdYRuIOsj0Wh2M-Qa_eaXl0NbWmh"&amp;"AOTbfQAs/edit?usp=sharing"",""ปัตตานี!J628"")+IMPORTRANGE(""https://docs.google.com/spreadsheets/d/16JDLGguT8s5DsGCND1KcwHP_AWR_zDMTqLHPLJUKhaU/edit?usp=sharing"",""พังงา!J628"")+IMPORTRANGE(""https://docs.google.com/spreadsheets/d/17ht0gPKzzT3PObBL1XJkeR"&amp;"mntBXI7wGjpLV7QorqlTk/edit?usp=sharing"",""พัทลุง!J628"")+IMPORTRANGE(""https://docs.google.com/spreadsheets/d/1rd4qoM1q_hsgaolqNGfrim9gbsoLxQsda4-vOz5x_BM/edit?usp=sharing"",""ภูเก็ต!J628"")+IMPORTRANGE(""https://docs.google.com/spreadsheets/d/1woKwKjgoL"&amp;"ssDvPcPeVyezB5izizAn4X1JDrys69n6xI/edit?usp=sharing"",""ยะลา!J628"")+IMPORTRANGE(""https://docs.google.com/spreadsheets/d/1qfrKjzMhm2HJfxQ-qVlJlJQ25Hne1d0khsySbZyGtPA/edit?usp=sharing"",""ระนอง!J628"")+IMPORTRANGE(""https://docs.google.com/spreadsheets/d/"&amp;"1IbSCnFOKpZsnFogBHJnL_isstZVaOMnFiIN0fGTPZZw/edit?usp=sharing"",""สงขลา!J628"")+IMPORTRANGE(""https://docs.google.com/spreadsheets/d/1q9nWasZJ-K8bFGvbE9n0qSRuKGA4Toe3Y89cKCiVtCU/edit?usp=sharing"",""สตูล!J628"")+IMPORTRANGE(""https://docs.google.com/sprea"&amp;"dsheets/d/18T20gbkS_WBjdscyTOV05cvq_JqvqQ17C81mpxf7Ncs/edit?usp=sharing"",""สุราษฎร์ธานี!J628"")"),21)</f>
        <v>21</v>
      </c>
      <c r="K628" s="47">
        <f t="shared" ca="1" si="452"/>
        <v>233.33333333333334</v>
      </c>
      <c r="L628" s="136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f ca="1">IFERROR(__xludf.DUMMYFUNCTION("IMPORTRANGE(""https://docs.google.com/spreadsheets/d/1kKUcYdkIfrgTSj8iHHHB2MD2FAtwyyocFgqGQn6ADyI/edit?usp=sharing"",""กระบี่!J629"")+IMPORTRANGE(""https://docs.google.com/spreadsheets/d/1GwtLaSlNZkLk7iDqcyZz22giiy40b_usZZBXYciEN1U/edit?usp=sharing"",""ชุ"&amp;"มพร!J629"")+IMPORTRANGE(""https://docs.google.com/spreadsheets/d/16pAz3pOhQEZBhvFNMa5KGgZS6iKWpsKX0pg6tQmwFpo/edit?usp=sharing"",""ตรัง!J629"")+IMPORTRANGE(""https://docs.google.com/spreadsheets/d/1Dj4jcHCTV9JXKCaMoheSXS52JE63kDKyG7bPXnFogHk/edit?usp=shar"&amp;"ing"",""นครศรีธรรมราช!J629"")+IMPORTRANGE(""https://docs.google.com/spreadsheets/d/1iodCdmuK2GR3jzUwk8tpccY2JHQQA-87DLOtJP-ooyU/edit?usp=sharing"",""นราธิวาส!J629"")+IMPORTRANGE(""https://docs.google.com/spreadsheets/d/1SDNX3JhDdYRuIOsj0Wh2M-Qa_eaXl0NbWmh"&amp;"AOTbfQAs/edit?usp=sharing"",""ปัตตานี!J629"")+IMPORTRANGE(""https://docs.google.com/spreadsheets/d/16JDLGguT8s5DsGCND1KcwHP_AWR_zDMTqLHPLJUKhaU/edit?usp=sharing"",""พังงา!J629"")+IMPORTRANGE(""https://docs.google.com/spreadsheets/d/17ht0gPKzzT3PObBL1XJkeR"&amp;"mntBXI7wGjpLV7QorqlTk/edit?usp=sharing"",""พัทลุง!J629"")+IMPORTRANGE(""https://docs.google.com/spreadsheets/d/1rd4qoM1q_hsgaolqNGfrim9gbsoLxQsda4-vOz5x_BM/edit?usp=sharing"",""ภูเก็ต!J629"")+IMPORTRANGE(""https://docs.google.com/spreadsheets/d/1woKwKjgoL"&amp;"ssDvPcPeVyezB5izizAn4X1JDrys69n6xI/edit?usp=sharing"",""ยะลา!J629"")+IMPORTRANGE(""https://docs.google.com/spreadsheets/d/1qfrKjzMhm2HJfxQ-qVlJlJQ25Hne1d0khsySbZyGtPA/edit?usp=sharing"",""ระนอง!J629"")+IMPORTRANGE(""https://docs.google.com/spreadsheets/d/"&amp;"1IbSCnFOKpZsnFogBHJnL_isstZVaOMnFiIN0fGTPZZw/edit?usp=sharing"",""สงขลา!J629"")+IMPORTRANGE(""https://docs.google.com/spreadsheets/d/1q9nWasZJ-K8bFGvbE9n0qSRuKGA4Toe3Y89cKCiVtCU/edit?usp=sharing"",""สตูล!J629"")+IMPORTRANGE(""https://docs.google.com/sprea"&amp;"dsheets/d/18T20gbkS_WBjdscyTOV05cvq_JqvqQ17C81mpxf7Ncs/edit?usp=sharing"",""สุราษฎร์ธานี!J629"")"),0)</f>
        <v>0</v>
      </c>
      <c r="K629" s="47">
        <f t="shared" ref="K629:K631" ca="1" si="453">IF(I$626&gt;0,J629*100/I$626,0)</f>
        <v>0</v>
      </c>
      <c r="L629" s="136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f ca="1">IFERROR(__xludf.DUMMYFUNCTION("IMPORTRANGE(""https://docs.google.com/spreadsheets/d/1kKUcYdkIfrgTSj8iHHHB2MD2FAtwyyocFgqGQn6ADyI/edit?usp=sharing"",""กระบี่!J630"")+IMPORTRANGE(""https://docs.google.com/spreadsheets/d/1GwtLaSlNZkLk7iDqcyZz22giiy40b_usZZBXYciEN1U/edit?usp=sharing"",""ชุ"&amp;"มพร!J630"")+IMPORTRANGE(""https://docs.google.com/spreadsheets/d/16pAz3pOhQEZBhvFNMa5KGgZS6iKWpsKX0pg6tQmwFpo/edit?usp=sharing"",""ตรัง!J630"")+IMPORTRANGE(""https://docs.google.com/spreadsheets/d/1Dj4jcHCTV9JXKCaMoheSXS52JE63kDKyG7bPXnFogHk/edit?usp=shar"&amp;"ing"",""นครศรีธรรมราช!J630"")+IMPORTRANGE(""https://docs.google.com/spreadsheets/d/1iodCdmuK2GR3jzUwk8tpccY2JHQQA-87DLOtJP-ooyU/edit?usp=sharing"",""นราธิวาส!J630"")+IMPORTRANGE(""https://docs.google.com/spreadsheets/d/1SDNX3JhDdYRuIOsj0Wh2M-Qa_eaXl0NbWmh"&amp;"AOTbfQAs/edit?usp=sharing"",""ปัตตานี!J630"")+IMPORTRANGE(""https://docs.google.com/spreadsheets/d/16JDLGguT8s5DsGCND1KcwHP_AWR_zDMTqLHPLJUKhaU/edit?usp=sharing"",""พังงา!J630"")+IMPORTRANGE(""https://docs.google.com/spreadsheets/d/17ht0gPKzzT3PObBL1XJkeR"&amp;"mntBXI7wGjpLV7QorqlTk/edit?usp=sharing"",""พัทลุง!J630"")+IMPORTRANGE(""https://docs.google.com/spreadsheets/d/1rd4qoM1q_hsgaolqNGfrim9gbsoLxQsda4-vOz5x_BM/edit?usp=sharing"",""ภูเก็ต!J630"")+IMPORTRANGE(""https://docs.google.com/spreadsheets/d/1woKwKjgoL"&amp;"ssDvPcPeVyezB5izizAn4X1JDrys69n6xI/edit?usp=sharing"",""ยะลา!J630"")+IMPORTRANGE(""https://docs.google.com/spreadsheets/d/1qfrKjzMhm2HJfxQ-qVlJlJQ25Hne1d0khsySbZyGtPA/edit?usp=sharing"",""ระนอง!J630"")+IMPORTRANGE(""https://docs.google.com/spreadsheets/d/"&amp;"1IbSCnFOKpZsnFogBHJnL_isstZVaOMnFiIN0fGTPZZw/edit?usp=sharing"",""สงขลา!J630"")+IMPORTRANGE(""https://docs.google.com/spreadsheets/d/1q9nWasZJ-K8bFGvbE9n0qSRuKGA4Toe3Y89cKCiVtCU/edit?usp=sharing"",""สตูล!J630"")+IMPORTRANGE(""https://docs.google.com/sprea"&amp;"dsheets/d/18T20gbkS_WBjdscyTOV05cvq_JqvqQ17C81mpxf7Ncs/edit?usp=sharing"",""สุราษฎร์ธานี!J630"")"),0)</f>
        <v>0</v>
      </c>
      <c r="K630" s="47">
        <f t="shared" ca="1" si="453"/>
        <v>0</v>
      </c>
      <c r="L630" s="136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f ca="1">IFERROR(__xludf.DUMMYFUNCTION("IMPORTRANGE(""https://docs.google.com/spreadsheets/d/1kKUcYdkIfrgTSj8iHHHB2MD2FAtwyyocFgqGQn6ADyI/edit?usp=sharing"",""กระบี่!J631"")+IMPORTRANGE(""https://docs.google.com/spreadsheets/d/1GwtLaSlNZkLk7iDqcyZz22giiy40b_usZZBXYciEN1U/edit?usp=sharing"",""ชุ"&amp;"มพร!J631"")+IMPORTRANGE(""https://docs.google.com/spreadsheets/d/16pAz3pOhQEZBhvFNMa5KGgZS6iKWpsKX0pg6tQmwFpo/edit?usp=sharing"",""ตรัง!J631"")+IMPORTRANGE(""https://docs.google.com/spreadsheets/d/1Dj4jcHCTV9JXKCaMoheSXS52JE63kDKyG7bPXnFogHk/edit?usp=shar"&amp;"ing"",""นครศรีธรรมราช!J631"")+IMPORTRANGE(""https://docs.google.com/spreadsheets/d/1iodCdmuK2GR3jzUwk8tpccY2JHQQA-87DLOtJP-ooyU/edit?usp=sharing"",""นราธิวาส!J631"")+IMPORTRANGE(""https://docs.google.com/spreadsheets/d/1SDNX3JhDdYRuIOsj0Wh2M-Qa_eaXl0NbWmh"&amp;"AOTbfQAs/edit?usp=sharing"",""ปัตตานี!J631"")+IMPORTRANGE(""https://docs.google.com/spreadsheets/d/16JDLGguT8s5DsGCND1KcwHP_AWR_zDMTqLHPLJUKhaU/edit?usp=sharing"",""พังงา!J631"")+IMPORTRANGE(""https://docs.google.com/spreadsheets/d/17ht0gPKzzT3PObBL1XJkeR"&amp;"mntBXI7wGjpLV7QorqlTk/edit?usp=sharing"",""พัทลุง!J631"")+IMPORTRANGE(""https://docs.google.com/spreadsheets/d/1rd4qoM1q_hsgaolqNGfrim9gbsoLxQsda4-vOz5x_BM/edit?usp=sharing"",""ภูเก็ต!J631"")+IMPORTRANGE(""https://docs.google.com/spreadsheets/d/1woKwKjgoL"&amp;"ssDvPcPeVyezB5izizAn4X1JDrys69n6xI/edit?usp=sharing"",""ยะลา!J631"")+IMPORTRANGE(""https://docs.google.com/spreadsheets/d/1qfrKjzMhm2HJfxQ-qVlJlJQ25Hne1d0khsySbZyGtPA/edit?usp=sharing"",""ระนอง!J631"")+IMPORTRANGE(""https://docs.google.com/spreadsheets/d/"&amp;"1IbSCnFOKpZsnFogBHJnL_isstZVaOMnFiIN0fGTPZZw/edit?usp=sharing"",""สงขลา!J631"")+IMPORTRANGE(""https://docs.google.com/spreadsheets/d/1q9nWasZJ-K8bFGvbE9n0qSRuKGA4Toe3Y89cKCiVtCU/edit?usp=sharing"",""สตูล!J631"")+IMPORTRANGE(""https://docs.google.com/sprea"&amp;"dsheets/d/18T20gbkS_WBjdscyTOV05cvq_JqvqQ17C81mpxf7Ncs/edit?usp=sharing"",""สุราษฎร์ธานี!J631"")"),0)</f>
        <v>0</v>
      </c>
      <c r="K631" s="47">
        <f t="shared" ca="1" si="453"/>
        <v>0</v>
      </c>
      <c r="L631" s="136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 ca="1">J633+J634</f>
        <v>0</v>
      </c>
      <c r="K632" s="132">
        <f ca="1">IF(I626&gt;0,J632*100/I626,0)</f>
        <v>0</v>
      </c>
      <c r="L632" s="136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f ca="1">IFERROR(__xludf.DUMMYFUNCTION("IMPORTRANGE(""https://docs.google.com/spreadsheets/d/1kKUcYdkIfrgTSj8iHHHB2MD2FAtwyyocFgqGQn6ADyI/edit?usp=sharing"",""กระบี่!J633"")+IMPORTRANGE(""https://docs.google.com/spreadsheets/d/1GwtLaSlNZkLk7iDqcyZz22giiy40b_usZZBXYciEN1U/edit?usp=sharing"",""ชุ"&amp;"มพร!J633"")+IMPORTRANGE(""https://docs.google.com/spreadsheets/d/16pAz3pOhQEZBhvFNMa5KGgZS6iKWpsKX0pg6tQmwFpo/edit?usp=sharing"",""ตรัง!J633"")+IMPORTRANGE(""https://docs.google.com/spreadsheets/d/1Dj4jcHCTV9JXKCaMoheSXS52JE63kDKyG7bPXnFogHk/edit?usp=shar"&amp;"ing"",""นครศรีธรรมราช!J633"")+IMPORTRANGE(""https://docs.google.com/spreadsheets/d/1iodCdmuK2GR3jzUwk8tpccY2JHQQA-87DLOtJP-ooyU/edit?usp=sharing"",""นราธิวาส!J633"")+IMPORTRANGE(""https://docs.google.com/spreadsheets/d/1SDNX3JhDdYRuIOsj0Wh2M-Qa_eaXl0NbWmh"&amp;"AOTbfQAs/edit?usp=sharing"",""ปัตตานี!J633"")+IMPORTRANGE(""https://docs.google.com/spreadsheets/d/16JDLGguT8s5DsGCND1KcwHP_AWR_zDMTqLHPLJUKhaU/edit?usp=sharing"",""พังงา!J633"")+IMPORTRANGE(""https://docs.google.com/spreadsheets/d/17ht0gPKzzT3PObBL1XJkeR"&amp;"mntBXI7wGjpLV7QorqlTk/edit?usp=sharing"",""พัทลุง!J633"")+IMPORTRANGE(""https://docs.google.com/spreadsheets/d/1rd4qoM1q_hsgaolqNGfrim9gbsoLxQsda4-vOz5x_BM/edit?usp=sharing"",""ภูเก็ต!J633"")+IMPORTRANGE(""https://docs.google.com/spreadsheets/d/1woKwKjgoL"&amp;"ssDvPcPeVyezB5izizAn4X1JDrys69n6xI/edit?usp=sharing"",""ยะลา!J633"")+IMPORTRANGE(""https://docs.google.com/spreadsheets/d/1qfrKjzMhm2HJfxQ-qVlJlJQ25Hne1d0khsySbZyGtPA/edit?usp=sharing"",""ระนอง!J633"")+IMPORTRANGE(""https://docs.google.com/spreadsheets/d/"&amp;"1IbSCnFOKpZsnFogBHJnL_isstZVaOMnFiIN0fGTPZZw/edit?usp=sharing"",""สงขลา!J633"")+IMPORTRANGE(""https://docs.google.com/spreadsheets/d/1q9nWasZJ-K8bFGvbE9n0qSRuKGA4Toe3Y89cKCiVtCU/edit?usp=sharing"",""สตูล!J633"")+IMPORTRANGE(""https://docs.google.com/sprea"&amp;"dsheets/d/18T20gbkS_WBjdscyTOV05cvq_JqvqQ17C81mpxf7Ncs/edit?usp=sharing"",""สุราษฎร์ธานี!J633"")"),0)</f>
        <v>0</v>
      </c>
      <c r="K633" s="46"/>
      <c r="L633" s="136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f ca="1">IFERROR(__xludf.DUMMYFUNCTION("IMPORTRANGE(""https://docs.google.com/spreadsheets/d/1kKUcYdkIfrgTSj8iHHHB2MD2FAtwyyocFgqGQn6ADyI/edit?usp=sharing"",""กระบี่!J634"")+IMPORTRANGE(""https://docs.google.com/spreadsheets/d/1GwtLaSlNZkLk7iDqcyZz22giiy40b_usZZBXYciEN1U/edit?usp=sharing"",""ชุ"&amp;"มพร!J634"")+IMPORTRANGE(""https://docs.google.com/spreadsheets/d/16pAz3pOhQEZBhvFNMa5KGgZS6iKWpsKX0pg6tQmwFpo/edit?usp=sharing"",""ตรัง!J634"")+IMPORTRANGE(""https://docs.google.com/spreadsheets/d/1Dj4jcHCTV9JXKCaMoheSXS52JE63kDKyG7bPXnFogHk/edit?usp=shar"&amp;"ing"",""นครศรีธรรมราช!J634"")+IMPORTRANGE(""https://docs.google.com/spreadsheets/d/1iodCdmuK2GR3jzUwk8tpccY2JHQQA-87DLOtJP-ooyU/edit?usp=sharing"",""นราธิวาส!J634"")+IMPORTRANGE(""https://docs.google.com/spreadsheets/d/1SDNX3JhDdYRuIOsj0Wh2M-Qa_eaXl0NbWmh"&amp;"AOTbfQAs/edit?usp=sharing"",""ปัตตานี!J634"")+IMPORTRANGE(""https://docs.google.com/spreadsheets/d/16JDLGguT8s5DsGCND1KcwHP_AWR_zDMTqLHPLJUKhaU/edit?usp=sharing"",""พังงา!J634"")+IMPORTRANGE(""https://docs.google.com/spreadsheets/d/17ht0gPKzzT3PObBL1XJkeR"&amp;"mntBXI7wGjpLV7QorqlTk/edit?usp=sharing"",""พัทลุง!J634"")+IMPORTRANGE(""https://docs.google.com/spreadsheets/d/1rd4qoM1q_hsgaolqNGfrim9gbsoLxQsda4-vOz5x_BM/edit?usp=sharing"",""ภูเก็ต!J634"")+IMPORTRANGE(""https://docs.google.com/spreadsheets/d/1woKwKjgoL"&amp;"ssDvPcPeVyezB5izizAn4X1JDrys69n6xI/edit?usp=sharing"",""ยะลา!J634"")+IMPORTRANGE(""https://docs.google.com/spreadsheets/d/1qfrKjzMhm2HJfxQ-qVlJlJQ25Hne1d0khsySbZyGtPA/edit?usp=sharing"",""ระนอง!J634"")+IMPORTRANGE(""https://docs.google.com/spreadsheets/d/"&amp;"1IbSCnFOKpZsnFogBHJnL_isstZVaOMnFiIN0fGTPZZw/edit?usp=sharing"",""สงขลา!J634"")+IMPORTRANGE(""https://docs.google.com/spreadsheets/d/1q9nWasZJ-K8bFGvbE9n0qSRuKGA4Toe3Y89cKCiVtCU/edit?usp=sharing"",""สตูล!J634"")+IMPORTRANGE(""https://docs.google.com/sprea"&amp;"dsheets/d/18T20gbkS_WBjdscyTOV05cvq_JqvqQ17C81mpxf7Ncs/edit?usp=sharing"",""สุราษฎร์ธานี!J634"")"),0)</f>
        <v>0</v>
      </c>
      <c r="K634" s="46"/>
      <c r="L634" s="136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kKUcYdkIfrgTSj8iHHHB2MD2FAtwyyocFgqGQn6ADyI/edit?usp=sharing"",""กระบี่!I635"")+IMPORTRANGE(""https://docs.google.com/spreadsheets/d/1GwtLaSlNZkLk7iDqcyZz22giiy40b_usZZBXYciEN1U/edit?usp=sharing"",""ชุ"&amp;"มพร!I635"")+IMPORTRANGE(""https://docs.google.com/spreadsheets/d/16pAz3pOhQEZBhvFNMa5KGgZS6iKWpsKX0pg6tQmwFpo/edit?usp=sharing"",""ตรัง!I635"")+IMPORTRANGE(""https://docs.google.com/spreadsheets/d/1Dj4jcHCTV9JXKCaMoheSXS52JE63kDKyG7bPXnFogHk/edit?usp=shar"&amp;"ing"",""นครศรีธรรมราช!I635"")+IMPORTRANGE(""https://docs.google.com/spreadsheets/d/1iodCdmuK2GR3jzUwk8tpccY2JHQQA-87DLOtJP-ooyU/edit?usp=sharing"",""นราธิวาส!I635"")+IMPORTRANGE(""https://docs.google.com/spreadsheets/d/1SDNX3JhDdYRuIOsj0Wh2M-Qa_eaXl0NbWmh"&amp;"AOTbfQAs/edit?usp=sharing"",""ปัตตานี!I635"")+IMPORTRANGE(""https://docs.google.com/spreadsheets/d/16JDLGguT8s5DsGCND1KcwHP_AWR_zDMTqLHPLJUKhaU/edit?usp=sharing"",""พังงา!I635"")+IMPORTRANGE(""https://docs.google.com/spreadsheets/d/17ht0gPKzzT3PObBL1XJkeR"&amp;"mntBXI7wGjpLV7QorqlTk/edit?usp=sharing"",""พัทลุง!I635"")+IMPORTRANGE(""https://docs.google.com/spreadsheets/d/1rd4qoM1q_hsgaolqNGfrim9gbsoLxQsda4-vOz5x_BM/edit?usp=sharing"",""ภูเก็ต!I635"")+IMPORTRANGE(""https://docs.google.com/spreadsheets/d/1woKwKjgoL"&amp;"ssDvPcPeVyezB5izizAn4X1JDrys69n6xI/edit?usp=sharing"",""ยะลา!I635"")+IMPORTRANGE(""https://docs.google.com/spreadsheets/d/1qfrKjzMhm2HJfxQ-qVlJlJQ25Hne1d0khsySbZyGtPA/edit?usp=sharing"",""ระนอง!I635"")+IMPORTRANGE(""https://docs.google.com/spreadsheets/d/"&amp;"1IbSCnFOKpZsnFogBHJnL_isstZVaOMnFiIN0fGTPZZw/edit?usp=sharing"",""สงขลา!I635"")+IMPORTRANGE(""https://docs.google.com/spreadsheets/d/1q9nWasZJ-K8bFGvbE9n0qSRuKGA4Toe3Y89cKCiVtCU/edit?usp=sharing"",""สตูล!I635"")+IMPORTRANGE(""https://docs.google.com/sprea"&amp;"dsheets/d/18T20gbkS_WBjdscyTOV05cvq_JqvqQ17C81mpxf7Ncs/edit?usp=sharing"",""สุราษฎร์ธานี!I635"")"),0)</f>
        <v>0</v>
      </c>
      <c r="J635" s="147">
        <f ca="1">J636</f>
        <v>0</v>
      </c>
      <c r="K635" s="132">
        <f ca="1">IF(I635&gt;0,J635*100/I635,0)</f>
        <v>0</v>
      </c>
      <c r="L635" s="136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 ca="1">J637+J638</f>
        <v>0</v>
      </c>
      <c r="K636" s="46"/>
      <c r="L636" s="136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f ca="1">IFERROR(__xludf.DUMMYFUNCTION("IMPORTRANGE(""https://docs.google.com/spreadsheets/d/1kKUcYdkIfrgTSj8iHHHB2MD2FAtwyyocFgqGQn6ADyI/edit?usp=sharing"",""กระบี่!J637"")+IMPORTRANGE(""https://docs.google.com/spreadsheets/d/1GwtLaSlNZkLk7iDqcyZz22giiy40b_usZZBXYciEN1U/edit?usp=sharing"",""ชุ"&amp;"มพร!J637"")+IMPORTRANGE(""https://docs.google.com/spreadsheets/d/16pAz3pOhQEZBhvFNMa5KGgZS6iKWpsKX0pg6tQmwFpo/edit?usp=sharing"",""ตรัง!J637"")+IMPORTRANGE(""https://docs.google.com/spreadsheets/d/1Dj4jcHCTV9JXKCaMoheSXS52JE63kDKyG7bPXnFogHk/edit?usp=shar"&amp;"ing"",""นครศรีธรรมราช!J637"")+IMPORTRANGE(""https://docs.google.com/spreadsheets/d/1iodCdmuK2GR3jzUwk8tpccY2JHQQA-87DLOtJP-ooyU/edit?usp=sharing"",""นราธิวาส!J637"")+IMPORTRANGE(""https://docs.google.com/spreadsheets/d/1SDNX3JhDdYRuIOsj0Wh2M-Qa_eaXl0NbWmh"&amp;"AOTbfQAs/edit?usp=sharing"",""ปัตตานี!J637"")+IMPORTRANGE(""https://docs.google.com/spreadsheets/d/16JDLGguT8s5DsGCND1KcwHP_AWR_zDMTqLHPLJUKhaU/edit?usp=sharing"",""พังงา!J637"")+IMPORTRANGE(""https://docs.google.com/spreadsheets/d/17ht0gPKzzT3PObBL1XJkeR"&amp;"mntBXI7wGjpLV7QorqlTk/edit?usp=sharing"",""พัทลุง!J637"")+IMPORTRANGE(""https://docs.google.com/spreadsheets/d/1rd4qoM1q_hsgaolqNGfrim9gbsoLxQsda4-vOz5x_BM/edit?usp=sharing"",""ภูเก็ต!J637"")+IMPORTRANGE(""https://docs.google.com/spreadsheets/d/1woKwKjgoL"&amp;"ssDvPcPeVyezB5izizAn4X1JDrys69n6xI/edit?usp=sharing"",""ยะลา!J637"")+IMPORTRANGE(""https://docs.google.com/spreadsheets/d/1qfrKjzMhm2HJfxQ-qVlJlJQ25Hne1d0khsySbZyGtPA/edit?usp=sharing"",""ระนอง!J637"")+IMPORTRANGE(""https://docs.google.com/spreadsheets/d/"&amp;"1IbSCnFOKpZsnFogBHJnL_isstZVaOMnFiIN0fGTPZZw/edit?usp=sharing"",""สงขลา!J637"")+IMPORTRANGE(""https://docs.google.com/spreadsheets/d/1q9nWasZJ-K8bFGvbE9n0qSRuKGA4Toe3Y89cKCiVtCU/edit?usp=sharing"",""สตูล!J637"")+IMPORTRANGE(""https://docs.google.com/sprea"&amp;"dsheets/d/18T20gbkS_WBjdscyTOV05cvq_JqvqQ17C81mpxf7Ncs/edit?usp=sharing"",""สุราษฎร์ธานี!J637"")"),0)</f>
        <v>0</v>
      </c>
      <c r="K637" s="46"/>
      <c r="L637" s="136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f ca="1">IFERROR(__xludf.DUMMYFUNCTION("IMPORTRANGE(""https://docs.google.com/spreadsheets/d/1kKUcYdkIfrgTSj8iHHHB2MD2FAtwyyocFgqGQn6ADyI/edit?usp=sharing"",""กระบี่!J638"")+IMPORTRANGE(""https://docs.google.com/spreadsheets/d/1GwtLaSlNZkLk7iDqcyZz22giiy40b_usZZBXYciEN1U/edit?usp=sharing"",""ชุ"&amp;"มพร!J638"")+IMPORTRANGE(""https://docs.google.com/spreadsheets/d/16pAz3pOhQEZBhvFNMa5KGgZS6iKWpsKX0pg6tQmwFpo/edit?usp=sharing"",""ตรัง!J638"")+IMPORTRANGE(""https://docs.google.com/spreadsheets/d/1Dj4jcHCTV9JXKCaMoheSXS52JE63kDKyG7bPXnFogHk/edit?usp=shar"&amp;"ing"",""นครศรีธรรมราช!J638"")+IMPORTRANGE(""https://docs.google.com/spreadsheets/d/1iodCdmuK2GR3jzUwk8tpccY2JHQQA-87DLOtJP-ooyU/edit?usp=sharing"",""นราธิวาส!J638"")+IMPORTRANGE(""https://docs.google.com/spreadsheets/d/1SDNX3JhDdYRuIOsj0Wh2M-Qa_eaXl0NbWmh"&amp;"AOTbfQAs/edit?usp=sharing"",""ปัตตานี!J638"")+IMPORTRANGE(""https://docs.google.com/spreadsheets/d/16JDLGguT8s5DsGCND1KcwHP_AWR_zDMTqLHPLJUKhaU/edit?usp=sharing"",""พังงา!J638"")+IMPORTRANGE(""https://docs.google.com/spreadsheets/d/17ht0gPKzzT3PObBL1XJkeR"&amp;"mntBXI7wGjpLV7QorqlTk/edit?usp=sharing"",""พัทลุง!J638"")+IMPORTRANGE(""https://docs.google.com/spreadsheets/d/1rd4qoM1q_hsgaolqNGfrim9gbsoLxQsda4-vOz5x_BM/edit?usp=sharing"",""ภูเก็ต!J638"")+IMPORTRANGE(""https://docs.google.com/spreadsheets/d/1woKwKjgoL"&amp;"ssDvPcPeVyezB5izizAn4X1JDrys69n6xI/edit?usp=sharing"",""ยะลา!J638"")+IMPORTRANGE(""https://docs.google.com/spreadsheets/d/1qfrKjzMhm2HJfxQ-qVlJlJQ25Hne1d0khsySbZyGtPA/edit?usp=sharing"",""ระนอง!J638"")+IMPORTRANGE(""https://docs.google.com/spreadsheets/d/"&amp;"1IbSCnFOKpZsnFogBHJnL_isstZVaOMnFiIN0fGTPZZw/edit?usp=sharing"",""สงขลา!J638"")+IMPORTRANGE(""https://docs.google.com/spreadsheets/d/1q9nWasZJ-K8bFGvbE9n0qSRuKGA4Toe3Y89cKCiVtCU/edit?usp=sharing"",""สตูล!J638"")+IMPORTRANGE(""https://docs.google.com/sprea"&amp;"dsheets/d/18T20gbkS_WBjdscyTOV05cvq_JqvqQ17C81mpxf7Ncs/edit?usp=sharing"",""สุราษฎร์ธานี!J638"")"),0)</f>
        <v>0</v>
      </c>
      <c r="K638" s="46"/>
      <c r="L638" s="136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f ca="1">IFERROR(__xludf.DUMMYFUNCTION("IMPORTRANGE(""https://docs.google.com/spreadsheets/d/1kKUcYdkIfrgTSj8iHHHB2MD2FAtwyyocFgqGQn6ADyI/edit?usp=sharing"",""กระบี่!J639"")+IMPORTRANGE(""https://docs.google.com/spreadsheets/d/1GwtLaSlNZkLk7iDqcyZz22giiy40b_usZZBXYciEN1U/edit?usp=sharing"",""ชุ"&amp;"มพร!J639"")+IMPORTRANGE(""https://docs.google.com/spreadsheets/d/16pAz3pOhQEZBhvFNMa5KGgZS6iKWpsKX0pg6tQmwFpo/edit?usp=sharing"",""ตรัง!J639"")+IMPORTRANGE(""https://docs.google.com/spreadsheets/d/1Dj4jcHCTV9JXKCaMoheSXS52JE63kDKyG7bPXnFogHk/edit?usp=shar"&amp;"ing"",""นครศรีธรรมราช!J639"")+IMPORTRANGE(""https://docs.google.com/spreadsheets/d/1iodCdmuK2GR3jzUwk8tpccY2JHQQA-87DLOtJP-ooyU/edit?usp=sharing"",""นราธิวาส!J639"")+IMPORTRANGE(""https://docs.google.com/spreadsheets/d/1SDNX3JhDdYRuIOsj0Wh2M-Qa_eaXl0NbWmh"&amp;"AOTbfQAs/edit?usp=sharing"",""ปัตตานี!J639"")+IMPORTRANGE(""https://docs.google.com/spreadsheets/d/16JDLGguT8s5DsGCND1KcwHP_AWR_zDMTqLHPLJUKhaU/edit?usp=sharing"",""พังงา!J639"")+IMPORTRANGE(""https://docs.google.com/spreadsheets/d/17ht0gPKzzT3PObBL1XJkeR"&amp;"mntBXI7wGjpLV7QorqlTk/edit?usp=sharing"",""พัทลุง!J639"")+IMPORTRANGE(""https://docs.google.com/spreadsheets/d/1rd4qoM1q_hsgaolqNGfrim9gbsoLxQsda4-vOz5x_BM/edit?usp=sharing"",""ภูเก็ต!J639"")+IMPORTRANGE(""https://docs.google.com/spreadsheets/d/1woKwKjgoL"&amp;"ssDvPcPeVyezB5izizAn4X1JDrys69n6xI/edit?usp=sharing"",""ยะลา!J639"")+IMPORTRANGE(""https://docs.google.com/spreadsheets/d/1qfrKjzMhm2HJfxQ-qVlJlJQ25Hne1d0khsySbZyGtPA/edit?usp=sharing"",""ระนอง!J639"")+IMPORTRANGE(""https://docs.google.com/spreadsheets/d/"&amp;"1IbSCnFOKpZsnFogBHJnL_isstZVaOMnFiIN0fGTPZZw/edit?usp=sharing"",""สงขลา!J639"")+IMPORTRANGE(""https://docs.google.com/spreadsheets/d/1q9nWasZJ-K8bFGvbE9n0qSRuKGA4Toe3Y89cKCiVtCU/edit?usp=sharing"",""สตูล!J639"")+IMPORTRANGE(""https://docs.google.com/sprea"&amp;"dsheets/d/18T20gbkS_WBjdscyTOV05cvq_JqvqQ17C81mpxf7Ncs/edit?usp=sharing"",""สุราษฎร์ธานี!J639"")"),0)</f>
        <v>0</v>
      </c>
      <c r="K639" s="46"/>
      <c r="L639" s="136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f ca="1">IFERROR(__xludf.DUMMYFUNCTION("IMPORTRANGE(""https://docs.google.com/spreadsheets/d/1kKUcYdkIfrgTSj8iHHHB2MD2FAtwyyocFgqGQn6ADyI/edit?usp=sharing"",""กระบี่!J640"")+IMPORTRANGE(""https://docs.google.com/spreadsheets/d/1GwtLaSlNZkLk7iDqcyZz22giiy40b_usZZBXYciEN1U/edit?usp=sharing"",""ชุ"&amp;"มพร!J640"")+IMPORTRANGE(""https://docs.google.com/spreadsheets/d/16pAz3pOhQEZBhvFNMa5KGgZS6iKWpsKX0pg6tQmwFpo/edit?usp=sharing"",""ตรัง!J640"")+IMPORTRANGE(""https://docs.google.com/spreadsheets/d/1Dj4jcHCTV9JXKCaMoheSXS52JE63kDKyG7bPXnFogHk/edit?usp=shar"&amp;"ing"",""นครศรีธรรมราช!J640"")+IMPORTRANGE(""https://docs.google.com/spreadsheets/d/1iodCdmuK2GR3jzUwk8tpccY2JHQQA-87DLOtJP-ooyU/edit?usp=sharing"",""นราธิวาส!J640"")+IMPORTRANGE(""https://docs.google.com/spreadsheets/d/1SDNX3JhDdYRuIOsj0Wh2M-Qa_eaXl0NbWmh"&amp;"AOTbfQAs/edit?usp=sharing"",""ปัตตานี!J640"")+IMPORTRANGE(""https://docs.google.com/spreadsheets/d/16JDLGguT8s5DsGCND1KcwHP_AWR_zDMTqLHPLJUKhaU/edit?usp=sharing"",""พังงา!J640"")+IMPORTRANGE(""https://docs.google.com/spreadsheets/d/17ht0gPKzzT3PObBL1XJkeR"&amp;"mntBXI7wGjpLV7QorqlTk/edit?usp=sharing"",""พัทลุง!J640"")+IMPORTRANGE(""https://docs.google.com/spreadsheets/d/1rd4qoM1q_hsgaolqNGfrim9gbsoLxQsda4-vOz5x_BM/edit?usp=sharing"",""ภูเก็ต!J640"")+IMPORTRANGE(""https://docs.google.com/spreadsheets/d/1woKwKjgoL"&amp;"ssDvPcPeVyezB5izizAn4X1JDrys69n6xI/edit?usp=sharing"",""ยะลา!J640"")+IMPORTRANGE(""https://docs.google.com/spreadsheets/d/1qfrKjzMhm2HJfxQ-qVlJlJQ25Hne1d0khsySbZyGtPA/edit?usp=sharing"",""ระนอง!J640"")+IMPORTRANGE(""https://docs.google.com/spreadsheets/d/"&amp;"1IbSCnFOKpZsnFogBHJnL_isstZVaOMnFiIN0fGTPZZw/edit?usp=sharing"",""สงขลา!J640"")+IMPORTRANGE(""https://docs.google.com/spreadsheets/d/1q9nWasZJ-K8bFGvbE9n0qSRuKGA4Toe3Y89cKCiVtCU/edit?usp=sharing"",""สตูล!J640"")+IMPORTRANGE(""https://docs.google.com/sprea"&amp;"dsheets/d/18T20gbkS_WBjdscyTOV05cvq_JqvqQ17C81mpxf7Ncs/edit?usp=sharing"",""สุราษฎร์ธานี!J640"")"),0)</f>
        <v>0</v>
      </c>
      <c r="K640" s="46"/>
      <c r="L640" s="136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463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470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218" t="s">
        <v>18</v>
      </c>
      <c r="D642" s="532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132">
        <f t="shared" ref="L642:N642" ca="1" si="454">L643+L644</f>
        <v>0</v>
      </c>
      <c r="M642" s="132">
        <f t="shared" ca="1" si="454"/>
        <v>0</v>
      </c>
      <c r="N642" s="132">
        <f t="shared" ca="1" si="454"/>
        <v>0</v>
      </c>
      <c r="O642" s="132">
        <f t="shared" ref="O642:O650" ca="1" si="455">IF(L642&gt;0,N642*100/L642,0)</f>
        <v>0</v>
      </c>
      <c r="P642" s="132">
        <f t="shared" ref="P642:P650" ca="1" si="456">IF(M642&gt;0,N642*100/M642,0)</f>
        <v>0</v>
      </c>
      <c r="Q642" s="132">
        <f t="shared" ref="Q642:S642" ca="1" si="457">Q643+Q644</f>
        <v>8200</v>
      </c>
      <c r="R642" s="132">
        <f t="shared" ca="1" si="457"/>
        <v>8200</v>
      </c>
      <c r="S642" s="132">
        <f t="shared" ca="1" si="457"/>
        <v>0</v>
      </c>
      <c r="T642" s="132">
        <f t="shared" ref="T642:T650" ca="1" si="458">IF(Q642&gt;0,S642*100/Q642,0)</f>
        <v>0</v>
      </c>
      <c r="U642" s="132">
        <f t="shared" ref="U642:U650" ca="1" si="459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49">
        <f t="shared" ref="L643:N643" ca="1" si="460">L646+L649</f>
        <v>0</v>
      </c>
      <c r="M643" s="49">
        <f t="shared" ca="1" si="460"/>
        <v>0</v>
      </c>
      <c r="N643" s="49">
        <f t="shared" ca="1" si="460"/>
        <v>0</v>
      </c>
      <c r="O643" s="49">
        <f t="shared" ca="1" si="455"/>
        <v>0</v>
      </c>
      <c r="P643" s="49">
        <f t="shared" ca="1" si="456"/>
        <v>0</v>
      </c>
      <c r="Q643" s="49">
        <f t="shared" ref="Q643:S643" ca="1" si="461">Q646+Q649</f>
        <v>0</v>
      </c>
      <c r="R643" s="49">
        <f t="shared" ca="1" si="461"/>
        <v>0</v>
      </c>
      <c r="S643" s="49">
        <f t="shared" ca="1" si="461"/>
        <v>0</v>
      </c>
      <c r="T643" s="49">
        <f t="shared" ca="1" si="458"/>
        <v>0</v>
      </c>
      <c r="U643" s="49">
        <f t="shared" ca="1" si="459"/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47">
        <f t="shared" ref="L644:N644" ca="1" si="462">L647+L650</f>
        <v>0</v>
      </c>
      <c r="M644" s="47">
        <f t="shared" ca="1" si="462"/>
        <v>0</v>
      </c>
      <c r="N644" s="47">
        <f t="shared" ca="1" si="462"/>
        <v>0</v>
      </c>
      <c r="O644" s="47">
        <f t="shared" ca="1" si="455"/>
        <v>0</v>
      </c>
      <c r="P644" s="47">
        <f t="shared" ca="1" si="456"/>
        <v>0</v>
      </c>
      <c r="Q644" s="47">
        <f t="shared" ref="Q644:S644" ca="1" si="463">Q647+Q650</f>
        <v>8200</v>
      </c>
      <c r="R644" s="47">
        <f t="shared" ca="1" si="463"/>
        <v>8200</v>
      </c>
      <c r="S644" s="47">
        <f t="shared" ca="1" si="463"/>
        <v>0</v>
      </c>
      <c r="T644" s="47">
        <f t="shared" ca="1" si="458"/>
        <v>0</v>
      </c>
      <c r="U644" s="47">
        <f t="shared" ca="1" si="459"/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47">
        <f t="shared" ref="L645:N645" ca="1" si="464">L646+L647</f>
        <v>0</v>
      </c>
      <c r="M645" s="47">
        <f t="shared" ca="1" si="464"/>
        <v>0</v>
      </c>
      <c r="N645" s="47">
        <f t="shared" ca="1" si="464"/>
        <v>0</v>
      </c>
      <c r="O645" s="47">
        <f t="shared" ca="1" si="455"/>
        <v>0</v>
      </c>
      <c r="P645" s="47">
        <f t="shared" ca="1" si="456"/>
        <v>0</v>
      </c>
      <c r="Q645" s="47">
        <f t="shared" ref="Q645:S645" ca="1" si="465">Q646+Q647</f>
        <v>8200</v>
      </c>
      <c r="R645" s="47">
        <f t="shared" ca="1" si="465"/>
        <v>8200</v>
      </c>
      <c r="S645" s="47">
        <f t="shared" ca="1" si="465"/>
        <v>0</v>
      </c>
      <c r="T645" s="47">
        <f t="shared" ca="1" si="458"/>
        <v>0</v>
      </c>
      <c r="U645" s="47">
        <f t="shared" ca="1" si="459"/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49">
        <f ca="1">IFERROR(__xludf.DUMMYFUNCTION("IMPORTRANGE(""https://docs.google.com/spreadsheets/d/1kKUcYdkIfrgTSj8iHHHB2MD2FAtwyyocFgqGQn6ADyI/edit?usp=sharing"",""กระบี่!L646"")+IMPORTRANGE(""https://docs.google.com/spreadsheets/d/1GwtLaSlNZkLk7iDqcyZz22giiy40b_usZZBXYciEN1U/edit?usp=sharing"",""ชุ"&amp;"มพร!L646"")+IMPORTRANGE(""https://docs.google.com/spreadsheets/d/16pAz3pOhQEZBhvFNMa5KGgZS6iKWpsKX0pg6tQmwFpo/edit?usp=sharing"",""ตรัง!L646"")+IMPORTRANGE(""https://docs.google.com/spreadsheets/d/1Dj4jcHCTV9JXKCaMoheSXS52JE63kDKyG7bPXnFogHk/edit?usp=shar"&amp;"ing"",""นครศรีธรรมราช!L646"")+IMPORTRANGE(""https://docs.google.com/spreadsheets/d/1iodCdmuK2GR3jzUwk8tpccY2JHQQA-87DLOtJP-ooyU/edit?usp=sharing"",""นราธิวาส!L646"")+IMPORTRANGE(""https://docs.google.com/spreadsheets/d/1SDNX3JhDdYRuIOsj0Wh2M-Qa_eaXl0NbWmh"&amp;"AOTbfQAs/edit?usp=sharing"",""ปัตตานี!L646"")+IMPORTRANGE(""https://docs.google.com/spreadsheets/d/16JDLGguT8s5DsGCND1KcwHP_AWR_zDMTqLHPLJUKhaU/edit?usp=sharing"",""พังงา!L646"")+IMPORTRANGE(""https://docs.google.com/spreadsheets/d/17ht0gPKzzT3PObBL1XJkeR"&amp;"mntBXI7wGjpLV7QorqlTk/edit?usp=sharing"",""พัทลุง!L646"")+IMPORTRANGE(""https://docs.google.com/spreadsheets/d/1rd4qoM1q_hsgaolqNGfrim9gbsoLxQsda4-vOz5x_BM/edit?usp=sharing"",""ภูเก็ต!L646"")+IMPORTRANGE(""https://docs.google.com/spreadsheets/d/1woKwKjgoL"&amp;"ssDvPcPeVyezB5izizAn4X1JDrys69n6xI/edit?usp=sharing"",""ยะลา!L646"")+IMPORTRANGE(""https://docs.google.com/spreadsheets/d/1qfrKjzMhm2HJfxQ-qVlJlJQ25Hne1d0khsySbZyGtPA/edit?usp=sharing"",""ระนอง!L646"")+IMPORTRANGE(""https://docs.google.com/spreadsheets/d/"&amp;"1IbSCnFOKpZsnFogBHJnL_isstZVaOMnFiIN0fGTPZZw/edit?usp=sharing"",""สงขลา!L646"")+IMPORTRANGE(""https://docs.google.com/spreadsheets/d/1q9nWasZJ-K8bFGvbE9n0qSRuKGA4Toe3Y89cKCiVtCU/edit?usp=sharing"",""สตูล!L646"")+IMPORTRANGE(""https://docs.google.com/sprea"&amp;"dsheets/d/18T20gbkS_WBjdscyTOV05cvq_JqvqQ17C81mpxf7Ncs/edit?usp=sharing"",""สุราษฎร์ธานี!L646"")"),0)</f>
        <v>0</v>
      </c>
      <c r="M646" s="49">
        <f ca="1">IFERROR(__xludf.DUMMYFUNCTION("IMPORTRANGE(""https://docs.google.com/spreadsheets/d/1kKUcYdkIfrgTSj8iHHHB2MD2FAtwyyocFgqGQn6ADyI/edit?usp=sharing"",""กระบี่!M646"")+IMPORTRANGE(""https://docs.google.com/spreadsheets/d/1GwtLaSlNZkLk7iDqcyZz22giiy40b_usZZBXYciEN1U/edit?usp=sharing"",""ชุ"&amp;"มพร!M646"")+IMPORTRANGE(""https://docs.google.com/spreadsheets/d/16pAz3pOhQEZBhvFNMa5KGgZS6iKWpsKX0pg6tQmwFpo/edit?usp=sharing"",""ตรัง!M646"")+IMPORTRANGE(""https://docs.google.com/spreadsheets/d/1Dj4jcHCTV9JXKCaMoheSXS52JE63kDKyG7bPXnFogHk/edit?usp=shar"&amp;"ing"",""นครศรีธรรมราช!M646"")+IMPORTRANGE(""https://docs.google.com/spreadsheets/d/1iodCdmuK2GR3jzUwk8tpccY2JHQQA-87DLOtJP-ooyU/edit?usp=sharing"",""นราธิวาส!M646"")+IMPORTRANGE(""https://docs.google.com/spreadsheets/d/1SDNX3JhDdYRuIOsj0Wh2M-Qa_eaXl0NbWmh"&amp;"AOTbfQAs/edit?usp=sharing"",""ปัตตานี!M646"")+IMPORTRANGE(""https://docs.google.com/spreadsheets/d/16JDLGguT8s5DsGCND1KcwHP_AWR_zDMTqLHPLJUKhaU/edit?usp=sharing"",""พังงา!M646"")+IMPORTRANGE(""https://docs.google.com/spreadsheets/d/17ht0gPKzzT3PObBL1XJkeR"&amp;"mntBXI7wGjpLV7QorqlTk/edit?usp=sharing"",""พัทลุง!M646"")+IMPORTRANGE(""https://docs.google.com/spreadsheets/d/1rd4qoM1q_hsgaolqNGfrim9gbsoLxQsda4-vOz5x_BM/edit?usp=sharing"",""ภูเก็ต!M646"")+IMPORTRANGE(""https://docs.google.com/spreadsheets/d/1woKwKjgoL"&amp;"ssDvPcPeVyezB5izizAn4X1JDrys69n6xI/edit?usp=sharing"",""ยะลา!M646"")+IMPORTRANGE(""https://docs.google.com/spreadsheets/d/1qfrKjzMhm2HJfxQ-qVlJlJQ25Hne1d0khsySbZyGtPA/edit?usp=sharing"",""ระนอง!M646"")+IMPORTRANGE(""https://docs.google.com/spreadsheets/d/"&amp;"1IbSCnFOKpZsnFogBHJnL_isstZVaOMnFiIN0fGTPZZw/edit?usp=sharing"",""สงขลา!M646"")+IMPORTRANGE(""https://docs.google.com/spreadsheets/d/1q9nWasZJ-K8bFGvbE9n0qSRuKGA4Toe3Y89cKCiVtCU/edit?usp=sharing"",""สตูล!M646"")+IMPORTRANGE(""https://docs.google.com/sprea"&amp;"dsheets/d/18T20gbkS_WBjdscyTOV05cvq_JqvqQ17C81mpxf7Ncs/edit?usp=sharing"",""สุราษฎร์ธานี!M646"")"),0)</f>
        <v>0</v>
      </c>
      <c r="N646" s="49">
        <f ca="1">IFERROR(__xludf.DUMMYFUNCTION("IMPORTRANGE(""https://docs.google.com/spreadsheets/d/1kKUcYdkIfrgTSj8iHHHB2MD2FAtwyyocFgqGQn6ADyI/edit?usp=sharing"",""กระบี่!N646"")+IMPORTRANGE(""https://docs.google.com/spreadsheets/d/1GwtLaSlNZkLk7iDqcyZz22giiy40b_usZZBXYciEN1U/edit?usp=sharing"",""ชุ"&amp;"มพร!N646"")+IMPORTRANGE(""https://docs.google.com/spreadsheets/d/16pAz3pOhQEZBhvFNMa5KGgZS6iKWpsKX0pg6tQmwFpo/edit?usp=sharing"",""ตรัง!N646"")+IMPORTRANGE(""https://docs.google.com/spreadsheets/d/1Dj4jcHCTV9JXKCaMoheSXS52JE63kDKyG7bPXnFogHk/edit?usp=shar"&amp;"ing"",""นครศรีธรรมราช!N646"")+IMPORTRANGE(""https://docs.google.com/spreadsheets/d/1iodCdmuK2GR3jzUwk8tpccY2JHQQA-87DLOtJP-ooyU/edit?usp=sharing"",""นราธิวาส!N646"")+IMPORTRANGE(""https://docs.google.com/spreadsheets/d/1SDNX3JhDdYRuIOsj0Wh2M-Qa_eaXl0NbWmh"&amp;"AOTbfQAs/edit?usp=sharing"",""ปัตตานี!N646"")+IMPORTRANGE(""https://docs.google.com/spreadsheets/d/16JDLGguT8s5DsGCND1KcwHP_AWR_zDMTqLHPLJUKhaU/edit?usp=sharing"",""พังงา!N646"")+IMPORTRANGE(""https://docs.google.com/spreadsheets/d/17ht0gPKzzT3PObBL1XJkeR"&amp;"mntBXI7wGjpLV7QorqlTk/edit?usp=sharing"",""พัทลุง!N646"")+IMPORTRANGE(""https://docs.google.com/spreadsheets/d/1rd4qoM1q_hsgaolqNGfrim9gbsoLxQsda4-vOz5x_BM/edit?usp=sharing"",""ภูเก็ต!N646"")+IMPORTRANGE(""https://docs.google.com/spreadsheets/d/1woKwKjgoL"&amp;"ssDvPcPeVyezB5izizAn4X1JDrys69n6xI/edit?usp=sharing"",""ยะลา!N646"")+IMPORTRANGE(""https://docs.google.com/spreadsheets/d/1qfrKjzMhm2HJfxQ-qVlJlJQ25Hne1d0khsySbZyGtPA/edit?usp=sharing"",""ระนอง!N646"")+IMPORTRANGE(""https://docs.google.com/spreadsheets/d/"&amp;"1IbSCnFOKpZsnFogBHJnL_isstZVaOMnFiIN0fGTPZZw/edit?usp=sharing"",""สงขลา!N646"")+IMPORTRANGE(""https://docs.google.com/spreadsheets/d/1q9nWasZJ-K8bFGvbE9n0qSRuKGA4Toe3Y89cKCiVtCU/edit?usp=sharing"",""สตูล!N646"")+IMPORTRANGE(""https://docs.google.com/sprea"&amp;"dsheets/d/18T20gbkS_WBjdscyTOV05cvq_JqvqQ17C81mpxf7Ncs/edit?usp=sharing"",""สุราษฎร์ธานี!N646"")"),0)</f>
        <v>0</v>
      </c>
      <c r="O646" s="49">
        <f t="shared" ca="1" si="455"/>
        <v>0</v>
      </c>
      <c r="P646" s="49">
        <f t="shared" ca="1" si="456"/>
        <v>0</v>
      </c>
      <c r="Q646" s="49">
        <f ca="1">IFERROR(__xludf.DUMMYFUNCTION("IMPORTRANGE(""https://docs.google.com/spreadsheets/d/1kKUcYdkIfrgTSj8iHHHB2MD2FAtwyyocFgqGQn6ADyI/edit?usp=sharing"",""กระบี่!Q646"")+IMPORTRANGE(""https://docs.google.com/spreadsheets/d/1GwtLaSlNZkLk7iDqcyZz22giiy40b_usZZBXYciEN1U/edit?usp=sharing"",""ชุ"&amp;"มพร!Q646"")+IMPORTRANGE(""https://docs.google.com/spreadsheets/d/16pAz3pOhQEZBhvFNMa5KGgZS6iKWpsKX0pg6tQmwFpo/edit?usp=sharing"",""ตรัง!Q646"")+IMPORTRANGE(""https://docs.google.com/spreadsheets/d/1Dj4jcHCTV9JXKCaMoheSXS52JE63kDKyG7bPXnFogHk/edit?usp=shar"&amp;"ing"",""นครศรีธรรมราช!Q646"")+IMPORTRANGE(""https://docs.google.com/spreadsheets/d/1iodCdmuK2GR3jzUwk8tpccY2JHQQA-87DLOtJP-ooyU/edit?usp=sharing"",""นราธิวาส!Q646"")+IMPORTRANGE(""https://docs.google.com/spreadsheets/d/1SDNX3JhDdYRuIOsj0Wh2M-Qa_eaXl0NbWmh"&amp;"AOTbfQAs/edit?usp=sharing"",""ปัตตานี!Q646"")+IMPORTRANGE(""https://docs.google.com/spreadsheets/d/16JDLGguT8s5DsGCND1KcwHP_AWR_zDMTqLHPLJUKhaU/edit?usp=sharing"",""พังงา!Q646"")+IMPORTRANGE(""https://docs.google.com/spreadsheets/d/17ht0gPKzzT3PObBL1XJkeR"&amp;"mntBXI7wGjpLV7QorqlTk/edit?usp=sharing"",""พัทลุง!Q646"")+IMPORTRANGE(""https://docs.google.com/spreadsheets/d/1rd4qoM1q_hsgaolqNGfrim9gbsoLxQsda4-vOz5x_BM/edit?usp=sharing"",""ภูเก็ต!Q646"")+IMPORTRANGE(""https://docs.google.com/spreadsheets/d/1woKwKjgoL"&amp;"ssDvPcPeVyezB5izizAn4X1JDrys69n6xI/edit?usp=sharing"",""ยะลา!Q646"")+IMPORTRANGE(""https://docs.google.com/spreadsheets/d/1qfrKjzMhm2HJfxQ-qVlJlJQ25Hne1d0khsySbZyGtPA/edit?usp=sharing"",""ระนอง!Q646"")+IMPORTRANGE(""https://docs.google.com/spreadsheets/d/"&amp;"1IbSCnFOKpZsnFogBHJnL_isstZVaOMnFiIN0fGTPZZw/edit?usp=sharing"",""สงขลา!Q646"")+IMPORTRANGE(""https://docs.google.com/spreadsheets/d/1q9nWasZJ-K8bFGvbE9n0qSRuKGA4Toe3Y89cKCiVtCU/edit?usp=sharing"",""สตูล!Q646"")+IMPORTRANGE(""https://docs.google.com/sprea"&amp;"dsheets/d/18T20gbkS_WBjdscyTOV05cvq_JqvqQ17C81mpxf7Ncs/edit?usp=sharing"",""สุราษฎร์ธานี!Q646"")"),0)</f>
        <v>0</v>
      </c>
      <c r="R646" s="49">
        <f ca="1">IFERROR(__xludf.DUMMYFUNCTION("IMPORTRANGE(""https://docs.google.com/spreadsheets/d/1kKUcYdkIfrgTSj8iHHHB2MD2FAtwyyocFgqGQn6ADyI/edit?usp=sharing"",""กระบี่!R646"")+IMPORTRANGE(""https://docs.google.com/spreadsheets/d/1GwtLaSlNZkLk7iDqcyZz22giiy40b_usZZBXYciEN1U/edit?usp=sharing"",""ชุ"&amp;"มพร!R646"")+IMPORTRANGE(""https://docs.google.com/spreadsheets/d/16pAz3pOhQEZBhvFNMa5KGgZS6iKWpsKX0pg6tQmwFpo/edit?usp=sharing"",""ตรัง!R646"")+IMPORTRANGE(""https://docs.google.com/spreadsheets/d/1Dj4jcHCTV9JXKCaMoheSXS52JE63kDKyG7bPXnFogHk/edit?usp=shar"&amp;"ing"",""นครศรีธรรมราช!R646"")+IMPORTRANGE(""https://docs.google.com/spreadsheets/d/1iodCdmuK2GR3jzUwk8tpccY2JHQQA-87DLOtJP-ooyU/edit?usp=sharing"",""นราธิวาส!R646"")+IMPORTRANGE(""https://docs.google.com/spreadsheets/d/1SDNX3JhDdYRuIOsj0Wh2M-Qa_eaXl0NbWmh"&amp;"AOTbfQAs/edit?usp=sharing"",""ปัตตานี!R646"")+IMPORTRANGE(""https://docs.google.com/spreadsheets/d/16JDLGguT8s5DsGCND1KcwHP_AWR_zDMTqLHPLJUKhaU/edit?usp=sharing"",""พังงา!R646"")+IMPORTRANGE(""https://docs.google.com/spreadsheets/d/17ht0gPKzzT3PObBL1XJkeR"&amp;"mntBXI7wGjpLV7QorqlTk/edit?usp=sharing"",""พัทลุง!R646"")+IMPORTRANGE(""https://docs.google.com/spreadsheets/d/1rd4qoM1q_hsgaolqNGfrim9gbsoLxQsda4-vOz5x_BM/edit?usp=sharing"",""ภูเก็ต!R646"")+IMPORTRANGE(""https://docs.google.com/spreadsheets/d/1woKwKjgoL"&amp;"ssDvPcPeVyezB5izizAn4X1JDrys69n6xI/edit?usp=sharing"",""ยะลา!R646"")+IMPORTRANGE(""https://docs.google.com/spreadsheets/d/1qfrKjzMhm2HJfxQ-qVlJlJQ25Hne1d0khsySbZyGtPA/edit?usp=sharing"",""ระนอง!R646"")+IMPORTRANGE(""https://docs.google.com/spreadsheets/d/"&amp;"1IbSCnFOKpZsnFogBHJnL_isstZVaOMnFiIN0fGTPZZw/edit?usp=sharing"",""สงขลา!R646"")+IMPORTRANGE(""https://docs.google.com/spreadsheets/d/1q9nWasZJ-K8bFGvbE9n0qSRuKGA4Toe3Y89cKCiVtCU/edit?usp=sharing"",""สตูล!R646"")+IMPORTRANGE(""https://docs.google.com/sprea"&amp;"dsheets/d/18T20gbkS_WBjdscyTOV05cvq_JqvqQ17C81mpxf7Ncs/edit?usp=sharing"",""สุราษฎร์ธานี!R646"")"),0)</f>
        <v>0</v>
      </c>
      <c r="S646" s="49">
        <f ca="1">IFERROR(__xludf.DUMMYFUNCTION("IMPORTRANGE(""https://docs.google.com/spreadsheets/d/1kKUcYdkIfrgTSj8iHHHB2MD2FAtwyyocFgqGQn6ADyI/edit?usp=sharing"",""กระบี่!S646"")+IMPORTRANGE(""https://docs.google.com/spreadsheets/d/1GwtLaSlNZkLk7iDqcyZz22giiy40b_usZZBXYciEN1U/edit?usp=sharing"",""ชุ"&amp;"มพร!S646"")+IMPORTRANGE(""https://docs.google.com/spreadsheets/d/16pAz3pOhQEZBhvFNMa5KGgZS6iKWpsKX0pg6tQmwFpo/edit?usp=sharing"",""ตรัง!S646"")+IMPORTRANGE(""https://docs.google.com/spreadsheets/d/1Dj4jcHCTV9JXKCaMoheSXS52JE63kDKyG7bPXnFogHk/edit?usp=shar"&amp;"ing"",""นครศรีธรรมราช!S646"")+IMPORTRANGE(""https://docs.google.com/spreadsheets/d/1iodCdmuK2GR3jzUwk8tpccY2JHQQA-87DLOtJP-ooyU/edit?usp=sharing"",""นราธิวาส!S646"")+IMPORTRANGE(""https://docs.google.com/spreadsheets/d/1SDNX3JhDdYRuIOsj0Wh2M-Qa_eaXl0NbWmh"&amp;"AOTbfQAs/edit?usp=sharing"",""ปัตตานี!S646"")+IMPORTRANGE(""https://docs.google.com/spreadsheets/d/16JDLGguT8s5DsGCND1KcwHP_AWR_zDMTqLHPLJUKhaU/edit?usp=sharing"",""พังงา!S646"")+IMPORTRANGE(""https://docs.google.com/spreadsheets/d/17ht0gPKzzT3PObBL1XJkeR"&amp;"mntBXI7wGjpLV7QorqlTk/edit?usp=sharing"",""พัทลุง!S646"")+IMPORTRANGE(""https://docs.google.com/spreadsheets/d/1rd4qoM1q_hsgaolqNGfrim9gbsoLxQsda4-vOz5x_BM/edit?usp=sharing"",""ภูเก็ต!S646"")+IMPORTRANGE(""https://docs.google.com/spreadsheets/d/1woKwKjgoL"&amp;"ssDvPcPeVyezB5izizAn4X1JDrys69n6xI/edit?usp=sharing"",""ยะลา!S646"")+IMPORTRANGE(""https://docs.google.com/spreadsheets/d/1qfrKjzMhm2HJfxQ-qVlJlJQ25Hne1d0khsySbZyGtPA/edit?usp=sharing"",""ระนอง!S646"")+IMPORTRANGE(""https://docs.google.com/spreadsheets/d/"&amp;"1IbSCnFOKpZsnFogBHJnL_isstZVaOMnFiIN0fGTPZZw/edit?usp=sharing"",""สงขลา!S646"")+IMPORTRANGE(""https://docs.google.com/spreadsheets/d/1q9nWasZJ-K8bFGvbE9n0qSRuKGA4Toe3Y89cKCiVtCU/edit?usp=sharing"",""สตูล!S646"")+IMPORTRANGE(""https://docs.google.com/sprea"&amp;"dsheets/d/18T20gbkS_WBjdscyTOV05cvq_JqvqQ17C81mpxf7Ncs/edit?usp=sharing"",""สุราษฎร์ธานี!S646"")"),0)</f>
        <v>0</v>
      </c>
      <c r="T646" s="49">
        <f t="shared" ca="1" si="458"/>
        <v>0</v>
      </c>
      <c r="U646" s="49">
        <f t="shared" ca="1" si="459"/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47">
        <f ca="1">IFERROR(__xludf.DUMMYFUNCTION("IMPORTRANGE(""https://docs.google.com/spreadsheets/d/1kKUcYdkIfrgTSj8iHHHB2MD2FAtwyyocFgqGQn6ADyI/edit?usp=sharing"",""กระบี่!L647"")+IMPORTRANGE(""https://docs.google.com/spreadsheets/d/1GwtLaSlNZkLk7iDqcyZz22giiy40b_usZZBXYciEN1U/edit?usp=sharing"",""ชุ"&amp;"มพร!L647"")+IMPORTRANGE(""https://docs.google.com/spreadsheets/d/16pAz3pOhQEZBhvFNMa5KGgZS6iKWpsKX0pg6tQmwFpo/edit?usp=sharing"",""ตรัง!L647"")+IMPORTRANGE(""https://docs.google.com/spreadsheets/d/1Dj4jcHCTV9JXKCaMoheSXS52JE63kDKyG7bPXnFogHk/edit?usp=shar"&amp;"ing"",""นครศรีธรรมราช!L647"")+IMPORTRANGE(""https://docs.google.com/spreadsheets/d/1iodCdmuK2GR3jzUwk8tpccY2JHQQA-87DLOtJP-ooyU/edit?usp=sharing"",""นราธิวาส!L647"")+IMPORTRANGE(""https://docs.google.com/spreadsheets/d/1SDNX3JhDdYRuIOsj0Wh2M-Qa_eaXl0NbWmh"&amp;"AOTbfQAs/edit?usp=sharing"",""ปัตตานี!L647"")+IMPORTRANGE(""https://docs.google.com/spreadsheets/d/16JDLGguT8s5DsGCND1KcwHP_AWR_zDMTqLHPLJUKhaU/edit?usp=sharing"",""พังงา!L647"")+IMPORTRANGE(""https://docs.google.com/spreadsheets/d/17ht0gPKzzT3PObBL1XJkeR"&amp;"mntBXI7wGjpLV7QorqlTk/edit?usp=sharing"",""พัทลุง!L647"")+IMPORTRANGE(""https://docs.google.com/spreadsheets/d/1rd4qoM1q_hsgaolqNGfrim9gbsoLxQsda4-vOz5x_BM/edit?usp=sharing"",""ภูเก็ต!L647"")+IMPORTRANGE(""https://docs.google.com/spreadsheets/d/1woKwKjgoL"&amp;"ssDvPcPeVyezB5izizAn4X1JDrys69n6xI/edit?usp=sharing"",""ยะลา!L647"")+IMPORTRANGE(""https://docs.google.com/spreadsheets/d/1qfrKjzMhm2HJfxQ-qVlJlJQ25Hne1d0khsySbZyGtPA/edit?usp=sharing"",""ระนอง!L647"")+IMPORTRANGE(""https://docs.google.com/spreadsheets/d/"&amp;"1IbSCnFOKpZsnFogBHJnL_isstZVaOMnFiIN0fGTPZZw/edit?usp=sharing"",""สงขลา!L647"")+IMPORTRANGE(""https://docs.google.com/spreadsheets/d/1q9nWasZJ-K8bFGvbE9n0qSRuKGA4Toe3Y89cKCiVtCU/edit?usp=sharing"",""สตูล!L647"")+IMPORTRANGE(""https://docs.google.com/sprea"&amp;"dsheets/d/18T20gbkS_WBjdscyTOV05cvq_JqvqQ17C81mpxf7Ncs/edit?usp=sharing"",""สุราษฎร์ธานี!L647"")"),0)</f>
        <v>0</v>
      </c>
      <c r="M647" s="47">
        <f ca="1">IFERROR(__xludf.DUMMYFUNCTION("IMPORTRANGE(""https://docs.google.com/spreadsheets/d/1kKUcYdkIfrgTSj8iHHHB2MD2FAtwyyocFgqGQn6ADyI/edit?usp=sharing"",""กระบี่!M647"")+IMPORTRANGE(""https://docs.google.com/spreadsheets/d/1GwtLaSlNZkLk7iDqcyZz22giiy40b_usZZBXYciEN1U/edit?usp=sharing"",""ชุ"&amp;"มพร!M647"")+IMPORTRANGE(""https://docs.google.com/spreadsheets/d/16pAz3pOhQEZBhvFNMa5KGgZS6iKWpsKX0pg6tQmwFpo/edit?usp=sharing"",""ตรัง!M647"")+IMPORTRANGE(""https://docs.google.com/spreadsheets/d/1Dj4jcHCTV9JXKCaMoheSXS52JE63kDKyG7bPXnFogHk/edit?usp=shar"&amp;"ing"",""นครศรีธรรมราช!M647"")+IMPORTRANGE(""https://docs.google.com/spreadsheets/d/1iodCdmuK2GR3jzUwk8tpccY2JHQQA-87DLOtJP-ooyU/edit?usp=sharing"",""นราธิวาส!M647"")+IMPORTRANGE(""https://docs.google.com/spreadsheets/d/1SDNX3JhDdYRuIOsj0Wh2M-Qa_eaXl0NbWmh"&amp;"AOTbfQAs/edit?usp=sharing"",""ปัตตานี!M647"")+IMPORTRANGE(""https://docs.google.com/spreadsheets/d/16JDLGguT8s5DsGCND1KcwHP_AWR_zDMTqLHPLJUKhaU/edit?usp=sharing"",""พังงา!M647"")+IMPORTRANGE(""https://docs.google.com/spreadsheets/d/17ht0gPKzzT3PObBL1XJkeR"&amp;"mntBXI7wGjpLV7QorqlTk/edit?usp=sharing"",""พัทลุง!M647"")+IMPORTRANGE(""https://docs.google.com/spreadsheets/d/1rd4qoM1q_hsgaolqNGfrim9gbsoLxQsda4-vOz5x_BM/edit?usp=sharing"",""ภูเก็ต!M647"")+IMPORTRANGE(""https://docs.google.com/spreadsheets/d/1woKwKjgoL"&amp;"ssDvPcPeVyezB5izizAn4X1JDrys69n6xI/edit?usp=sharing"",""ยะลา!M647"")+IMPORTRANGE(""https://docs.google.com/spreadsheets/d/1qfrKjzMhm2HJfxQ-qVlJlJQ25Hne1d0khsySbZyGtPA/edit?usp=sharing"",""ระนอง!M647"")+IMPORTRANGE(""https://docs.google.com/spreadsheets/d/"&amp;"1IbSCnFOKpZsnFogBHJnL_isstZVaOMnFiIN0fGTPZZw/edit?usp=sharing"",""สงขลา!M647"")+IMPORTRANGE(""https://docs.google.com/spreadsheets/d/1q9nWasZJ-K8bFGvbE9n0qSRuKGA4Toe3Y89cKCiVtCU/edit?usp=sharing"",""สตูล!M647"")+IMPORTRANGE(""https://docs.google.com/sprea"&amp;"dsheets/d/18T20gbkS_WBjdscyTOV05cvq_JqvqQ17C81mpxf7Ncs/edit?usp=sharing"",""สุราษฎร์ธานี!M647"")"),0)</f>
        <v>0</v>
      </c>
      <c r="N647" s="47">
        <f ca="1">IFERROR(__xludf.DUMMYFUNCTION("IMPORTRANGE(""https://docs.google.com/spreadsheets/d/1kKUcYdkIfrgTSj8iHHHB2MD2FAtwyyocFgqGQn6ADyI/edit?usp=sharing"",""กระบี่!N647"")+IMPORTRANGE(""https://docs.google.com/spreadsheets/d/1GwtLaSlNZkLk7iDqcyZz22giiy40b_usZZBXYciEN1U/edit?usp=sharing"",""ชุ"&amp;"มพร!N647"")+IMPORTRANGE(""https://docs.google.com/spreadsheets/d/16pAz3pOhQEZBhvFNMa5KGgZS6iKWpsKX0pg6tQmwFpo/edit?usp=sharing"",""ตรัง!N647"")+IMPORTRANGE(""https://docs.google.com/spreadsheets/d/1Dj4jcHCTV9JXKCaMoheSXS52JE63kDKyG7bPXnFogHk/edit?usp=shar"&amp;"ing"",""นครศรีธรรมราช!N647"")+IMPORTRANGE(""https://docs.google.com/spreadsheets/d/1iodCdmuK2GR3jzUwk8tpccY2JHQQA-87DLOtJP-ooyU/edit?usp=sharing"",""นราธิวาส!N647"")+IMPORTRANGE(""https://docs.google.com/spreadsheets/d/1SDNX3JhDdYRuIOsj0Wh2M-Qa_eaXl0NbWmh"&amp;"AOTbfQAs/edit?usp=sharing"",""ปัตตานี!N647"")+IMPORTRANGE(""https://docs.google.com/spreadsheets/d/16JDLGguT8s5DsGCND1KcwHP_AWR_zDMTqLHPLJUKhaU/edit?usp=sharing"",""พังงา!N647"")+IMPORTRANGE(""https://docs.google.com/spreadsheets/d/17ht0gPKzzT3PObBL1XJkeR"&amp;"mntBXI7wGjpLV7QorqlTk/edit?usp=sharing"",""พัทลุง!N647"")+IMPORTRANGE(""https://docs.google.com/spreadsheets/d/1rd4qoM1q_hsgaolqNGfrim9gbsoLxQsda4-vOz5x_BM/edit?usp=sharing"",""ภูเก็ต!N647"")+IMPORTRANGE(""https://docs.google.com/spreadsheets/d/1woKwKjgoL"&amp;"ssDvPcPeVyezB5izizAn4X1JDrys69n6xI/edit?usp=sharing"",""ยะลา!N647"")+IMPORTRANGE(""https://docs.google.com/spreadsheets/d/1qfrKjzMhm2HJfxQ-qVlJlJQ25Hne1d0khsySbZyGtPA/edit?usp=sharing"",""ระนอง!N647"")+IMPORTRANGE(""https://docs.google.com/spreadsheets/d/"&amp;"1IbSCnFOKpZsnFogBHJnL_isstZVaOMnFiIN0fGTPZZw/edit?usp=sharing"",""สงขลา!N647"")+IMPORTRANGE(""https://docs.google.com/spreadsheets/d/1q9nWasZJ-K8bFGvbE9n0qSRuKGA4Toe3Y89cKCiVtCU/edit?usp=sharing"",""สตูล!N647"")+IMPORTRANGE(""https://docs.google.com/sprea"&amp;"dsheets/d/18T20gbkS_WBjdscyTOV05cvq_JqvqQ17C81mpxf7Ncs/edit?usp=sharing"",""สุราษฎร์ธานี!N647"")"),0)</f>
        <v>0</v>
      </c>
      <c r="O647" s="47">
        <f t="shared" ca="1" si="455"/>
        <v>0</v>
      </c>
      <c r="P647" s="47">
        <f t="shared" ca="1" si="456"/>
        <v>0</v>
      </c>
      <c r="Q647" s="47">
        <f ca="1">IFERROR(__xludf.DUMMYFUNCTION("IMPORTRANGE(""https://docs.google.com/spreadsheets/d/1kKUcYdkIfrgTSj8iHHHB2MD2FAtwyyocFgqGQn6ADyI/edit?usp=sharing"",""กระบี่!Q647"")+IMPORTRANGE(""https://docs.google.com/spreadsheets/d/1GwtLaSlNZkLk7iDqcyZz22giiy40b_usZZBXYciEN1U/edit?usp=sharing"",""ชุ"&amp;"มพร!Q647"")+IMPORTRANGE(""https://docs.google.com/spreadsheets/d/16pAz3pOhQEZBhvFNMa5KGgZS6iKWpsKX0pg6tQmwFpo/edit?usp=sharing"",""ตรัง!Q647"")+IMPORTRANGE(""https://docs.google.com/spreadsheets/d/1Dj4jcHCTV9JXKCaMoheSXS52JE63kDKyG7bPXnFogHk/edit?usp=shar"&amp;"ing"",""นครศรีธรรมราช!Q647"")+IMPORTRANGE(""https://docs.google.com/spreadsheets/d/1iodCdmuK2GR3jzUwk8tpccY2JHQQA-87DLOtJP-ooyU/edit?usp=sharing"",""นราธิวาส!Q647"")+IMPORTRANGE(""https://docs.google.com/spreadsheets/d/1SDNX3JhDdYRuIOsj0Wh2M-Qa_eaXl0NbWmh"&amp;"AOTbfQAs/edit?usp=sharing"",""ปัตตานี!Q647"")+IMPORTRANGE(""https://docs.google.com/spreadsheets/d/16JDLGguT8s5DsGCND1KcwHP_AWR_zDMTqLHPLJUKhaU/edit?usp=sharing"",""พังงา!Q647"")+IMPORTRANGE(""https://docs.google.com/spreadsheets/d/17ht0gPKzzT3PObBL1XJkeR"&amp;"mntBXI7wGjpLV7QorqlTk/edit?usp=sharing"",""พัทลุง!Q647"")+IMPORTRANGE(""https://docs.google.com/spreadsheets/d/1rd4qoM1q_hsgaolqNGfrim9gbsoLxQsda4-vOz5x_BM/edit?usp=sharing"",""ภูเก็ต!Q647"")+IMPORTRANGE(""https://docs.google.com/spreadsheets/d/1woKwKjgoL"&amp;"ssDvPcPeVyezB5izizAn4X1JDrys69n6xI/edit?usp=sharing"",""ยะลา!Q647"")+IMPORTRANGE(""https://docs.google.com/spreadsheets/d/1qfrKjzMhm2HJfxQ-qVlJlJQ25Hne1d0khsySbZyGtPA/edit?usp=sharing"",""ระนอง!Q647"")+IMPORTRANGE(""https://docs.google.com/spreadsheets/d/"&amp;"1IbSCnFOKpZsnFogBHJnL_isstZVaOMnFiIN0fGTPZZw/edit?usp=sharing"",""สงขลา!Q647"")+IMPORTRANGE(""https://docs.google.com/spreadsheets/d/1q9nWasZJ-K8bFGvbE9n0qSRuKGA4Toe3Y89cKCiVtCU/edit?usp=sharing"",""สตูล!Q647"")+IMPORTRANGE(""https://docs.google.com/sprea"&amp;"dsheets/d/18T20gbkS_WBjdscyTOV05cvq_JqvqQ17C81mpxf7Ncs/edit?usp=sharing"",""สุราษฎร์ธานี!Q647"")"),8200)</f>
        <v>8200</v>
      </c>
      <c r="R647" s="47">
        <f ca="1">IFERROR(__xludf.DUMMYFUNCTION("IMPORTRANGE(""https://docs.google.com/spreadsheets/d/1kKUcYdkIfrgTSj8iHHHB2MD2FAtwyyocFgqGQn6ADyI/edit?usp=sharing"",""กระบี่!R647"")+IMPORTRANGE(""https://docs.google.com/spreadsheets/d/1GwtLaSlNZkLk7iDqcyZz22giiy40b_usZZBXYciEN1U/edit?usp=sharing"",""ชุ"&amp;"มพร!R647"")+IMPORTRANGE(""https://docs.google.com/spreadsheets/d/16pAz3pOhQEZBhvFNMa5KGgZS6iKWpsKX0pg6tQmwFpo/edit?usp=sharing"",""ตรัง!R647"")+IMPORTRANGE(""https://docs.google.com/spreadsheets/d/1Dj4jcHCTV9JXKCaMoheSXS52JE63kDKyG7bPXnFogHk/edit?usp=shar"&amp;"ing"",""นครศรีธรรมราช!R647"")+IMPORTRANGE(""https://docs.google.com/spreadsheets/d/1iodCdmuK2GR3jzUwk8tpccY2JHQQA-87DLOtJP-ooyU/edit?usp=sharing"",""นราธิวาส!R647"")+IMPORTRANGE(""https://docs.google.com/spreadsheets/d/1SDNX3JhDdYRuIOsj0Wh2M-Qa_eaXl0NbWmh"&amp;"AOTbfQAs/edit?usp=sharing"",""ปัตตานี!R647"")+IMPORTRANGE(""https://docs.google.com/spreadsheets/d/16JDLGguT8s5DsGCND1KcwHP_AWR_zDMTqLHPLJUKhaU/edit?usp=sharing"",""พังงา!R647"")+IMPORTRANGE(""https://docs.google.com/spreadsheets/d/17ht0gPKzzT3PObBL1XJkeR"&amp;"mntBXI7wGjpLV7QorqlTk/edit?usp=sharing"",""พัทลุง!R647"")+IMPORTRANGE(""https://docs.google.com/spreadsheets/d/1rd4qoM1q_hsgaolqNGfrim9gbsoLxQsda4-vOz5x_BM/edit?usp=sharing"",""ภูเก็ต!R647"")+IMPORTRANGE(""https://docs.google.com/spreadsheets/d/1woKwKjgoL"&amp;"ssDvPcPeVyezB5izizAn4X1JDrys69n6xI/edit?usp=sharing"",""ยะลา!R647"")+IMPORTRANGE(""https://docs.google.com/spreadsheets/d/1qfrKjzMhm2HJfxQ-qVlJlJQ25Hne1d0khsySbZyGtPA/edit?usp=sharing"",""ระนอง!R647"")+IMPORTRANGE(""https://docs.google.com/spreadsheets/d/"&amp;"1IbSCnFOKpZsnFogBHJnL_isstZVaOMnFiIN0fGTPZZw/edit?usp=sharing"",""สงขลา!R647"")+IMPORTRANGE(""https://docs.google.com/spreadsheets/d/1q9nWasZJ-K8bFGvbE9n0qSRuKGA4Toe3Y89cKCiVtCU/edit?usp=sharing"",""สตูล!R647"")+IMPORTRANGE(""https://docs.google.com/sprea"&amp;"dsheets/d/18T20gbkS_WBjdscyTOV05cvq_JqvqQ17C81mpxf7Ncs/edit?usp=sharing"",""สุราษฎร์ธานี!R647"")"),8200)</f>
        <v>8200</v>
      </c>
      <c r="S647" s="47">
        <f ca="1">IFERROR(__xludf.DUMMYFUNCTION("IMPORTRANGE(""https://docs.google.com/spreadsheets/d/1kKUcYdkIfrgTSj8iHHHB2MD2FAtwyyocFgqGQn6ADyI/edit?usp=sharing"",""กระบี่!S647"")+IMPORTRANGE(""https://docs.google.com/spreadsheets/d/1GwtLaSlNZkLk7iDqcyZz22giiy40b_usZZBXYciEN1U/edit?usp=sharing"",""ชุ"&amp;"มพร!S647"")+IMPORTRANGE(""https://docs.google.com/spreadsheets/d/16pAz3pOhQEZBhvFNMa5KGgZS6iKWpsKX0pg6tQmwFpo/edit?usp=sharing"",""ตรัง!S647"")+IMPORTRANGE(""https://docs.google.com/spreadsheets/d/1Dj4jcHCTV9JXKCaMoheSXS52JE63kDKyG7bPXnFogHk/edit?usp=shar"&amp;"ing"",""นครศรีธรรมราช!S647"")+IMPORTRANGE(""https://docs.google.com/spreadsheets/d/1iodCdmuK2GR3jzUwk8tpccY2JHQQA-87DLOtJP-ooyU/edit?usp=sharing"",""นราธิวาส!S647"")+IMPORTRANGE(""https://docs.google.com/spreadsheets/d/1SDNX3JhDdYRuIOsj0Wh2M-Qa_eaXl0NbWmh"&amp;"AOTbfQAs/edit?usp=sharing"",""ปัตตานี!S647"")+IMPORTRANGE(""https://docs.google.com/spreadsheets/d/16JDLGguT8s5DsGCND1KcwHP_AWR_zDMTqLHPLJUKhaU/edit?usp=sharing"",""พังงา!S647"")+IMPORTRANGE(""https://docs.google.com/spreadsheets/d/17ht0gPKzzT3PObBL1XJkeR"&amp;"mntBXI7wGjpLV7QorqlTk/edit?usp=sharing"",""พัทลุง!S647"")+IMPORTRANGE(""https://docs.google.com/spreadsheets/d/1rd4qoM1q_hsgaolqNGfrim9gbsoLxQsda4-vOz5x_BM/edit?usp=sharing"",""ภูเก็ต!S647"")+IMPORTRANGE(""https://docs.google.com/spreadsheets/d/1woKwKjgoL"&amp;"ssDvPcPeVyezB5izizAn4X1JDrys69n6xI/edit?usp=sharing"",""ยะลา!S647"")+IMPORTRANGE(""https://docs.google.com/spreadsheets/d/1qfrKjzMhm2HJfxQ-qVlJlJQ25Hne1d0khsySbZyGtPA/edit?usp=sharing"",""ระนอง!S647"")+IMPORTRANGE(""https://docs.google.com/spreadsheets/d/"&amp;"1IbSCnFOKpZsnFogBHJnL_isstZVaOMnFiIN0fGTPZZw/edit?usp=sharing"",""สงขลา!S647"")+IMPORTRANGE(""https://docs.google.com/spreadsheets/d/1q9nWasZJ-K8bFGvbE9n0qSRuKGA4Toe3Y89cKCiVtCU/edit?usp=sharing"",""สตูล!S647"")+IMPORTRANGE(""https://docs.google.com/sprea"&amp;"dsheets/d/18T20gbkS_WBjdscyTOV05cvq_JqvqQ17C81mpxf7Ncs/edit?usp=sharing"",""สุราษฎร์ธานี!S647"")"),0)</f>
        <v>0</v>
      </c>
      <c r="T647" s="47">
        <f t="shared" ca="1" si="458"/>
        <v>0</v>
      </c>
      <c r="U647" s="47">
        <f t="shared" ca="1" si="459"/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47">
        <f t="shared" ref="L648:N648" ca="1" si="466">L649+L650</f>
        <v>0</v>
      </c>
      <c r="M648" s="47">
        <f t="shared" ca="1" si="466"/>
        <v>0</v>
      </c>
      <c r="N648" s="47">
        <f t="shared" ca="1" si="466"/>
        <v>0</v>
      </c>
      <c r="O648" s="47">
        <f t="shared" ca="1" si="455"/>
        <v>0</v>
      </c>
      <c r="P648" s="47">
        <f t="shared" ca="1" si="456"/>
        <v>0</v>
      </c>
      <c r="Q648" s="47">
        <f t="shared" ref="Q648:S648" ca="1" si="467">Q649+Q650</f>
        <v>0</v>
      </c>
      <c r="R648" s="47">
        <f t="shared" ca="1" si="467"/>
        <v>0</v>
      </c>
      <c r="S648" s="47">
        <f t="shared" ca="1" si="467"/>
        <v>0</v>
      </c>
      <c r="T648" s="47">
        <f t="shared" ca="1" si="458"/>
        <v>0</v>
      </c>
      <c r="U648" s="47">
        <f t="shared" ca="1" si="459"/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49">
        <f ca="1">IFERROR(__xludf.DUMMYFUNCTION("IMPORTRANGE(""https://docs.google.com/spreadsheets/d/1kKUcYdkIfrgTSj8iHHHB2MD2FAtwyyocFgqGQn6ADyI/edit?usp=sharing"",""กระบี่!L649"")+IMPORTRANGE(""https://docs.google.com/spreadsheets/d/1GwtLaSlNZkLk7iDqcyZz22giiy40b_usZZBXYciEN1U/edit?usp=sharing"",""ชุ"&amp;"มพร!L649"")+IMPORTRANGE(""https://docs.google.com/spreadsheets/d/16pAz3pOhQEZBhvFNMa5KGgZS6iKWpsKX0pg6tQmwFpo/edit?usp=sharing"",""ตรัง!L649"")+IMPORTRANGE(""https://docs.google.com/spreadsheets/d/1Dj4jcHCTV9JXKCaMoheSXS52JE63kDKyG7bPXnFogHk/edit?usp=shar"&amp;"ing"",""นครศรีธรรมราช!L649"")+IMPORTRANGE(""https://docs.google.com/spreadsheets/d/1iodCdmuK2GR3jzUwk8tpccY2JHQQA-87DLOtJP-ooyU/edit?usp=sharing"",""นราธิวาส!L649"")+IMPORTRANGE(""https://docs.google.com/spreadsheets/d/1SDNX3JhDdYRuIOsj0Wh2M-Qa_eaXl0NbWmh"&amp;"AOTbfQAs/edit?usp=sharing"",""ปัตตานี!L649"")+IMPORTRANGE(""https://docs.google.com/spreadsheets/d/16JDLGguT8s5DsGCND1KcwHP_AWR_zDMTqLHPLJUKhaU/edit?usp=sharing"",""พังงา!L649"")+IMPORTRANGE(""https://docs.google.com/spreadsheets/d/17ht0gPKzzT3PObBL1XJkeR"&amp;"mntBXI7wGjpLV7QorqlTk/edit?usp=sharing"",""พัทลุง!L649"")+IMPORTRANGE(""https://docs.google.com/spreadsheets/d/1rd4qoM1q_hsgaolqNGfrim9gbsoLxQsda4-vOz5x_BM/edit?usp=sharing"",""ภูเก็ต!L649"")+IMPORTRANGE(""https://docs.google.com/spreadsheets/d/1woKwKjgoL"&amp;"ssDvPcPeVyezB5izizAn4X1JDrys69n6xI/edit?usp=sharing"",""ยะลา!L649"")+IMPORTRANGE(""https://docs.google.com/spreadsheets/d/1qfrKjzMhm2HJfxQ-qVlJlJQ25Hne1d0khsySbZyGtPA/edit?usp=sharing"",""ระนอง!L649"")+IMPORTRANGE(""https://docs.google.com/spreadsheets/d/"&amp;"1IbSCnFOKpZsnFogBHJnL_isstZVaOMnFiIN0fGTPZZw/edit?usp=sharing"",""สงขลา!L649"")+IMPORTRANGE(""https://docs.google.com/spreadsheets/d/1q9nWasZJ-K8bFGvbE9n0qSRuKGA4Toe3Y89cKCiVtCU/edit?usp=sharing"",""สตูล!L649"")+IMPORTRANGE(""https://docs.google.com/sprea"&amp;"dsheets/d/18T20gbkS_WBjdscyTOV05cvq_JqvqQ17C81mpxf7Ncs/edit?usp=sharing"",""สุราษฎร์ธานี!L649"")"),0)</f>
        <v>0</v>
      </c>
      <c r="M649" s="49">
        <f ca="1">IFERROR(__xludf.DUMMYFUNCTION("IMPORTRANGE(""https://docs.google.com/spreadsheets/d/1kKUcYdkIfrgTSj8iHHHB2MD2FAtwyyocFgqGQn6ADyI/edit?usp=sharing"",""กระบี่!M649"")+IMPORTRANGE(""https://docs.google.com/spreadsheets/d/1GwtLaSlNZkLk7iDqcyZz22giiy40b_usZZBXYciEN1U/edit?usp=sharing"",""ชุ"&amp;"มพร!M649"")+IMPORTRANGE(""https://docs.google.com/spreadsheets/d/16pAz3pOhQEZBhvFNMa5KGgZS6iKWpsKX0pg6tQmwFpo/edit?usp=sharing"",""ตรัง!M649"")+IMPORTRANGE(""https://docs.google.com/spreadsheets/d/1Dj4jcHCTV9JXKCaMoheSXS52JE63kDKyG7bPXnFogHk/edit?usp=shar"&amp;"ing"",""นครศรีธรรมราช!M649"")+IMPORTRANGE(""https://docs.google.com/spreadsheets/d/1iodCdmuK2GR3jzUwk8tpccY2JHQQA-87DLOtJP-ooyU/edit?usp=sharing"",""นราธิวาส!M649"")+IMPORTRANGE(""https://docs.google.com/spreadsheets/d/1SDNX3JhDdYRuIOsj0Wh2M-Qa_eaXl0NbWmh"&amp;"AOTbfQAs/edit?usp=sharing"",""ปัตตานี!M649"")+IMPORTRANGE(""https://docs.google.com/spreadsheets/d/16JDLGguT8s5DsGCND1KcwHP_AWR_zDMTqLHPLJUKhaU/edit?usp=sharing"",""พังงา!M649"")+IMPORTRANGE(""https://docs.google.com/spreadsheets/d/17ht0gPKzzT3PObBL1XJkeR"&amp;"mntBXI7wGjpLV7QorqlTk/edit?usp=sharing"",""พัทลุง!M649"")+IMPORTRANGE(""https://docs.google.com/spreadsheets/d/1rd4qoM1q_hsgaolqNGfrim9gbsoLxQsda4-vOz5x_BM/edit?usp=sharing"",""ภูเก็ต!M649"")+IMPORTRANGE(""https://docs.google.com/spreadsheets/d/1woKwKjgoL"&amp;"ssDvPcPeVyezB5izizAn4X1JDrys69n6xI/edit?usp=sharing"",""ยะลา!M649"")+IMPORTRANGE(""https://docs.google.com/spreadsheets/d/1qfrKjzMhm2HJfxQ-qVlJlJQ25Hne1d0khsySbZyGtPA/edit?usp=sharing"",""ระนอง!M649"")+IMPORTRANGE(""https://docs.google.com/spreadsheets/d/"&amp;"1IbSCnFOKpZsnFogBHJnL_isstZVaOMnFiIN0fGTPZZw/edit?usp=sharing"",""สงขลา!M649"")+IMPORTRANGE(""https://docs.google.com/spreadsheets/d/1q9nWasZJ-K8bFGvbE9n0qSRuKGA4Toe3Y89cKCiVtCU/edit?usp=sharing"",""สตูล!M649"")+IMPORTRANGE(""https://docs.google.com/sprea"&amp;"dsheets/d/18T20gbkS_WBjdscyTOV05cvq_JqvqQ17C81mpxf7Ncs/edit?usp=sharing"",""สุราษฎร์ธานี!M649"")"),0)</f>
        <v>0</v>
      </c>
      <c r="N649" s="49">
        <f ca="1">IFERROR(__xludf.DUMMYFUNCTION("IMPORTRANGE(""https://docs.google.com/spreadsheets/d/1kKUcYdkIfrgTSj8iHHHB2MD2FAtwyyocFgqGQn6ADyI/edit?usp=sharing"",""กระบี่!N649"")+IMPORTRANGE(""https://docs.google.com/spreadsheets/d/1GwtLaSlNZkLk7iDqcyZz22giiy40b_usZZBXYciEN1U/edit?usp=sharing"",""ชุ"&amp;"มพร!N649"")+IMPORTRANGE(""https://docs.google.com/spreadsheets/d/16pAz3pOhQEZBhvFNMa5KGgZS6iKWpsKX0pg6tQmwFpo/edit?usp=sharing"",""ตรัง!N649"")+IMPORTRANGE(""https://docs.google.com/spreadsheets/d/1Dj4jcHCTV9JXKCaMoheSXS52JE63kDKyG7bPXnFogHk/edit?usp=shar"&amp;"ing"",""นครศรีธรรมราช!N649"")+IMPORTRANGE(""https://docs.google.com/spreadsheets/d/1iodCdmuK2GR3jzUwk8tpccY2JHQQA-87DLOtJP-ooyU/edit?usp=sharing"",""นราธิวาส!N649"")+IMPORTRANGE(""https://docs.google.com/spreadsheets/d/1SDNX3JhDdYRuIOsj0Wh2M-Qa_eaXl0NbWmh"&amp;"AOTbfQAs/edit?usp=sharing"",""ปัตตานี!N649"")+IMPORTRANGE(""https://docs.google.com/spreadsheets/d/16JDLGguT8s5DsGCND1KcwHP_AWR_zDMTqLHPLJUKhaU/edit?usp=sharing"",""พังงา!N649"")+IMPORTRANGE(""https://docs.google.com/spreadsheets/d/17ht0gPKzzT3PObBL1XJkeR"&amp;"mntBXI7wGjpLV7QorqlTk/edit?usp=sharing"",""พัทลุง!N649"")+IMPORTRANGE(""https://docs.google.com/spreadsheets/d/1rd4qoM1q_hsgaolqNGfrim9gbsoLxQsda4-vOz5x_BM/edit?usp=sharing"",""ภูเก็ต!N649"")+IMPORTRANGE(""https://docs.google.com/spreadsheets/d/1woKwKjgoL"&amp;"ssDvPcPeVyezB5izizAn4X1JDrys69n6xI/edit?usp=sharing"",""ยะลา!N649"")+IMPORTRANGE(""https://docs.google.com/spreadsheets/d/1qfrKjzMhm2HJfxQ-qVlJlJQ25Hne1d0khsySbZyGtPA/edit?usp=sharing"",""ระนอง!N649"")+IMPORTRANGE(""https://docs.google.com/spreadsheets/d/"&amp;"1IbSCnFOKpZsnFogBHJnL_isstZVaOMnFiIN0fGTPZZw/edit?usp=sharing"",""สงขลา!N649"")+IMPORTRANGE(""https://docs.google.com/spreadsheets/d/1q9nWasZJ-K8bFGvbE9n0qSRuKGA4Toe3Y89cKCiVtCU/edit?usp=sharing"",""สตูล!N649"")+IMPORTRANGE(""https://docs.google.com/sprea"&amp;"dsheets/d/18T20gbkS_WBjdscyTOV05cvq_JqvqQ17C81mpxf7Ncs/edit?usp=sharing"",""สุราษฎร์ธานี!N649"")"),0)</f>
        <v>0</v>
      </c>
      <c r="O649" s="49">
        <f t="shared" ca="1" si="455"/>
        <v>0</v>
      </c>
      <c r="P649" s="49">
        <f t="shared" ca="1" si="456"/>
        <v>0</v>
      </c>
      <c r="Q649" s="49">
        <f ca="1">IFERROR(__xludf.DUMMYFUNCTION("IMPORTRANGE(""https://docs.google.com/spreadsheets/d/1kKUcYdkIfrgTSj8iHHHB2MD2FAtwyyocFgqGQn6ADyI/edit?usp=sharing"",""กระบี่!Q649"")+IMPORTRANGE(""https://docs.google.com/spreadsheets/d/1GwtLaSlNZkLk7iDqcyZz22giiy40b_usZZBXYciEN1U/edit?usp=sharing"",""ชุ"&amp;"มพร!Q649"")+IMPORTRANGE(""https://docs.google.com/spreadsheets/d/16pAz3pOhQEZBhvFNMa5KGgZS6iKWpsKX0pg6tQmwFpo/edit?usp=sharing"",""ตรัง!Q649"")+IMPORTRANGE(""https://docs.google.com/spreadsheets/d/1Dj4jcHCTV9JXKCaMoheSXS52JE63kDKyG7bPXnFogHk/edit?usp=shar"&amp;"ing"",""นครศรีธรรมราช!Q649"")+IMPORTRANGE(""https://docs.google.com/spreadsheets/d/1iodCdmuK2GR3jzUwk8tpccY2JHQQA-87DLOtJP-ooyU/edit?usp=sharing"",""นราธิวาส!Q649"")+IMPORTRANGE(""https://docs.google.com/spreadsheets/d/1SDNX3JhDdYRuIOsj0Wh2M-Qa_eaXl0NbWmh"&amp;"AOTbfQAs/edit?usp=sharing"",""ปัตตานี!Q649"")+IMPORTRANGE(""https://docs.google.com/spreadsheets/d/16JDLGguT8s5DsGCND1KcwHP_AWR_zDMTqLHPLJUKhaU/edit?usp=sharing"",""พังงา!Q649"")+IMPORTRANGE(""https://docs.google.com/spreadsheets/d/17ht0gPKzzT3PObBL1XJkeR"&amp;"mntBXI7wGjpLV7QorqlTk/edit?usp=sharing"",""พัทลุง!Q649"")+IMPORTRANGE(""https://docs.google.com/spreadsheets/d/1rd4qoM1q_hsgaolqNGfrim9gbsoLxQsda4-vOz5x_BM/edit?usp=sharing"",""ภูเก็ต!Q649"")+IMPORTRANGE(""https://docs.google.com/spreadsheets/d/1woKwKjgoL"&amp;"ssDvPcPeVyezB5izizAn4X1JDrys69n6xI/edit?usp=sharing"",""ยะลา!Q649"")+IMPORTRANGE(""https://docs.google.com/spreadsheets/d/1qfrKjzMhm2HJfxQ-qVlJlJQ25Hne1d0khsySbZyGtPA/edit?usp=sharing"",""ระนอง!Q649"")+IMPORTRANGE(""https://docs.google.com/spreadsheets/d/"&amp;"1IbSCnFOKpZsnFogBHJnL_isstZVaOMnFiIN0fGTPZZw/edit?usp=sharing"",""สงขลา!Q649"")+IMPORTRANGE(""https://docs.google.com/spreadsheets/d/1q9nWasZJ-K8bFGvbE9n0qSRuKGA4Toe3Y89cKCiVtCU/edit?usp=sharing"",""สตูล!Q649"")+IMPORTRANGE(""https://docs.google.com/sprea"&amp;"dsheets/d/18T20gbkS_WBjdscyTOV05cvq_JqvqQ17C81mpxf7Ncs/edit?usp=sharing"",""สุราษฎร์ธานี!Q649"")"),0)</f>
        <v>0</v>
      </c>
      <c r="R649" s="49">
        <f ca="1">IFERROR(__xludf.DUMMYFUNCTION("IMPORTRANGE(""https://docs.google.com/spreadsheets/d/1kKUcYdkIfrgTSj8iHHHB2MD2FAtwyyocFgqGQn6ADyI/edit?usp=sharing"",""กระบี่!R649"")+IMPORTRANGE(""https://docs.google.com/spreadsheets/d/1GwtLaSlNZkLk7iDqcyZz22giiy40b_usZZBXYciEN1U/edit?usp=sharing"",""ชุ"&amp;"มพร!R649"")+IMPORTRANGE(""https://docs.google.com/spreadsheets/d/16pAz3pOhQEZBhvFNMa5KGgZS6iKWpsKX0pg6tQmwFpo/edit?usp=sharing"",""ตรัง!R649"")+IMPORTRANGE(""https://docs.google.com/spreadsheets/d/1Dj4jcHCTV9JXKCaMoheSXS52JE63kDKyG7bPXnFogHk/edit?usp=shar"&amp;"ing"",""นครศรีธรรมราช!R649"")+IMPORTRANGE(""https://docs.google.com/spreadsheets/d/1iodCdmuK2GR3jzUwk8tpccY2JHQQA-87DLOtJP-ooyU/edit?usp=sharing"",""นราธิวาส!R649"")+IMPORTRANGE(""https://docs.google.com/spreadsheets/d/1SDNX3JhDdYRuIOsj0Wh2M-Qa_eaXl0NbWmh"&amp;"AOTbfQAs/edit?usp=sharing"",""ปัตตานี!R649"")+IMPORTRANGE(""https://docs.google.com/spreadsheets/d/16JDLGguT8s5DsGCND1KcwHP_AWR_zDMTqLHPLJUKhaU/edit?usp=sharing"",""พังงา!R649"")+IMPORTRANGE(""https://docs.google.com/spreadsheets/d/17ht0gPKzzT3PObBL1XJkeR"&amp;"mntBXI7wGjpLV7QorqlTk/edit?usp=sharing"",""พัทลุง!R649"")+IMPORTRANGE(""https://docs.google.com/spreadsheets/d/1rd4qoM1q_hsgaolqNGfrim9gbsoLxQsda4-vOz5x_BM/edit?usp=sharing"",""ภูเก็ต!R649"")+IMPORTRANGE(""https://docs.google.com/spreadsheets/d/1woKwKjgoL"&amp;"ssDvPcPeVyezB5izizAn4X1JDrys69n6xI/edit?usp=sharing"",""ยะลา!R649"")+IMPORTRANGE(""https://docs.google.com/spreadsheets/d/1qfrKjzMhm2HJfxQ-qVlJlJQ25Hne1d0khsySbZyGtPA/edit?usp=sharing"",""ระนอง!R649"")+IMPORTRANGE(""https://docs.google.com/spreadsheets/d/"&amp;"1IbSCnFOKpZsnFogBHJnL_isstZVaOMnFiIN0fGTPZZw/edit?usp=sharing"",""สงขลา!R649"")+IMPORTRANGE(""https://docs.google.com/spreadsheets/d/1q9nWasZJ-K8bFGvbE9n0qSRuKGA4Toe3Y89cKCiVtCU/edit?usp=sharing"",""สตูล!R649"")+IMPORTRANGE(""https://docs.google.com/sprea"&amp;"dsheets/d/18T20gbkS_WBjdscyTOV05cvq_JqvqQ17C81mpxf7Ncs/edit?usp=sharing"",""สุราษฎร์ธานี!R649"")"),0)</f>
        <v>0</v>
      </c>
      <c r="S649" s="49">
        <f ca="1">IFERROR(__xludf.DUMMYFUNCTION("IMPORTRANGE(""https://docs.google.com/spreadsheets/d/1kKUcYdkIfrgTSj8iHHHB2MD2FAtwyyocFgqGQn6ADyI/edit?usp=sharing"",""กระบี่!S649"")+IMPORTRANGE(""https://docs.google.com/spreadsheets/d/1GwtLaSlNZkLk7iDqcyZz22giiy40b_usZZBXYciEN1U/edit?usp=sharing"",""ชุ"&amp;"มพร!S649"")+IMPORTRANGE(""https://docs.google.com/spreadsheets/d/16pAz3pOhQEZBhvFNMa5KGgZS6iKWpsKX0pg6tQmwFpo/edit?usp=sharing"",""ตรัง!S649"")+IMPORTRANGE(""https://docs.google.com/spreadsheets/d/1Dj4jcHCTV9JXKCaMoheSXS52JE63kDKyG7bPXnFogHk/edit?usp=shar"&amp;"ing"",""นครศรีธรรมราช!S649"")+IMPORTRANGE(""https://docs.google.com/spreadsheets/d/1iodCdmuK2GR3jzUwk8tpccY2JHQQA-87DLOtJP-ooyU/edit?usp=sharing"",""นราธิวาส!S649"")+IMPORTRANGE(""https://docs.google.com/spreadsheets/d/1SDNX3JhDdYRuIOsj0Wh2M-Qa_eaXl0NbWmh"&amp;"AOTbfQAs/edit?usp=sharing"",""ปัตตานี!S649"")+IMPORTRANGE(""https://docs.google.com/spreadsheets/d/16JDLGguT8s5DsGCND1KcwHP_AWR_zDMTqLHPLJUKhaU/edit?usp=sharing"",""พังงา!S649"")+IMPORTRANGE(""https://docs.google.com/spreadsheets/d/17ht0gPKzzT3PObBL1XJkeR"&amp;"mntBXI7wGjpLV7QorqlTk/edit?usp=sharing"",""พัทลุง!S649"")+IMPORTRANGE(""https://docs.google.com/spreadsheets/d/1rd4qoM1q_hsgaolqNGfrim9gbsoLxQsda4-vOz5x_BM/edit?usp=sharing"",""ภูเก็ต!S649"")+IMPORTRANGE(""https://docs.google.com/spreadsheets/d/1woKwKjgoL"&amp;"ssDvPcPeVyezB5izizAn4X1JDrys69n6xI/edit?usp=sharing"",""ยะลา!S649"")+IMPORTRANGE(""https://docs.google.com/spreadsheets/d/1qfrKjzMhm2HJfxQ-qVlJlJQ25Hne1d0khsySbZyGtPA/edit?usp=sharing"",""ระนอง!S649"")+IMPORTRANGE(""https://docs.google.com/spreadsheets/d/"&amp;"1IbSCnFOKpZsnFogBHJnL_isstZVaOMnFiIN0fGTPZZw/edit?usp=sharing"",""สงขลา!S649"")+IMPORTRANGE(""https://docs.google.com/spreadsheets/d/1q9nWasZJ-K8bFGvbE9n0qSRuKGA4Toe3Y89cKCiVtCU/edit?usp=sharing"",""สตูล!S649"")+IMPORTRANGE(""https://docs.google.com/sprea"&amp;"dsheets/d/18T20gbkS_WBjdscyTOV05cvq_JqvqQ17C81mpxf7Ncs/edit?usp=sharing"",""สุราษฎร์ธานี!S649"")"),0)</f>
        <v>0</v>
      </c>
      <c r="T649" s="49">
        <f t="shared" ca="1" si="458"/>
        <v>0</v>
      </c>
      <c r="U649" s="49">
        <f t="shared" ca="1" si="459"/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47">
        <f ca="1">IFERROR(__xludf.DUMMYFUNCTION("IMPORTRANGE(""https://docs.google.com/spreadsheets/d/1kKUcYdkIfrgTSj8iHHHB2MD2FAtwyyocFgqGQn6ADyI/edit?usp=sharing"",""กระบี่!L650"")+IMPORTRANGE(""https://docs.google.com/spreadsheets/d/1GwtLaSlNZkLk7iDqcyZz22giiy40b_usZZBXYciEN1U/edit?usp=sharing"",""ชุ"&amp;"มพร!L650"")+IMPORTRANGE(""https://docs.google.com/spreadsheets/d/16pAz3pOhQEZBhvFNMa5KGgZS6iKWpsKX0pg6tQmwFpo/edit?usp=sharing"",""ตรัง!L650"")+IMPORTRANGE(""https://docs.google.com/spreadsheets/d/1Dj4jcHCTV9JXKCaMoheSXS52JE63kDKyG7bPXnFogHk/edit?usp=shar"&amp;"ing"",""นครศรีธรรมราช!L650"")+IMPORTRANGE(""https://docs.google.com/spreadsheets/d/1iodCdmuK2GR3jzUwk8tpccY2JHQQA-87DLOtJP-ooyU/edit?usp=sharing"",""นราธิวาส!L650"")+IMPORTRANGE(""https://docs.google.com/spreadsheets/d/1SDNX3JhDdYRuIOsj0Wh2M-Qa_eaXl0NbWmh"&amp;"AOTbfQAs/edit?usp=sharing"",""ปัตตานี!L650"")+IMPORTRANGE(""https://docs.google.com/spreadsheets/d/16JDLGguT8s5DsGCND1KcwHP_AWR_zDMTqLHPLJUKhaU/edit?usp=sharing"",""พังงา!L650"")+IMPORTRANGE(""https://docs.google.com/spreadsheets/d/17ht0gPKzzT3PObBL1XJkeR"&amp;"mntBXI7wGjpLV7QorqlTk/edit?usp=sharing"",""พัทลุง!L650"")+IMPORTRANGE(""https://docs.google.com/spreadsheets/d/1rd4qoM1q_hsgaolqNGfrim9gbsoLxQsda4-vOz5x_BM/edit?usp=sharing"",""ภูเก็ต!L650"")+IMPORTRANGE(""https://docs.google.com/spreadsheets/d/1woKwKjgoL"&amp;"ssDvPcPeVyezB5izizAn4X1JDrys69n6xI/edit?usp=sharing"",""ยะลา!L650"")+IMPORTRANGE(""https://docs.google.com/spreadsheets/d/1qfrKjzMhm2HJfxQ-qVlJlJQ25Hne1d0khsySbZyGtPA/edit?usp=sharing"",""ระนอง!L650"")+IMPORTRANGE(""https://docs.google.com/spreadsheets/d/"&amp;"1IbSCnFOKpZsnFogBHJnL_isstZVaOMnFiIN0fGTPZZw/edit?usp=sharing"",""สงขลา!L650"")+IMPORTRANGE(""https://docs.google.com/spreadsheets/d/1q9nWasZJ-K8bFGvbE9n0qSRuKGA4Toe3Y89cKCiVtCU/edit?usp=sharing"",""สตูล!L650"")+IMPORTRANGE(""https://docs.google.com/sprea"&amp;"dsheets/d/18T20gbkS_WBjdscyTOV05cvq_JqvqQ17C81mpxf7Ncs/edit?usp=sharing"",""สุราษฎร์ธานี!L650"")"),0)</f>
        <v>0</v>
      </c>
      <c r="M650" s="47">
        <f ca="1">IFERROR(__xludf.DUMMYFUNCTION("IMPORTRANGE(""https://docs.google.com/spreadsheets/d/1kKUcYdkIfrgTSj8iHHHB2MD2FAtwyyocFgqGQn6ADyI/edit?usp=sharing"",""กระบี่!M650"")+IMPORTRANGE(""https://docs.google.com/spreadsheets/d/1GwtLaSlNZkLk7iDqcyZz22giiy40b_usZZBXYciEN1U/edit?usp=sharing"",""ชุ"&amp;"มพร!M650"")+IMPORTRANGE(""https://docs.google.com/spreadsheets/d/16pAz3pOhQEZBhvFNMa5KGgZS6iKWpsKX0pg6tQmwFpo/edit?usp=sharing"",""ตรัง!M650"")+IMPORTRANGE(""https://docs.google.com/spreadsheets/d/1Dj4jcHCTV9JXKCaMoheSXS52JE63kDKyG7bPXnFogHk/edit?usp=shar"&amp;"ing"",""นครศรีธรรมราช!M650"")+IMPORTRANGE(""https://docs.google.com/spreadsheets/d/1iodCdmuK2GR3jzUwk8tpccY2JHQQA-87DLOtJP-ooyU/edit?usp=sharing"",""นราธิวาส!M650"")+IMPORTRANGE(""https://docs.google.com/spreadsheets/d/1SDNX3JhDdYRuIOsj0Wh2M-Qa_eaXl0NbWmh"&amp;"AOTbfQAs/edit?usp=sharing"",""ปัตตานี!M650"")+IMPORTRANGE(""https://docs.google.com/spreadsheets/d/16JDLGguT8s5DsGCND1KcwHP_AWR_zDMTqLHPLJUKhaU/edit?usp=sharing"",""พังงา!M650"")+IMPORTRANGE(""https://docs.google.com/spreadsheets/d/17ht0gPKzzT3PObBL1XJkeR"&amp;"mntBXI7wGjpLV7QorqlTk/edit?usp=sharing"",""พัทลุง!M650"")+IMPORTRANGE(""https://docs.google.com/spreadsheets/d/1rd4qoM1q_hsgaolqNGfrim9gbsoLxQsda4-vOz5x_BM/edit?usp=sharing"",""ภูเก็ต!M650"")+IMPORTRANGE(""https://docs.google.com/spreadsheets/d/1woKwKjgoL"&amp;"ssDvPcPeVyezB5izizAn4X1JDrys69n6xI/edit?usp=sharing"",""ยะลา!M650"")+IMPORTRANGE(""https://docs.google.com/spreadsheets/d/1qfrKjzMhm2HJfxQ-qVlJlJQ25Hne1d0khsySbZyGtPA/edit?usp=sharing"",""ระนอง!M650"")+IMPORTRANGE(""https://docs.google.com/spreadsheets/d/"&amp;"1IbSCnFOKpZsnFogBHJnL_isstZVaOMnFiIN0fGTPZZw/edit?usp=sharing"",""สงขลา!M650"")+IMPORTRANGE(""https://docs.google.com/spreadsheets/d/1q9nWasZJ-K8bFGvbE9n0qSRuKGA4Toe3Y89cKCiVtCU/edit?usp=sharing"",""สตูล!M650"")+IMPORTRANGE(""https://docs.google.com/sprea"&amp;"dsheets/d/18T20gbkS_WBjdscyTOV05cvq_JqvqQ17C81mpxf7Ncs/edit?usp=sharing"",""สุราษฎร์ธานี!M650"")"),0)</f>
        <v>0</v>
      </c>
      <c r="N650" s="47">
        <f ca="1">IFERROR(__xludf.DUMMYFUNCTION("IMPORTRANGE(""https://docs.google.com/spreadsheets/d/1kKUcYdkIfrgTSj8iHHHB2MD2FAtwyyocFgqGQn6ADyI/edit?usp=sharing"",""กระบี่!N650"")+IMPORTRANGE(""https://docs.google.com/spreadsheets/d/1GwtLaSlNZkLk7iDqcyZz22giiy40b_usZZBXYciEN1U/edit?usp=sharing"",""ชุ"&amp;"มพร!N650"")+IMPORTRANGE(""https://docs.google.com/spreadsheets/d/16pAz3pOhQEZBhvFNMa5KGgZS6iKWpsKX0pg6tQmwFpo/edit?usp=sharing"",""ตรัง!N650"")+IMPORTRANGE(""https://docs.google.com/spreadsheets/d/1Dj4jcHCTV9JXKCaMoheSXS52JE63kDKyG7bPXnFogHk/edit?usp=shar"&amp;"ing"",""นครศรีธรรมราช!N650"")+IMPORTRANGE(""https://docs.google.com/spreadsheets/d/1iodCdmuK2GR3jzUwk8tpccY2JHQQA-87DLOtJP-ooyU/edit?usp=sharing"",""นราธิวาส!N650"")+IMPORTRANGE(""https://docs.google.com/spreadsheets/d/1SDNX3JhDdYRuIOsj0Wh2M-Qa_eaXl0NbWmh"&amp;"AOTbfQAs/edit?usp=sharing"",""ปัตตานี!N650"")+IMPORTRANGE(""https://docs.google.com/spreadsheets/d/16JDLGguT8s5DsGCND1KcwHP_AWR_zDMTqLHPLJUKhaU/edit?usp=sharing"",""พังงา!N650"")+IMPORTRANGE(""https://docs.google.com/spreadsheets/d/17ht0gPKzzT3PObBL1XJkeR"&amp;"mntBXI7wGjpLV7QorqlTk/edit?usp=sharing"",""พัทลุง!N650"")+IMPORTRANGE(""https://docs.google.com/spreadsheets/d/1rd4qoM1q_hsgaolqNGfrim9gbsoLxQsda4-vOz5x_BM/edit?usp=sharing"",""ภูเก็ต!N650"")+IMPORTRANGE(""https://docs.google.com/spreadsheets/d/1woKwKjgoL"&amp;"ssDvPcPeVyezB5izizAn4X1JDrys69n6xI/edit?usp=sharing"",""ยะลา!N650"")+IMPORTRANGE(""https://docs.google.com/spreadsheets/d/1qfrKjzMhm2HJfxQ-qVlJlJQ25Hne1d0khsySbZyGtPA/edit?usp=sharing"",""ระนอง!N650"")+IMPORTRANGE(""https://docs.google.com/spreadsheets/d/"&amp;"1IbSCnFOKpZsnFogBHJnL_isstZVaOMnFiIN0fGTPZZw/edit?usp=sharing"",""สงขลา!N650"")+IMPORTRANGE(""https://docs.google.com/spreadsheets/d/1q9nWasZJ-K8bFGvbE9n0qSRuKGA4Toe3Y89cKCiVtCU/edit?usp=sharing"",""สตูล!N650"")+IMPORTRANGE(""https://docs.google.com/sprea"&amp;"dsheets/d/18T20gbkS_WBjdscyTOV05cvq_JqvqQ17C81mpxf7Ncs/edit?usp=sharing"",""สุราษฎร์ธานี!N650"")"),0)</f>
        <v>0</v>
      </c>
      <c r="O650" s="47">
        <f t="shared" ca="1" si="455"/>
        <v>0</v>
      </c>
      <c r="P650" s="47">
        <f t="shared" ca="1" si="456"/>
        <v>0</v>
      </c>
      <c r="Q650" s="47">
        <f ca="1">IFERROR(__xludf.DUMMYFUNCTION("IMPORTRANGE(""https://docs.google.com/spreadsheets/d/1kKUcYdkIfrgTSj8iHHHB2MD2FAtwyyocFgqGQn6ADyI/edit?usp=sharing"",""กระบี่!Q650"")+IMPORTRANGE(""https://docs.google.com/spreadsheets/d/1GwtLaSlNZkLk7iDqcyZz22giiy40b_usZZBXYciEN1U/edit?usp=sharing"",""ชุ"&amp;"มพร!Q650"")+IMPORTRANGE(""https://docs.google.com/spreadsheets/d/16pAz3pOhQEZBhvFNMa5KGgZS6iKWpsKX0pg6tQmwFpo/edit?usp=sharing"",""ตรัง!Q650"")+IMPORTRANGE(""https://docs.google.com/spreadsheets/d/1Dj4jcHCTV9JXKCaMoheSXS52JE63kDKyG7bPXnFogHk/edit?usp=shar"&amp;"ing"",""นครศรีธรรมราช!Q650"")+IMPORTRANGE(""https://docs.google.com/spreadsheets/d/1iodCdmuK2GR3jzUwk8tpccY2JHQQA-87DLOtJP-ooyU/edit?usp=sharing"",""นราธิวาส!Q650"")+IMPORTRANGE(""https://docs.google.com/spreadsheets/d/1SDNX3JhDdYRuIOsj0Wh2M-Qa_eaXl0NbWmh"&amp;"AOTbfQAs/edit?usp=sharing"",""ปัตตานี!Q650"")+IMPORTRANGE(""https://docs.google.com/spreadsheets/d/16JDLGguT8s5DsGCND1KcwHP_AWR_zDMTqLHPLJUKhaU/edit?usp=sharing"",""พังงา!Q650"")+IMPORTRANGE(""https://docs.google.com/spreadsheets/d/17ht0gPKzzT3PObBL1XJkeR"&amp;"mntBXI7wGjpLV7QorqlTk/edit?usp=sharing"",""พัทลุง!Q650"")+IMPORTRANGE(""https://docs.google.com/spreadsheets/d/1rd4qoM1q_hsgaolqNGfrim9gbsoLxQsda4-vOz5x_BM/edit?usp=sharing"",""ภูเก็ต!Q650"")+IMPORTRANGE(""https://docs.google.com/spreadsheets/d/1woKwKjgoL"&amp;"ssDvPcPeVyezB5izizAn4X1JDrys69n6xI/edit?usp=sharing"",""ยะลา!Q650"")+IMPORTRANGE(""https://docs.google.com/spreadsheets/d/1qfrKjzMhm2HJfxQ-qVlJlJQ25Hne1d0khsySbZyGtPA/edit?usp=sharing"",""ระนอง!Q650"")+IMPORTRANGE(""https://docs.google.com/spreadsheets/d/"&amp;"1IbSCnFOKpZsnFogBHJnL_isstZVaOMnFiIN0fGTPZZw/edit?usp=sharing"",""สงขลา!Q650"")+IMPORTRANGE(""https://docs.google.com/spreadsheets/d/1q9nWasZJ-K8bFGvbE9n0qSRuKGA4Toe3Y89cKCiVtCU/edit?usp=sharing"",""สตูล!Q650"")+IMPORTRANGE(""https://docs.google.com/sprea"&amp;"dsheets/d/18T20gbkS_WBjdscyTOV05cvq_JqvqQ17C81mpxf7Ncs/edit?usp=sharing"",""สุราษฎร์ธานี!Q650"")"),0)</f>
        <v>0</v>
      </c>
      <c r="R650" s="47">
        <f ca="1">IFERROR(__xludf.DUMMYFUNCTION("IMPORTRANGE(""https://docs.google.com/spreadsheets/d/1kKUcYdkIfrgTSj8iHHHB2MD2FAtwyyocFgqGQn6ADyI/edit?usp=sharing"",""กระบี่!R650"")+IMPORTRANGE(""https://docs.google.com/spreadsheets/d/1GwtLaSlNZkLk7iDqcyZz22giiy40b_usZZBXYciEN1U/edit?usp=sharing"",""ชุ"&amp;"มพร!R650"")+IMPORTRANGE(""https://docs.google.com/spreadsheets/d/16pAz3pOhQEZBhvFNMa5KGgZS6iKWpsKX0pg6tQmwFpo/edit?usp=sharing"",""ตรัง!R650"")+IMPORTRANGE(""https://docs.google.com/spreadsheets/d/1Dj4jcHCTV9JXKCaMoheSXS52JE63kDKyG7bPXnFogHk/edit?usp=shar"&amp;"ing"",""นครศรีธรรมราช!R650"")+IMPORTRANGE(""https://docs.google.com/spreadsheets/d/1iodCdmuK2GR3jzUwk8tpccY2JHQQA-87DLOtJP-ooyU/edit?usp=sharing"",""นราธิวาส!R650"")+IMPORTRANGE(""https://docs.google.com/spreadsheets/d/1SDNX3JhDdYRuIOsj0Wh2M-Qa_eaXl0NbWmh"&amp;"AOTbfQAs/edit?usp=sharing"",""ปัตตานี!R650"")+IMPORTRANGE(""https://docs.google.com/spreadsheets/d/16JDLGguT8s5DsGCND1KcwHP_AWR_zDMTqLHPLJUKhaU/edit?usp=sharing"",""พังงา!R650"")+IMPORTRANGE(""https://docs.google.com/spreadsheets/d/17ht0gPKzzT3PObBL1XJkeR"&amp;"mntBXI7wGjpLV7QorqlTk/edit?usp=sharing"",""พัทลุง!R650"")+IMPORTRANGE(""https://docs.google.com/spreadsheets/d/1rd4qoM1q_hsgaolqNGfrim9gbsoLxQsda4-vOz5x_BM/edit?usp=sharing"",""ภูเก็ต!R650"")+IMPORTRANGE(""https://docs.google.com/spreadsheets/d/1woKwKjgoL"&amp;"ssDvPcPeVyezB5izizAn4X1JDrys69n6xI/edit?usp=sharing"",""ยะลา!R650"")+IMPORTRANGE(""https://docs.google.com/spreadsheets/d/1qfrKjzMhm2HJfxQ-qVlJlJQ25Hne1d0khsySbZyGtPA/edit?usp=sharing"",""ระนอง!R650"")+IMPORTRANGE(""https://docs.google.com/spreadsheets/d/"&amp;"1IbSCnFOKpZsnFogBHJnL_isstZVaOMnFiIN0fGTPZZw/edit?usp=sharing"",""สงขลา!R650"")+IMPORTRANGE(""https://docs.google.com/spreadsheets/d/1q9nWasZJ-K8bFGvbE9n0qSRuKGA4Toe3Y89cKCiVtCU/edit?usp=sharing"",""สตูล!R650"")+IMPORTRANGE(""https://docs.google.com/sprea"&amp;"dsheets/d/18T20gbkS_WBjdscyTOV05cvq_JqvqQ17C81mpxf7Ncs/edit?usp=sharing"",""สุราษฎร์ธานี!R650"")"),0)</f>
        <v>0</v>
      </c>
      <c r="S650" s="47">
        <f ca="1">IFERROR(__xludf.DUMMYFUNCTION("IMPORTRANGE(""https://docs.google.com/spreadsheets/d/1kKUcYdkIfrgTSj8iHHHB2MD2FAtwyyocFgqGQn6ADyI/edit?usp=sharing"",""กระบี่!S650"")+IMPORTRANGE(""https://docs.google.com/spreadsheets/d/1GwtLaSlNZkLk7iDqcyZz22giiy40b_usZZBXYciEN1U/edit?usp=sharing"",""ชุ"&amp;"มพร!S650"")+IMPORTRANGE(""https://docs.google.com/spreadsheets/d/16pAz3pOhQEZBhvFNMa5KGgZS6iKWpsKX0pg6tQmwFpo/edit?usp=sharing"",""ตรัง!S650"")+IMPORTRANGE(""https://docs.google.com/spreadsheets/d/1Dj4jcHCTV9JXKCaMoheSXS52JE63kDKyG7bPXnFogHk/edit?usp=shar"&amp;"ing"",""นครศรีธรรมราช!S650"")+IMPORTRANGE(""https://docs.google.com/spreadsheets/d/1iodCdmuK2GR3jzUwk8tpccY2JHQQA-87DLOtJP-ooyU/edit?usp=sharing"",""นราธิวาส!S650"")+IMPORTRANGE(""https://docs.google.com/spreadsheets/d/1SDNX3JhDdYRuIOsj0Wh2M-Qa_eaXl0NbWmh"&amp;"AOTbfQAs/edit?usp=sharing"",""ปัตตานี!S650"")+IMPORTRANGE(""https://docs.google.com/spreadsheets/d/16JDLGguT8s5DsGCND1KcwHP_AWR_zDMTqLHPLJUKhaU/edit?usp=sharing"",""พังงา!S650"")+IMPORTRANGE(""https://docs.google.com/spreadsheets/d/17ht0gPKzzT3PObBL1XJkeR"&amp;"mntBXI7wGjpLV7QorqlTk/edit?usp=sharing"",""พัทลุง!S650"")+IMPORTRANGE(""https://docs.google.com/spreadsheets/d/1rd4qoM1q_hsgaolqNGfrim9gbsoLxQsda4-vOz5x_BM/edit?usp=sharing"",""ภูเก็ต!S650"")+IMPORTRANGE(""https://docs.google.com/spreadsheets/d/1woKwKjgoL"&amp;"ssDvPcPeVyezB5izizAn4X1JDrys69n6xI/edit?usp=sharing"",""ยะลา!S650"")+IMPORTRANGE(""https://docs.google.com/spreadsheets/d/1qfrKjzMhm2HJfxQ-qVlJlJQ25Hne1d0khsySbZyGtPA/edit?usp=sharing"",""ระนอง!S650"")+IMPORTRANGE(""https://docs.google.com/spreadsheets/d/"&amp;"1IbSCnFOKpZsnFogBHJnL_isstZVaOMnFiIN0fGTPZZw/edit?usp=sharing"",""สงขลา!S650"")+IMPORTRANGE(""https://docs.google.com/spreadsheets/d/1q9nWasZJ-K8bFGvbE9n0qSRuKGA4Toe3Y89cKCiVtCU/edit?usp=sharing"",""สตูล!S650"")+IMPORTRANGE(""https://docs.google.com/sprea"&amp;"dsheets/d/18T20gbkS_WBjdscyTOV05cvq_JqvqQ17C81mpxf7Ncs/edit?usp=sharing"",""สุราษฎร์ธานี!S650"")"),0)</f>
        <v>0</v>
      </c>
      <c r="T650" s="47">
        <f t="shared" ca="1" si="458"/>
        <v>0</v>
      </c>
      <c r="U650" s="47">
        <f t="shared" ca="1" si="459"/>
        <v>0</v>
      </c>
    </row>
    <row r="651" spans="1:21" ht="19.5" x14ac:dyDescent="0.3">
      <c r="A651" s="138"/>
      <c r="B651" s="139"/>
      <c r="C651" s="218" t="s">
        <v>18</v>
      </c>
      <c r="D651" s="476" t="s">
        <v>38</v>
      </c>
      <c r="E651" s="141"/>
      <c r="F651" s="141"/>
      <c r="G651" s="142"/>
      <c r="H651" s="189"/>
      <c r="I651" s="135"/>
      <c r="J651" s="135"/>
      <c r="K651" s="136"/>
      <c r="L651" s="136"/>
      <c r="M651" s="136"/>
      <c r="N651" s="136"/>
      <c r="O651" s="136"/>
      <c r="P651" s="136"/>
      <c r="Q651" s="136"/>
      <c r="R651" s="136"/>
      <c r="S651" s="13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kKUcYdkIfrgTSj8iHHHB2MD2FAtwyyocFgqGQn6ADyI/edit?usp=sharing"",""กระบี่!I652"")+IMPORTRANGE(""https://docs.google.com/spreadsheets/d/1GwtLaSlNZkLk7iDqcyZz22giiy40b_usZZBXYciEN1U/edit?usp=sharing"",""ชุ"&amp;"มพร!I652"")+IMPORTRANGE(""https://docs.google.com/spreadsheets/d/16pAz3pOhQEZBhvFNMa5KGgZS6iKWpsKX0pg6tQmwFpo/edit?usp=sharing"",""ตรัง!I652"")+IMPORTRANGE(""https://docs.google.com/spreadsheets/d/1Dj4jcHCTV9JXKCaMoheSXS52JE63kDKyG7bPXnFogHk/edit?usp=shar"&amp;"ing"",""นครศรีธรรมราช!I652"")+IMPORTRANGE(""https://docs.google.com/spreadsheets/d/1iodCdmuK2GR3jzUwk8tpccY2JHQQA-87DLOtJP-ooyU/edit?usp=sharing"",""นราธิวาส!I652"")+IMPORTRANGE(""https://docs.google.com/spreadsheets/d/1SDNX3JhDdYRuIOsj0Wh2M-Qa_eaXl0NbWmh"&amp;"AOTbfQAs/edit?usp=sharing"",""ปัตตานี!I652"")+IMPORTRANGE(""https://docs.google.com/spreadsheets/d/16JDLGguT8s5DsGCND1KcwHP_AWR_zDMTqLHPLJUKhaU/edit?usp=sharing"",""พังงา!I652"")+IMPORTRANGE(""https://docs.google.com/spreadsheets/d/17ht0gPKzzT3PObBL1XJkeR"&amp;"mntBXI7wGjpLV7QorqlTk/edit?usp=sharing"",""พัทลุง!I652"")+IMPORTRANGE(""https://docs.google.com/spreadsheets/d/1rd4qoM1q_hsgaolqNGfrim9gbsoLxQsda4-vOz5x_BM/edit?usp=sharing"",""ภูเก็ต!I652"")+IMPORTRANGE(""https://docs.google.com/spreadsheets/d/1woKwKjgoL"&amp;"ssDvPcPeVyezB5izizAn4X1JDrys69n6xI/edit?usp=sharing"",""ยะลา!I652"")+IMPORTRANGE(""https://docs.google.com/spreadsheets/d/1qfrKjzMhm2HJfxQ-qVlJlJQ25Hne1d0khsySbZyGtPA/edit?usp=sharing"",""ระนอง!I652"")+IMPORTRANGE(""https://docs.google.com/spreadsheets/d/"&amp;"1IbSCnFOKpZsnFogBHJnL_isstZVaOMnFiIN0fGTPZZw/edit?usp=sharing"",""สงขลา!I652"")+IMPORTRANGE(""https://docs.google.com/spreadsheets/d/1q9nWasZJ-K8bFGvbE9n0qSRuKGA4Toe3Y89cKCiVtCU/edit?usp=sharing"",""สตูล!I652"")+IMPORTRANGE(""https://docs.google.com/sprea"&amp;"dsheets/d/18T20gbkS_WBjdscyTOV05cvq_JqvqQ17C81mpxf7Ncs/edit?usp=sharing"",""สุราษฎร์ธานี!I652"")"),0)</f>
        <v>0</v>
      </c>
      <c r="J652" s="477">
        <f ca="1">IFERROR(__xludf.DUMMYFUNCTION("IMPORTRANGE(""https://docs.google.com/spreadsheets/d/1kKUcYdkIfrgTSj8iHHHB2MD2FAtwyyocFgqGQn6ADyI/edit?usp=sharing"",""กระบี่!J652"")+IMPORTRANGE(""https://docs.google.com/spreadsheets/d/1GwtLaSlNZkLk7iDqcyZz22giiy40b_usZZBXYciEN1U/edit?usp=sharing"",""ชุ"&amp;"มพร!J652"")+IMPORTRANGE(""https://docs.google.com/spreadsheets/d/16pAz3pOhQEZBhvFNMa5KGgZS6iKWpsKX0pg6tQmwFpo/edit?usp=sharing"",""ตรัง!J652"")+IMPORTRANGE(""https://docs.google.com/spreadsheets/d/1Dj4jcHCTV9JXKCaMoheSXS52JE63kDKyG7bPXnFogHk/edit?usp=shar"&amp;"ing"",""นครศรีธรรมราช!J652"")+IMPORTRANGE(""https://docs.google.com/spreadsheets/d/1iodCdmuK2GR3jzUwk8tpccY2JHQQA-87DLOtJP-ooyU/edit?usp=sharing"",""นราธิวาส!J652"")+IMPORTRANGE(""https://docs.google.com/spreadsheets/d/1SDNX3JhDdYRuIOsj0Wh2M-Qa_eaXl0NbWmh"&amp;"AOTbfQAs/edit?usp=sharing"",""ปัตตานี!J652"")+IMPORTRANGE(""https://docs.google.com/spreadsheets/d/16JDLGguT8s5DsGCND1KcwHP_AWR_zDMTqLHPLJUKhaU/edit?usp=sharing"",""พังงา!J652"")+IMPORTRANGE(""https://docs.google.com/spreadsheets/d/17ht0gPKzzT3PObBL1XJkeR"&amp;"mntBXI7wGjpLV7QorqlTk/edit?usp=sharing"",""พัทลุง!J652"")+IMPORTRANGE(""https://docs.google.com/spreadsheets/d/1rd4qoM1q_hsgaolqNGfrim9gbsoLxQsda4-vOz5x_BM/edit?usp=sharing"",""ภูเก็ต!J652"")+IMPORTRANGE(""https://docs.google.com/spreadsheets/d/1woKwKjgoL"&amp;"ssDvPcPeVyezB5izizAn4X1JDrys69n6xI/edit?usp=sharing"",""ยะลา!J652"")+IMPORTRANGE(""https://docs.google.com/spreadsheets/d/1qfrKjzMhm2HJfxQ-qVlJlJQ25Hne1d0khsySbZyGtPA/edit?usp=sharing"",""ระนอง!J652"")+IMPORTRANGE(""https://docs.google.com/spreadsheets/d/"&amp;"1IbSCnFOKpZsnFogBHJnL_isstZVaOMnFiIN0fGTPZZw/edit?usp=sharing"",""สงขลา!J652"")+IMPORTRANGE(""https://docs.google.com/spreadsheets/d/1q9nWasZJ-K8bFGvbE9n0qSRuKGA4Toe3Y89cKCiVtCU/edit?usp=sharing"",""สตูล!J652"")+IMPORTRANGE(""https://docs.google.com/sprea"&amp;"dsheets/d/18T20gbkS_WBjdscyTOV05cvq_JqvqQ17C81mpxf7Ncs/edit?usp=sharing"",""สุราษฎร์ธานี!J652"")"),0)</f>
        <v>0</v>
      </c>
      <c r="K652" s="47">
        <f t="shared" ref="K652:K654" ca="1" si="468">IF(I652&gt;0,J652*100/I652,0)</f>
        <v>0</v>
      </c>
      <c r="L652" s="46"/>
      <c r="M652" s="46"/>
      <c r="N652" s="46"/>
      <c r="O652" s="46"/>
      <c r="P652" s="46"/>
      <c r="Q652" s="46"/>
      <c r="R652" s="46"/>
      <c r="S652" s="46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kKUcYdkIfrgTSj8iHHHB2MD2FAtwyyocFgqGQn6ADyI/edit?usp=sharing"",""กระบี่!I653"")+IMPORTRANGE(""https://docs.google.com/spreadsheets/d/1GwtLaSlNZkLk7iDqcyZz22giiy40b_usZZBXYciEN1U/edit?usp=sharing"",""ชุ"&amp;"มพร!I653"")+IMPORTRANGE(""https://docs.google.com/spreadsheets/d/16pAz3pOhQEZBhvFNMa5KGgZS6iKWpsKX0pg6tQmwFpo/edit?usp=sharing"",""ตรัง!I653"")+IMPORTRANGE(""https://docs.google.com/spreadsheets/d/1Dj4jcHCTV9JXKCaMoheSXS52JE63kDKyG7bPXnFogHk/edit?usp=shar"&amp;"ing"",""นครศรีธรรมราช!I653"")+IMPORTRANGE(""https://docs.google.com/spreadsheets/d/1iodCdmuK2GR3jzUwk8tpccY2JHQQA-87DLOtJP-ooyU/edit?usp=sharing"",""นราธิวาส!I653"")+IMPORTRANGE(""https://docs.google.com/spreadsheets/d/1SDNX3JhDdYRuIOsj0Wh2M-Qa_eaXl0NbWmh"&amp;"AOTbfQAs/edit?usp=sharing"",""ปัตตานี!I653"")+IMPORTRANGE(""https://docs.google.com/spreadsheets/d/16JDLGguT8s5DsGCND1KcwHP_AWR_zDMTqLHPLJUKhaU/edit?usp=sharing"",""พังงา!I653"")+IMPORTRANGE(""https://docs.google.com/spreadsheets/d/17ht0gPKzzT3PObBL1XJkeR"&amp;"mntBXI7wGjpLV7QorqlTk/edit?usp=sharing"",""พัทลุง!I653"")+IMPORTRANGE(""https://docs.google.com/spreadsheets/d/1rd4qoM1q_hsgaolqNGfrim9gbsoLxQsda4-vOz5x_BM/edit?usp=sharing"",""ภูเก็ต!I653"")+IMPORTRANGE(""https://docs.google.com/spreadsheets/d/1woKwKjgoL"&amp;"ssDvPcPeVyezB5izizAn4X1JDrys69n6xI/edit?usp=sharing"",""ยะลา!I653"")+IMPORTRANGE(""https://docs.google.com/spreadsheets/d/1qfrKjzMhm2HJfxQ-qVlJlJQ25Hne1d0khsySbZyGtPA/edit?usp=sharing"",""ระนอง!I653"")+IMPORTRANGE(""https://docs.google.com/spreadsheets/d/"&amp;"1IbSCnFOKpZsnFogBHJnL_isstZVaOMnFiIN0fGTPZZw/edit?usp=sharing"",""สงขลา!I653"")+IMPORTRANGE(""https://docs.google.com/spreadsheets/d/1q9nWasZJ-K8bFGvbE9n0qSRuKGA4Toe3Y89cKCiVtCU/edit?usp=sharing"",""สตูล!I653"")+IMPORTRANGE(""https://docs.google.com/sprea"&amp;"dsheets/d/18T20gbkS_WBjdscyTOV05cvq_JqvqQ17C81mpxf7Ncs/edit?usp=sharing"",""สุราษฎร์ธานี!I653"")"),60)</f>
        <v>60</v>
      </c>
      <c r="J653" s="477">
        <f ca="1">IFERROR(__xludf.DUMMYFUNCTION("IMPORTRANGE(""https://docs.google.com/spreadsheets/d/1kKUcYdkIfrgTSj8iHHHB2MD2FAtwyyocFgqGQn6ADyI/edit?usp=sharing"",""กระบี่!J653"")+IMPORTRANGE(""https://docs.google.com/spreadsheets/d/1GwtLaSlNZkLk7iDqcyZz22giiy40b_usZZBXYciEN1U/edit?usp=sharing"",""ชุ"&amp;"มพร!J653"")+IMPORTRANGE(""https://docs.google.com/spreadsheets/d/16pAz3pOhQEZBhvFNMa5KGgZS6iKWpsKX0pg6tQmwFpo/edit?usp=sharing"",""ตรัง!J653"")+IMPORTRANGE(""https://docs.google.com/spreadsheets/d/1Dj4jcHCTV9JXKCaMoheSXS52JE63kDKyG7bPXnFogHk/edit?usp=shar"&amp;"ing"",""นครศรีธรรมราช!J653"")+IMPORTRANGE(""https://docs.google.com/spreadsheets/d/1iodCdmuK2GR3jzUwk8tpccY2JHQQA-87DLOtJP-ooyU/edit?usp=sharing"",""นราธิวาส!J653"")+IMPORTRANGE(""https://docs.google.com/spreadsheets/d/1SDNX3JhDdYRuIOsj0Wh2M-Qa_eaXl0NbWmh"&amp;"AOTbfQAs/edit?usp=sharing"",""ปัตตานี!J653"")+IMPORTRANGE(""https://docs.google.com/spreadsheets/d/16JDLGguT8s5DsGCND1KcwHP_AWR_zDMTqLHPLJUKhaU/edit?usp=sharing"",""พังงา!J653"")+IMPORTRANGE(""https://docs.google.com/spreadsheets/d/17ht0gPKzzT3PObBL1XJkeR"&amp;"mntBXI7wGjpLV7QorqlTk/edit?usp=sharing"",""พัทลุง!J653"")+IMPORTRANGE(""https://docs.google.com/spreadsheets/d/1rd4qoM1q_hsgaolqNGfrim9gbsoLxQsda4-vOz5x_BM/edit?usp=sharing"",""ภูเก็ต!J653"")+IMPORTRANGE(""https://docs.google.com/spreadsheets/d/1woKwKjgoL"&amp;"ssDvPcPeVyezB5izizAn4X1JDrys69n6xI/edit?usp=sharing"",""ยะลา!J653"")+IMPORTRANGE(""https://docs.google.com/spreadsheets/d/1qfrKjzMhm2HJfxQ-qVlJlJQ25Hne1d0khsySbZyGtPA/edit?usp=sharing"",""ระนอง!J653"")+IMPORTRANGE(""https://docs.google.com/spreadsheets/d/"&amp;"1IbSCnFOKpZsnFogBHJnL_isstZVaOMnFiIN0fGTPZZw/edit?usp=sharing"",""สงขลา!J653"")+IMPORTRANGE(""https://docs.google.com/spreadsheets/d/1q9nWasZJ-K8bFGvbE9n0qSRuKGA4Toe3Y89cKCiVtCU/edit?usp=sharing"",""สตูล!J653"")+IMPORTRANGE(""https://docs.google.com/sprea"&amp;"dsheets/d/18T20gbkS_WBjdscyTOV05cvq_JqvqQ17C81mpxf7Ncs/edit?usp=sharing"",""สุราษฎร์ธานี!J653"")"),0)</f>
        <v>0</v>
      </c>
      <c r="K653" s="47">
        <f t="shared" ca="1" si="468"/>
        <v>0</v>
      </c>
      <c r="L653" s="46"/>
      <c r="M653" s="46"/>
      <c r="N653" s="46"/>
      <c r="O653" s="46"/>
      <c r="P653" s="46"/>
      <c r="Q653" s="46"/>
      <c r="R653" s="46"/>
      <c r="S653" s="46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kKUcYdkIfrgTSj8iHHHB2MD2FAtwyyocFgqGQn6ADyI/edit?usp=sharing"",""กระบี่!I654"")+IMPORTRANGE(""https://docs.google.com/spreadsheets/d/1GwtLaSlNZkLk7iDqcyZz22giiy40b_usZZBXYciEN1U/edit?usp=sharing"",""ชุ"&amp;"มพร!I654"")+IMPORTRANGE(""https://docs.google.com/spreadsheets/d/16pAz3pOhQEZBhvFNMa5KGgZS6iKWpsKX0pg6tQmwFpo/edit?usp=sharing"",""ตรัง!I654"")+IMPORTRANGE(""https://docs.google.com/spreadsheets/d/1Dj4jcHCTV9JXKCaMoheSXS52JE63kDKyG7bPXnFogHk/edit?usp=shar"&amp;"ing"",""นครศรีธรรมราช!I654"")+IMPORTRANGE(""https://docs.google.com/spreadsheets/d/1iodCdmuK2GR3jzUwk8tpccY2JHQQA-87DLOtJP-ooyU/edit?usp=sharing"",""นราธิวาส!I654"")+IMPORTRANGE(""https://docs.google.com/spreadsheets/d/1SDNX3JhDdYRuIOsj0Wh2M-Qa_eaXl0NbWmh"&amp;"AOTbfQAs/edit?usp=sharing"",""ปัตตานี!I654"")+IMPORTRANGE(""https://docs.google.com/spreadsheets/d/16JDLGguT8s5DsGCND1KcwHP_AWR_zDMTqLHPLJUKhaU/edit?usp=sharing"",""พังงา!I654"")+IMPORTRANGE(""https://docs.google.com/spreadsheets/d/17ht0gPKzzT3PObBL1XJkeR"&amp;"mntBXI7wGjpLV7QorqlTk/edit?usp=sharing"",""พัทลุง!I654"")+IMPORTRANGE(""https://docs.google.com/spreadsheets/d/1rd4qoM1q_hsgaolqNGfrim9gbsoLxQsda4-vOz5x_BM/edit?usp=sharing"",""ภูเก็ต!I654"")+IMPORTRANGE(""https://docs.google.com/spreadsheets/d/1woKwKjgoL"&amp;"ssDvPcPeVyezB5izizAn4X1JDrys69n6xI/edit?usp=sharing"",""ยะลา!I654"")+IMPORTRANGE(""https://docs.google.com/spreadsheets/d/1qfrKjzMhm2HJfxQ-qVlJlJQ25Hne1d0khsySbZyGtPA/edit?usp=sharing"",""ระนอง!I654"")+IMPORTRANGE(""https://docs.google.com/spreadsheets/d/"&amp;"1IbSCnFOKpZsnFogBHJnL_isstZVaOMnFiIN0fGTPZZw/edit?usp=sharing"",""สงขลา!I654"")+IMPORTRANGE(""https://docs.google.com/spreadsheets/d/1q9nWasZJ-K8bFGvbE9n0qSRuKGA4Toe3Y89cKCiVtCU/edit?usp=sharing"",""สตูล!I654"")+IMPORTRANGE(""https://docs.google.com/sprea"&amp;"dsheets/d/18T20gbkS_WBjdscyTOV05cvq_JqvqQ17C81mpxf7Ncs/edit?usp=sharing"",""สุราษฎร์ธานี!I654"")"),0)</f>
        <v>0</v>
      </c>
      <c r="J654" s="147">
        <f ca="1">J657+J660</f>
        <v>0</v>
      </c>
      <c r="K654" s="132">
        <f t="shared" ca="1" si="468"/>
        <v>0</v>
      </c>
      <c r="L654" s="46"/>
      <c r="M654" s="46"/>
      <c r="N654" s="46"/>
      <c r="O654" s="46"/>
      <c r="P654" s="46"/>
      <c r="Q654" s="46"/>
      <c r="R654" s="46"/>
      <c r="S654" s="46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f ca="1">IFERROR(__xludf.DUMMYFUNCTION("IMPORTRANGE(""https://docs.google.com/spreadsheets/d/1kKUcYdkIfrgTSj8iHHHB2MD2FAtwyyocFgqGQn6ADyI/edit?usp=sharing"",""กระบี่!J655"")+IMPORTRANGE(""https://docs.google.com/spreadsheets/d/1GwtLaSlNZkLk7iDqcyZz22giiy40b_usZZBXYciEN1U/edit?usp=sharing"",""ชุ"&amp;"มพร!J655"")+IMPORTRANGE(""https://docs.google.com/spreadsheets/d/16pAz3pOhQEZBhvFNMa5KGgZS6iKWpsKX0pg6tQmwFpo/edit?usp=sharing"",""ตรัง!J655"")+IMPORTRANGE(""https://docs.google.com/spreadsheets/d/1Dj4jcHCTV9JXKCaMoheSXS52JE63kDKyG7bPXnFogHk/edit?usp=shar"&amp;"ing"",""นครศรีธรรมราช!J655"")+IMPORTRANGE(""https://docs.google.com/spreadsheets/d/1iodCdmuK2GR3jzUwk8tpccY2JHQQA-87DLOtJP-ooyU/edit?usp=sharing"",""นราธิวาส!J655"")+IMPORTRANGE(""https://docs.google.com/spreadsheets/d/1SDNX3JhDdYRuIOsj0Wh2M-Qa_eaXl0NbWmh"&amp;"AOTbfQAs/edit?usp=sharing"",""ปัตตานี!J655"")+IMPORTRANGE(""https://docs.google.com/spreadsheets/d/16JDLGguT8s5DsGCND1KcwHP_AWR_zDMTqLHPLJUKhaU/edit?usp=sharing"",""พังงา!J655"")+IMPORTRANGE(""https://docs.google.com/spreadsheets/d/17ht0gPKzzT3PObBL1XJkeR"&amp;"mntBXI7wGjpLV7QorqlTk/edit?usp=sharing"",""พัทลุง!J655"")+IMPORTRANGE(""https://docs.google.com/spreadsheets/d/1rd4qoM1q_hsgaolqNGfrim9gbsoLxQsda4-vOz5x_BM/edit?usp=sharing"",""ภูเก็ต!J655"")+IMPORTRANGE(""https://docs.google.com/spreadsheets/d/1woKwKjgoL"&amp;"ssDvPcPeVyezB5izizAn4X1JDrys69n6xI/edit?usp=sharing"",""ยะลา!J655"")+IMPORTRANGE(""https://docs.google.com/spreadsheets/d/1qfrKjzMhm2HJfxQ-qVlJlJQ25Hne1d0khsySbZyGtPA/edit?usp=sharing"",""ระนอง!J655"")+IMPORTRANGE(""https://docs.google.com/spreadsheets/d/"&amp;"1IbSCnFOKpZsnFogBHJnL_isstZVaOMnFiIN0fGTPZZw/edit?usp=sharing"",""สงขลา!J655"")+IMPORTRANGE(""https://docs.google.com/spreadsheets/d/1q9nWasZJ-K8bFGvbE9n0qSRuKGA4Toe3Y89cKCiVtCU/edit?usp=sharing"",""สตูล!J655"")+IMPORTRANGE(""https://docs.google.com/sprea"&amp;"dsheets/d/18T20gbkS_WBjdscyTOV05cvq_JqvqQ17C81mpxf7Ncs/edit?usp=sharing"",""สุราษฎร์ธานี!J655"")"),0)</f>
        <v>0</v>
      </c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f ca="1">IFERROR(__xludf.DUMMYFUNCTION("IMPORTRANGE(""https://docs.google.com/spreadsheets/d/1kKUcYdkIfrgTSj8iHHHB2MD2FAtwyyocFgqGQn6ADyI/edit?usp=sharing"",""กระบี่!J656"")+IMPORTRANGE(""https://docs.google.com/spreadsheets/d/1GwtLaSlNZkLk7iDqcyZz22giiy40b_usZZBXYciEN1U/edit?usp=sharing"",""ชุ"&amp;"มพร!J656"")+IMPORTRANGE(""https://docs.google.com/spreadsheets/d/16pAz3pOhQEZBhvFNMa5KGgZS6iKWpsKX0pg6tQmwFpo/edit?usp=sharing"",""ตรัง!J656"")+IMPORTRANGE(""https://docs.google.com/spreadsheets/d/1Dj4jcHCTV9JXKCaMoheSXS52JE63kDKyG7bPXnFogHk/edit?usp=shar"&amp;"ing"",""นครศรีธรรมราช!J656"")+IMPORTRANGE(""https://docs.google.com/spreadsheets/d/1iodCdmuK2GR3jzUwk8tpccY2JHQQA-87DLOtJP-ooyU/edit?usp=sharing"",""นราธิวาส!J656"")+IMPORTRANGE(""https://docs.google.com/spreadsheets/d/1SDNX3JhDdYRuIOsj0Wh2M-Qa_eaXl0NbWmh"&amp;"AOTbfQAs/edit?usp=sharing"",""ปัตตานี!J656"")+IMPORTRANGE(""https://docs.google.com/spreadsheets/d/16JDLGguT8s5DsGCND1KcwHP_AWR_zDMTqLHPLJUKhaU/edit?usp=sharing"",""พังงา!J656"")+IMPORTRANGE(""https://docs.google.com/spreadsheets/d/17ht0gPKzzT3PObBL1XJkeR"&amp;"mntBXI7wGjpLV7QorqlTk/edit?usp=sharing"",""พัทลุง!J656"")+IMPORTRANGE(""https://docs.google.com/spreadsheets/d/1rd4qoM1q_hsgaolqNGfrim9gbsoLxQsda4-vOz5x_BM/edit?usp=sharing"",""ภูเก็ต!J656"")+IMPORTRANGE(""https://docs.google.com/spreadsheets/d/1woKwKjgoL"&amp;"ssDvPcPeVyezB5izizAn4X1JDrys69n6xI/edit?usp=sharing"",""ยะลา!J656"")+IMPORTRANGE(""https://docs.google.com/spreadsheets/d/1qfrKjzMhm2HJfxQ-qVlJlJQ25Hne1d0khsySbZyGtPA/edit?usp=sharing"",""ระนอง!J656"")+IMPORTRANGE(""https://docs.google.com/spreadsheets/d/"&amp;"1IbSCnFOKpZsnFogBHJnL_isstZVaOMnFiIN0fGTPZZw/edit?usp=sharing"",""สงขลา!J656"")+IMPORTRANGE(""https://docs.google.com/spreadsheets/d/1q9nWasZJ-K8bFGvbE9n0qSRuKGA4Toe3Y89cKCiVtCU/edit?usp=sharing"",""สตูล!J656"")+IMPORTRANGE(""https://docs.google.com/sprea"&amp;"dsheets/d/18T20gbkS_WBjdscyTOV05cvq_JqvqQ17C81mpxf7Ncs/edit?usp=sharing"",""สุราษฎร์ธานี!J656"")"),0)</f>
        <v>0</v>
      </c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kKUcYdkIfrgTSj8iHHHB2MD2FAtwyyocFgqGQn6ADyI/edit?usp=sharing"",""กระบี่!I657"")+IMPORTRANGE(""https://docs.google.com/spreadsheets/d/1GwtLaSlNZkLk7iDqcyZz22giiy40b_usZZBXYciEN1U/edit?usp=sharing"",""ชุ"&amp;"มพร!I657"")+IMPORTRANGE(""https://docs.google.com/spreadsheets/d/16pAz3pOhQEZBhvFNMa5KGgZS6iKWpsKX0pg6tQmwFpo/edit?usp=sharing"",""ตรัง!I657"")+IMPORTRANGE(""https://docs.google.com/spreadsheets/d/1Dj4jcHCTV9JXKCaMoheSXS52JE63kDKyG7bPXnFogHk/edit?usp=shar"&amp;"ing"",""นครศรีธรรมราช!I657"")+IMPORTRANGE(""https://docs.google.com/spreadsheets/d/1iodCdmuK2GR3jzUwk8tpccY2JHQQA-87DLOtJP-ooyU/edit?usp=sharing"",""นราธิวาส!I657"")+IMPORTRANGE(""https://docs.google.com/spreadsheets/d/1SDNX3JhDdYRuIOsj0Wh2M-Qa_eaXl0NbWmh"&amp;"AOTbfQAs/edit?usp=sharing"",""ปัตตานี!I657"")+IMPORTRANGE(""https://docs.google.com/spreadsheets/d/16JDLGguT8s5DsGCND1KcwHP_AWR_zDMTqLHPLJUKhaU/edit?usp=sharing"",""พังงา!I657"")+IMPORTRANGE(""https://docs.google.com/spreadsheets/d/17ht0gPKzzT3PObBL1XJkeR"&amp;"mntBXI7wGjpLV7QorqlTk/edit?usp=sharing"",""พัทลุง!I657"")+IMPORTRANGE(""https://docs.google.com/spreadsheets/d/1rd4qoM1q_hsgaolqNGfrim9gbsoLxQsda4-vOz5x_BM/edit?usp=sharing"",""ภูเก็ต!I657"")+IMPORTRANGE(""https://docs.google.com/spreadsheets/d/1woKwKjgoL"&amp;"ssDvPcPeVyezB5izizAn4X1JDrys69n6xI/edit?usp=sharing"",""ยะลา!I657"")+IMPORTRANGE(""https://docs.google.com/spreadsheets/d/1qfrKjzMhm2HJfxQ-qVlJlJQ25Hne1d0khsySbZyGtPA/edit?usp=sharing"",""ระนอง!I657"")+IMPORTRANGE(""https://docs.google.com/spreadsheets/d/"&amp;"1IbSCnFOKpZsnFogBHJnL_isstZVaOMnFiIN0fGTPZZw/edit?usp=sharing"",""สงขลา!I657"")+IMPORTRANGE(""https://docs.google.com/spreadsheets/d/1q9nWasZJ-K8bFGvbE9n0qSRuKGA4Toe3Y89cKCiVtCU/edit?usp=sharing"",""สตูล!I657"")+IMPORTRANGE(""https://docs.google.com/sprea"&amp;"dsheets/d/18T20gbkS_WBjdscyTOV05cvq_JqvqQ17C81mpxf7Ncs/edit?usp=sharing"",""สุราษฎร์ธานี!I657"")"),0)</f>
        <v>0</v>
      </c>
      <c r="J657" s="167">
        <f ca="1">IFERROR(__xludf.DUMMYFUNCTION("IMPORTRANGE(""https://docs.google.com/spreadsheets/d/1kKUcYdkIfrgTSj8iHHHB2MD2FAtwyyocFgqGQn6ADyI/edit?usp=sharing"",""กระบี่!J657"")+IMPORTRANGE(""https://docs.google.com/spreadsheets/d/1GwtLaSlNZkLk7iDqcyZz22giiy40b_usZZBXYciEN1U/edit?usp=sharing"",""ชุ"&amp;"มพร!J657"")+IMPORTRANGE(""https://docs.google.com/spreadsheets/d/16pAz3pOhQEZBhvFNMa5KGgZS6iKWpsKX0pg6tQmwFpo/edit?usp=sharing"",""ตรัง!J657"")+IMPORTRANGE(""https://docs.google.com/spreadsheets/d/1Dj4jcHCTV9JXKCaMoheSXS52JE63kDKyG7bPXnFogHk/edit?usp=shar"&amp;"ing"",""นครศรีธรรมราช!J657"")+IMPORTRANGE(""https://docs.google.com/spreadsheets/d/1iodCdmuK2GR3jzUwk8tpccY2JHQQA-87DLOtJP-ooyU/edit?usp=sharing"",""นราธิวาส!J657"")+IMPORTRANGE(""https://docs.google.com/spreadsheets/d/1SDNX3JhDdYRuIOsj0Wh2M-Qa_eaXl0NbWmh"&amp;"AOTbfQAs/edit?usp=sharing"",""ปัตตานี!J657"")+IMPORTRANGE(""https://docs.google.com/spreadsheets/d/16JDLGguT8s5DsGCND1KcwHP_AWR_zDMTqLHPLJUKhaU/edit?usp=sharing"",""พังงา!J657"")+IMPORTRANGE(""https://docs.google.com/spreadsheets/d/17ht0gPKzzT3PObBL1XJkeR"&amp;"mntBXI7wGjpLV7QorqlTk/edit?usp=sharing"",""พัทลุง!J657"")+IMPORTRANGE(""https://docs.google.com/spreadsheets/d/1rd4qoM1q_hsgaolqNGfrim9gbsoLxQsda4-vOz5x_BM/edit?usp=sharing"",""ภูเก็ต!J657"")+IMPORTRANGE(""https://docs.google.com/spreadsheets/d/1woKwKjgoL"&amp;"ssDvPcPeVyezB5izizAn4X1JDrys69n6xI/edit?usp=sharing"",""ยะลา!J657"")+IMPORTRANGE(""https://docs.google.com/spreadsheets/d/1qfrKjzMhm2HJfxQ-qVlJlJQ25Hne1d0khsySbZyGtPA/edit?usp=sharing"",""ระนอง!J657"")+IMPORTRANGE(""https://docs.google.com/spreadsheets/d/"&amp;"1IbSCnFOKpZsnFogBHJnL_isstZVaOMnFiIN0fGTPZZw/edit?usp=sharing"",""สงขลา!J657"")+IMPORTRANGE(""https://docs.google.com/spreadsheets/d/1q9nWasZJ-K8bFGvbE9n0qSRuKGA4Toe3Y89cKCiVtCU/edit?usp=sharing"",""สตูล!J657"")+IMPORTRANGE(""https://docs.google.com/sprea"&amp;"dsheets/d/18T20gbkS_WBjdscyTOV05cvq_JqvqQ17C81mpxf7Ncs/edit?usp=sharing"",""สุราษฎร์ธานี!J657"")"),0)</f>
        <v>0</v>
      </c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f ca="1">IFERROR(__xludf.DUMMYFUNCTION("IMPORTRANGE(""https://docs.google.com/spreadsheets/d/1kKUcYdkIfrgTSj8iHHHB2MD2FAtwyyocFgqGQn6ADyI/edit?usp=sharing"",""กระบี่!J658"")+IMPORTRANGE(""https://docs.google.com/spreadsheets/d/1GwtLaSlNZkLk7iDqcyZz22giiy40b_usZZBXYciEN1U/edit?usp=sharing"",""ชุ"&amp;"มพร!J658"")+IMPORTRANGE(""https://docs.google.com/spreadsheets/d/16pAz3pOhQEZBhvFNMa5KGgZS6iKWpsKX0pg6tQmwFpo/edit?usp=sharing"",""ตรัง!J658"")+IMPORTRANGE(""https://docs.google.com/spreadsheets/d/1Dj4jcHCTV9JXKCaMoheSXS52JE63kDKyG7bPXnFogHk/edit?usp=shar"&amp;"ing"",""นครศรีธรรมราช!J658"")+IMPORTRANGE(""https://docs.google.com/spreadsheets/d/1iodCdmuK2GR3jzUwk8tpccY2JHQQA-87DLOtJP-ooyU/edit?usp=sharing"",""นราธิวาส!J658"")+IMPORTRANGE(""https://docs.google.com/spreadsheets/d/1SDNX3JhDdYRuIOsj0Wh2M-Qa_eaXl0NbWmh"&amp;"AOTbfQAs/edit?usp=sharing"",""ปัตตานี!J658"")+IMPORTRANGE(""https://docs.google.com/spreadsheets/d/16JDLGguT8s5DsGCND1KcwHP_AWR_zDMTqLHPLJUKhaU/edit?usp=sharing"",""พังงา!J658"")+IMPORTRANGE(""https://docs.google.com/spreadsheets/d/17ht0gPKzzT3PObBL1XJkeR"&amp;"mntBXI7wGjpLV7QorqlTk/edit?usp=sharing"",""พัทลุง!J658"")+IMPORTRANGE(""https://docs.google.com/spreadsheets/d/1rd4qoM1q_hsgaolqNGfrim9gbsoLxQsda4-vOz5x_BM/edit?usp=sharing"",""ภูเก็ต!J658"")+IMPORTRANGE(""https://docs.google.com/spreadsheets/d/1woKwKjgoL"&amp;"ssDvPcPeVyezB5izizAn4X1JDrys69n6xI/edit?usp=sharing"",""ยะลา!J658"")+IMPORTRANGE(""https://docs.google.com/spreadsheets/d/1qfrKjzMhm2HJfxQ-qVlJlJQ25Hne1d0khsySbZyGtPA/edit?usp=sharing"",""ระนอง!J658"")+IMPORTRANGE(""https://docs.google.com/spreadsheets/d/"&amp;"1IbSCnFOKpZsnFogBHJnL_isstZVaOMnFiIN0fGTPZZw/edit?usp=sharing"",""สงขลา!J658"")+IMPORTRANGE(""https://docs.google.com/spreadsheets/d/1q9nWasZJ-K8bFGvbE9n0qSRuKGA4Toe3Y89cKCiVtCU/edit?usp=sharing"",""สตูล!J658"")+IMPORTRANGE(""https://docs.google.com/sprea"&amp;"dsheets/d/18T20gbkS_WBjdscyTOV05cvq_JqvqQ17C81mpxf7Ncs/edit?usp=sharing"",""สุราษฎร์ธานี!J658"")"),0)</f>
        <v>0</v>
      </c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f ca="1">IFERROR(__xludf.DUMMYFUNCTION("IMPORTRANGE(""https://docs.google.com/spreadsheets/d/1kKUcYdkIfrgTSj8iHHHB2MD2FAtwyyocFgqGQn6ADyI/edit?usp=sharing"",""กระบี่!J659"")+IMPORTRANGE(""https://docs.google.com/spreadsheets/d/1GwtLaSlNZkLk7iDqcyZz22giiy40b_usZZBXYciEN1U/edit?usp=sharing"",""ชุ"&amp;"มพร!J659"")+IMPORTRANGE(""https://docs.google.com/spreadsheets/d/16pAz3pOhQEZBhvFNMa5KGgZS6iKWpsKX0pg6tQmwFpo/edit?usp=sharing"",""ตรัง!J659"")+IMPORTRANGE(""https://docs.google.com/spreadsheets/d/1Dj4jcHCTV9JXKCaMoheSXS52JE63kDKyG7bPXnFogHk/edit?usp=shar"&amp;"ing"",""นครศรีธรรมราช!J659"")+IMPORTRANGE(""https://docs.google.com/spreadsheets/d/1iodCdmuK2GR3jzUwk8tpccY2JHQQA-87DLOtJP-ooyU/edit?usp=sharing"",""นราธิวาส!J659"")+IMPORTRANGE(""https://docs.google.com/spreadsheets/d/1SDNX3JhDdYRuIOsj0Wh2M-Qa_eaXl0NbWmh"&amp;"AOTbfQAs/edit?usp=sharing"",""ปัตตานี!J659"")+IMPORTRANGE(""https://docs.google.com/spreadsheets/d/16JDLGguT8s5DsGCND1KcwHP_AWR_zDMTqLHPLJUKhaU/edit?usp=sharing"",""พังงา!J659"")+IMPORTRANGE(""https://docs.google.com/spreadsheets/d/17ht0gPKzzT3PObBL1XJkeR"&amp;"mntBXI7wGjpLV7QorqlTk/edit?usp=sharing"",""พัทลุง!J659"")+IMPORTRANGE(""https://docs.google.com/spreadsheets/d/1rd4qoM1q_hsgaolqNGfrim9gbsoLxQsda4-vOz5x_BM/edit?usp=sharing"",""ภูเก็ต!J659"")+IMPORTRANGE(""https://docs.google.com/spreadsheets/d/1woKwKjgoL"&amp;"ssDvPcPeVyezB5izizAn4X1JDrys69n6xI/edit?usp=sharing"",""ยะลา!J659"")+IMPORTRANGE(""https://docs.google.com/spreadsheets/d/1qfrKjzMhm2HJfxQ-qVlJlJQ25Hne1d0khsySbZyGtPA/edit?usp=sharing"",""ระนอง!J659"")+IMPORTRANGE(""https://docs.google.com/spreadsheets/d/"&amp;"1IbSCnFOKpZsnFogBHJnL_isstZVaOMnFiIN0fGTPZZw/edit?usp=sharing"",""สงขลา!J659"")+IMPORTRANGE(""https://docs.google.com/spreadsheets/d/1q9nWasZJ-K8bFGvbE9n0qSRuKGA4Toe3Y89cKCiVtCU/edit?usp=sharing"",""สตูล!J659"")+IMPORTRANGE(""https://docs.google.com/sprea"&amp;"dsheets/d/18T20gbkS_WBjdscyTOV05cvq_JqvqQ17C81mpxf7Ncs/edit?usp=sharing"",""สุราษฎร์ธานี!J659"")"),0)</f>
        <v>0</v>
      </c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kKUcYdkIfrgTSj8iHHHB2MD2FAtwyyocFgqGQn6ADyI/edit?usp=sharing"",""กระบี่!I660"")+IMPORTRANGE(""https://docs.google.com/spreadsheets/d/1GwtLaSlNZkLk7iDqcyZz22giiy40b_usZZBXYciEN1U/edit?usp=sharing"",""ชุ"&amp;"มพร!I660"")+IMPORTRANGE(""https://docs.google.com/spreadsheets/d/16pAz3pOhQEZBhvFNMa5KGgZS6iKWpsKX0pg6tQmwFpo/edit?usp=sharing"",""ตรัง!I660"")+IMPORTRANGE(""https://docs.google.com/spreadsheets/d/1Dj4jcHCTV9JXKCaMoheSXS52JE63kDKyG7bPXnFogHk/edit?usp=shar"&amp;"ing"",""นครศรีธรรมราช!I660"")+IMPORTRANGE(""https://docs.google.com/spreadsheets/d/1iodCdmuK2GR3jzUwk8tpccY2JHQQA-87DLOtJP-ooyU/edit?usp=sharing"",""นราธิวาส!I660"")+IMPORTRANGE(""https://docs.google.com/spreadsheets/d/1SDNX3JhDdYRuIOsj0Wh2M-Qa_eaXl0NbWmh"&amp;"AOTbfQAs/edit?usp=sharing"",""ปัตตานี!I660"")+IMPORTRANGE(""https://docs.google.com/spreadsheets/d/16JDLGguT8s5DsGCND1KcwHP_AWR_zDMTqLHPLJUKhaU/edit?usp=sharing"",""พังงา!I660"")+IMPORTRANGE(""https://docs.google.com/spreadsheets/d/17ht0gPKzzT3PObBL1XJkeR"&amp;"mntBXI7wGjpLV7QorqlTk/edit?usp=sharing"",""พัทลุง!I660"")+IMPORTRANGE(""https://docs.google.com/spreadsheets/d/1rd4qoM1q_hsgaolqNGfrim9gbsoLxQsda4-vOz5x_BM/edit?usp=sharing"",""ภูเก็ต!I660"")+IMPORTRANGE(""https://docs.google.com/spreadsheets/d/1woKwKjgoL"&amp;"ssDvPcPeVyezB5izizAn4X1JDrys69n6xI/edit?usp=sharing"",""ยะลา!I660"")+IMPORTRANGE(""https://docs.google.com/spreadsheets/d/1qfrKjzMhm2HJfxQ-qVlJlJQ25Hne1d0khsySbZyGtPA/edit?usp=sharing"",""ระนอง!I660"")+IMPORTRANGE(""https://docs.google.com/spreadsheets/d/"&amp;"1IbSCnFOKpZsnFogBHJnL_isstZVaOMnFiIN0fGTPZZw/edit?usp=sharing"",""สงขลา!I660"")+IMPORTRANGE(""https://docs.google.com/spreadsheets/d/1q9nWasZJ-K8bFGvbE9n0qSRuKGA4Toe3Y89cKCiVtCU/edit?usp=sharing"",""สตูล!I660"")+IMPORTRANGE(""https://docs.google.com/sprea"&amp;"dsheets/d/18T20gbkS_WBjdscyTOV05cvq_JqvqQ17C81mpxf7Ncs/edit?usp=sharing"",""สุราษฎร์ธานี!I660"")"),0)</f>
        <v>0</v>
      </c>
      <c r="J660" s="167">
        <f ca="1">IFERROR(__xludf.DUMMYFUNCTION("IMPORTRANGE(""https://docs.google.com/spreadsheets/d/1kKUcYdkIfrgTSj8iHHHB2MD2FAtwyyocFgqGQn6ADyI/edit?usp=sharing"",""กระบี่!J660"")+IMPORTRANGE(""https://docs.google.com/spreadsheets/d/1GwtLaSlNZkLk7iDqcyZz22giiy40b_usZZBXYciEN1U/edit?usp=sharing"",""ชุ"&amp;"มพร!J660"")+IMPORTRANGE(""https://docs.google.com/spreadsheets/d/16pAz3pOhQEZBhvFNMa5KGgZS6iKWpsKX0pg6tQmwFpo/edit?usp=sharing"",""ตรัง!J660"")+IMPORTRANGE(""https://docs.google.com/spreadsheets/d/1Dj4jcHCTV9JXKCaMoheSXS52JE63kDKyG7bPXnFogHk/edit?usp=shar"&amp;"ing"",""นครศรีธรรมราช!J660"")+IMPORTRANGE(""https://docs.google.com/spreadsheets/d/1iodCdmuK2GR3jzUwk8tpccY2JHQQA-87DLOtJP-ooyU/edit?usp=sharing"",""นราธิวาส!J660"")+IMPORTRANGE(""https://docs.google.com/spreadsheets/d/1SDNX3JhDdYRuIOsj0Wh2M-Qa_eaXl0NbWmh"&amp;"AOTbfQAs/edit?usp=sharing"",""ปัตตานี!J660"")+IMPORTRANGE(""https://docs.google.com/spreadsheets/d/16JDLGguT8s5DsGCND1KcwHP_AWR_zDMTqLHPLJUKhaU/edit?usp=sharing"",""พังงา!J660"")+IMPORTRANGE(""https://docs.google.com/spreadsheets/d/17ht0gPKzzT3PObBL1XJkeR"&amp;"mntBXI7wGjpLV7QorqlTk/edit?usp=sharing"",""พัทลุง!J660"")+IMPORTRANGE(""https://docs.google.com/spreadsheets/d/1rd4qoM1q_hsgaolqNGfrim9gbsoLxQsda4-vOz5x_BM/edit?usp=sharing"",""ภูเก็ต!J660"")+IMPORTRANGE(""https://docs.google.com/spreadsheets/d/1woKwKjgoL"&amp;"ssDvPcPeVyezB5izizAn4X1JDrys69n6xI/edit?usp=sharing"",""ยะลา!J660"")+IMPORTRANGE(""https://docs.google.com/spreadsheets/d/1qfrKjzMhm2HJfxQ-qVlJlJQ25Hne1d0khsySbZyGtPA/edit?usp=sharing"",""ระนอง!J660"")+IMPORTRANGE(""https://docs.google.com/spreadsheets/d/"&amp;"1IbSCnFOKpZsnFogBHJnL_isstZVaOMnFiIN0fGTPZZw/edit?usp=sharing"",""สงขลา!J660"")+IMPORTRANGE(""https://docs.google.com/spreadsheets/d/1q9nWasZJ-K8bFGvbE9n0qSRuKGA4Toe3Y89cKCiVtCU/edit?usp=sharing"",""สตูล!J660"")+IMPORTRANGE(""https://docs.google.com/sprea"&amp;"dsheets/d/18T20gbkS_WBjdscyTOV05cvq_JqvqQ17C81mpxf7Ncs/edit?usp=sharing"",""สุราษฎร์ธานี!J660"")"),0)</f>
        <v>0</v>
      </c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kKUcYdkIfrgTSj8iHHHB2MD2FAtwyyocFgqGQn6ADyI/edit?usp=sharing"",""กระบี่!I661"")+IMPORTRANGE(""https://docs.google.com/spreadsheets/d/1GwtLaSlNZkLk7iDqcyZz22giiy40b_usZZBXYciEN1U/edit?usp=sharing"",""ชุ"&amp;"มพร!I661"")+IMPORTRANGE(""https://docs.google.com/spreadsheets/d/16pAz3pOhQEZBhvFNMa5KGgZS6iKWpsKX0pg6tQmwFpo/edit?usp=sharing"",""ตรัง!I661"")+IMPORTRANGE(""https://docs.google.com/spreadsheets/d/1Dj4jcHCTV9JXKCaMoheSXS52JE63kDKyG7bPXnFogHk/edit?usp=shar"&amp;"ing"",""นครศรีธรรมราช!I661"")+IMPORTRANGE(""https://docs.google.com/spreadsheets/d/1iodCdmuK2GR3jzUwk8tpccY2JHQQA-87DLOtJP-ooyU/edit?usp=sharing"",""นราธิวาส!I661"")+IMPORTRANGE(""https://docs.google.com/spreadsheets/d/1SDNX3JhDdYRuIOsj0Wh2M-Qa_eaXl0NbWmh"&amp;"AOTbfQAs/edit?usp=sharing"",""ปัตตานี!I661"")+IMPORTRANGE(""https://docs.google.com/spreadsheets/d/16JDLGguT8s5DsGCND1KcwHP_AWR_zDMTqLHPLJUKhaU/edit?usp=sharing"",""พังงา!I661"")+IMPORTRANGE(""https://docs.google.com/spreadsheets/d/17ht0gPKzzT3PObBL1XJkeR"&amp;"mntBXI7wGjpLV7QorqlTk/edit?usp=sharing"",""พัทลุง!I661"")+IMPORTRANGE(""https://docs.google.com/spreadsheets/d/1rd4qoM1q_hsgaolqNGfrim9gbsoLxQsda4-vOz5x_BM/edit?usp=sharing"",""ภูเก็ต!I661"")+IMPORTRANGE(""https://docs.google.com/spreadsheets/d/1woKwKjgoL"&amp;"ssDvPcPeVyezB5izizAn4X1JDrys69n6xI/edit?usp=sharing"",""ยะลา!I661"")+IMPORTRANGE(""https://docs.google.com/spreadsheets/d/1qfrKjzMhm2HJfxQ-qVlJlJQ25Hne1d0khsySbZyGtPA/edit?usp=sharing"",""ระนอง!I661"")+IMPORTRANGE(""https://docs.google.com/spreadsheets/d/"&amp;"1IbSCnFOKpZsnFogBHJnL_isstZVaOMnFiIN0fGTPZZw/edit?usp=sharing"",""สงขลา!I661"")+IMPORTRANGE(""https://docs.google.com/spreadsheets/d/1q9nWasZJ-K8bFGvbE9n0qSRuKGA4Toe3Y89cKCiVtCU/edit?usp=sharing"",""สตูล!I661"")+IMPORTRANGE(""https://docs.google.com/sprea"&amp;"dsheets/d/18T20gbkS_WBjdscyTOV05cvq_JqvqQ17C81mpxf7Ncs/edit?usp=sharing"",""สุราษฎร์ธานี!I661"")"),0)</f>
        <v>0</v>
      </c>
      <c r="J661" s="147">
        <f ca="1">J667+J670</f>
        <v>0</v>
      </c>
      <c r="K661" s="132">
        <f ca="1">IF(I661&gt;0,J661*100/I661,0)</f>
        <v>0</v>
      </c>
      <c r="L661" s="46"/>
      <c r="M661" s="46"/>
      <c r="N661" s="46"/>
      <c r="O661" s="46"/>
      <c r="P661" s="46"/>
      <c r="Q661" s="46"/>
      <c r="R661" s="46"/>
      <c r="S661" s="46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f ca="1">IFERROR(__xludf.DUMMYFUNCTION("IMPORTRANGE(""https://docs.google.com/spreadsheets/d/1kKUcYdkIfrgTSj8iHHHB2MD2FAtwyyocFgqGQn6ADyI/edit?usp=sharing"",""กระบี่!J662"")+IMPORTRANGE(""https://docs.google.com/spreadsheets/d/1GwtLaSlNZkLk7iDqcyZz22giiy40b_usZZBXYciEN1U/edit?usp=sharing"",""ชุ"&amp;"มพร!J662"")+IMPORTRANGE(""https://docs.google.com/spreadsheets/d/16pAz3pOhQEZBhvFNMa5KGgZS6iKWpsKX0pg6tQmwFpo/edit?usp=sharing"",""ตรัง!J662"")+IMPORTRANGE(""https://docs.google.com/spreadsheets/d/1Dj4jcHCTV9JXKCaMoheSXS52JE63kDKyG7bPXnFogHk/edit?usp=shar"&amp;"ing"",""นครศรีธรรมราช!J662"")+IMPORTRANGE(""https://docs.google.com/spreadsheets/d/1iodCdmuK2GR3jzUwk8tpccY2JHQQA-87DLOtJP-ooyU/edit?usp=sharing"",""นราธิวาส!J662"")+IMPORTRANGE(""https://docs.google.com/spreadsheets/d/1SDNX3JhDdYRuIOsj0Wh2M-Qa_eaXl0NbWmh"&amp;"AOTbfQAs/edit?usp=sharing"",""ปัตตานี!J662"")+IMPORTRANGE(""https://docs.google.com/spreadsheets/d/16JDLGguT8s5DsGCND1KcwHP_AWR_zDMTqLHPLJUKhaU/edit?usp=sharing"",""พังงา!J662"")+IMPORTRANGE(""https://docs.google.com/spreadsheets/d/17ht0gPKzzT3PObBL1XJkeR"&amp;"mntBXI7wGjpLV7QorqlTk/edit?usp=sharing"",""พัทลุง!J662"")+IMPORTRANGE(""https://docs.google.com/spreadsheets/d/1rd4qoM1q_hsgaolqNGfrim9gbsoLxQsda4-vOz5x_BM/edit?usp=sharing"",""ภูเก็ต!J662"")+IMPORTRANGE(""https://docs.google.com/spreadsheets/d/1woKwKjgoL"&amp;"ssDvPcPeVyezB5izizAn4X1JDrys69n6xI/edit?usp=sharing"",""ยะลา!J662"")+IMPORTRANGE(""https://docs.google.com/spreadsheets/d/1qfrKjzMhm2HJfxQ-qVlJlJQ25Hne1d0khsySbZyGtPA/edit?usp=sharing"",""ระนอง!J662"")+IMPORTRANGE(""https://docs.google.com/spreadsheets/d/"&amp;"1IbSCnFOKpZsnFogBHJnL_isstZVaOMnFiIN0fGTPZZw/edit?usp=sharing"",""สงขลา!J662"")+IMPORTRANGE(""https://docs.google.com/spreadsheets/d/1q9nWasZJ-K8bFGvbE9n0qSRuKGA4Toe3Y89cKCiVtCU/edit?usp=sharing"",""สตูล!J662"")+IMPORTRANGE(""https://docs.google.com/sprea"&amp;"dsheets/d/18T20gbkS_WBjdscyTOV05cvq_JqvqQ17C81mpxf7Ncs/edit?usp=sharing"",""สุราษฎร์ธานี!J662"")"),0)</f>
        <v>0</v>
      </c>
      <c r="K662" s="46"/>
      <c r="L662" s="479"/>
      <c r="M662" s="479"/>
      <c r="N662" s="479"/>
      <c r="O662" s="46"/>
      <c r="P662" s="46"/>
      <c r="Q662" s="479"/>
      <c r="R662" s="479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f ca="1">IFERROR(__xludf.DUMMYFUNCTION("IMPORTRANGE(""https://docs.google.com/spreadsheets/d/1kKUcYdkIfrgTSj8iHHHB2MD2FAtwyyocFgqGQn6ADyI/edit?usp=sharing"",""กระบี่!J663"")+IMPORTRANGE(""https://docs.google.com/spreadsheets/d/1GwtLaSlNZkLk7iDqcyZz22giiy40b_usZZBXYciEN1U/edit?usp=sharing"",""ชุ"&amp;"มพร!J663"")+IMPORTRANGE(""https://docs.google.com/spreadsheets/d/16pAz3pOhQEZBhvFNMa5KGgZS6iKWpsKX0pg6tQmwFpo/edit?usp=sharing"",""ตรัง!J663"")+IMPORTRANGE(""https://docs.google.com/spreadsheets/d/1Dj4jcHCTV9JXKCaMoheSXS52JE63kDKyG7bPXnFogHk/edit?usp=shar"&amp;"ing"",""นครศรีธรรมราช!J663"")+IMPORTRANGE(""https://docs.google.com/spreadsheets/d/1iodCdmuK2GR3jzUwk8tpccY2JHQQA-87DLOtJP-ooyU/edit?usp=sharing"",""นราธิวาส!J663"")+IMPORTRANGE(""https://docs.google.com/spreadsheets/d/1SDNX3JhDdYRuIOsj0Wh2M-Qa_eaXl0NbWmh"&amp;"AOTbfQAs/edit?usp=sharing"",""ปัตตานี!J663"")+IMPORTRANGE(""https://docs.google.com/spreadsheets/d/16JDLGguT8s5DsGCND1KcwHP_AWR_zDMTqLHPLJUKhaU/edit?usp=sharing"",""พังงา!J663"")+IMPORTRANGE(""https://docs.google.com/spreadsheets/d/17ht0gPKzzT3PObBL1XJkeR"&amp;"mntBXI7wGjpLV7QorqlTk/edit?usp=sharing"",""พัทลุง!J663"")+IMPORTRANGE(""https://docs.google.com/spreadsheets/d/1rd4qoM1q_hsgaolqNGfrim9gbsoLxQsda4-vOz5x_BM/edit?usp=sharing"",""ภูเก็ต!J663"")+IMPORTRANGE(""https://docs.google.com/spreadsheets/d/1woKwKjgoL"&amp;"ssDvPcPeVyezB5izizAn4X1JDrys69n6xI/edit?usp=sharing"",""ยะลา!J663"")+IMPORTRANGE(""https://docs.google.com/spreadsheets/d/1qfrKjzMhm2HJfxQ-qVlJlJQ25Hne1d0khsySbZyGtPA/edit?usp=sharing"",""ระนอง!J663"")+IMPORTRANGE(""https://docs.google.com/spreadsheets/d/"&amp;"1IbSCnFOKpZsnFogBHJnL_isstZVaOMnFiIN0fGTPZZw/edit?usp=sharing"",""สงขลา!J663"")+IMPORTRANGE(""https://docs.google.com/spreadsheets/d/1q9nWasZJ-K8bFGvbE9n0qSRuKGA4Toe3Y89cKCiVtCU/edit?usp=sharing"",""สตูล!J663"")+IMPORTRANGE(""https://docs.google.com/sprea"&amp;"dsheets/d/18T20gbkS_WBjdscyTOV05cvq_JqvqQ17C81mpxf7Ncs/edit?usp=sharing"",""สุราษฎร์ธานี!J663"")"),0)</f>
        <v>0</v>
      </c>
      <c r="K663" s="46"/>
      <c r="L663" s="479"/>
      <c r="M663" s="479"/>
      <c r="N663" s="479"/>
      <c r="O663" s="46"/>
      <c r="P663" s="46"/>
      <c r="Q663" s="479"/>
      <c r="R663" s="479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479"/>
      <c r="M664" s="479"/>
      <c r="N664" s="479"/>
      <c r="O664" s="46"/>
      <c r="P664" s="46"/>
      <c r="Q664" s="479"/>
      <c r="R664" s="479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f ca="1">IFERROR(__xludf.DUMMYFUNCTION("IMPORTRANGE(""https://docs.google.com/spreadsheets/d/1kKUcYdkIfrgTSj8iHHHB2MD2FAtwyyocFgqGQn6ADyI/edit?usp=sharing"",""กระบี่!J665"")+IMPORTRANGE(""https://docs.google.com/spreadsheets/d/1GwtLaSlNZkLk7iDqcyZz22giiy40b_usZZBXYciEN1U/edit?usp=sharing"",""ชุ"&amp;"มพร!J665"")+IMPORTRANGE(""https://docs.google.com/spreadsheets/d/16pAz3pOhQEZBhvFNMa5KGgZS6iKWpsKX0pg6tQmwFpo/edit?usp=sharing"",""ตรัง!J665"")+IMPORTRANGE(""https://docs.google.com/spreadsheets/d/1Dj4jcHCTV9JXKCaMoheSXS52JE63kDKyG7bPXnFogHk/edit?usp=shar"&amp;"ing"",""นครศรีธรรมราช!J665"")+IMPORTRANGE(""https://docs.google.com/spreadsheets/d/1iodCdmuK2GR3jzUwk8tpccY2JHQQA-87DLOtJP-ooyU/edit?usp=sharing"",""นราธิวาส!J665"")+IMPORTRANGE(""https://docs.google.com/spreadsheets/d/1SDNX3JhDdYRuIOsj0Wh2M-Qa_eaXl0NbWmh"&amp;"AOTbfQAs/edit?usp=sharing"",""ปัตตานี!J665"")+IMPORTRANGE(""https://docs.google.com/spreadsheets/d/16JDLGguT8s5DsGCND1KcwHP_AWR_zDMTqLHPLJUKhaU/edit?usp=sharing"",""พังงา!J665"")+IMPORTRANGE(""https://docs.google.com/spreadsheets/d/17ht0gPKzzT3PObBL1XJkeR"&amp;"mntBXI7wGjpLV7QorqlTk/edit?usp=sharing"",""พัทลุง!J665"")+IMPORTRANGE(""https://docs.google.com/spreadsheets/d/1rd4qoM1q_hsgaolqNGfrim9gbsoLxQsda4-vOz5x_BM/edit?usp=sharing"",""ภูเก็ต!J665"")+IMPORTRANGE(""https://docs.google.com/spreadsheets/d/1woKwKjgoL"&amp;"ssDvPcPeVyezB5izizAn4X1JDrys69n6xI/edit?usp=sharing"",""ยะลา!J665"")+IMPORTRANGE(""https://docs.google.com/spreadsheets/d/1qfrKjzMhm2HJfxQ-qVlJlJQ25Hne1d0khsySbZyGtPA/edit?usp=sharing"",""ระนอง!J665"")+IMPORTRANGE(""https://docs.google.com/spreadsheets/d/"&amp;"1IbSCnFOKpZsnFogBHJnL_isstZVaOMnFiIN0fGTPZZw/edit?usp=sharing"",""สงขลา!J665"")+IMPORTRANGE(""https://docs.google.com/spreadsheets/d/1q9nWasZJ-K8bFGvbE9n0qSRuKGA4Toe3Y89cKCiVtCU/edit?usp=sharing"",""สตูล!J665"")+IMPORTRANGE(""https://docs.google.com/sprea"&amp;"dsheets/d/18T20gbkS_WBjdscyTOV05cvq_JqvqQ17C81mpxf7Ncs/edit?usp=sharing"",""สุราษฎร์ธานี!J665"")"),0)</f>
        <v>0</v>
      </c>
      <c r="K665" s="46"/>
      <c r="L665" s="479"/>
      <c r="M665" s="479"/>
      <c r="N665" s="479"/>
      <c r="O665" s="46"/>
      <c r="P665" s="46"/>
      <c r="Q665" s="479"/>
      <c r="R665" s="479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f ca="1">IFERROR(__xludf.DUMMYFUNCTION("IMPORTRANGE(""https://docs.google.com/spreadsheets/d/1kKUcYdkIfrgTSj8iHHHB2MD2FAtwyyocFgqGQn6ADyI/edit?usp=sharing"",""กระบี่!J666"")+IMPORTRANGE(""https://docs.google.com/spreadsheets/d/1GwtLaSlNZkLk7iDqcyZz22giiy40b_usZZBXYciEN1U/edit?usp=sharing"",""ชุ"&amp;"มพร!J666"")+IMPORTRANGE(""https://docs.google.com/spreadsheets/d/16pAz3pOhQEZBhvFNMa5KGgZS6iKWpsKX0pg6tQmwFpo/edit?usp=sharing"",""ตรัง!J666"")+IMPORTRANGE(""https://docs.google.com/spreadsheets/d/1Dj4jcHCTV9JXKCaMoheSXS52JE63kDKyG7bPXnFogHk/edit?usp=shar"&amp;"ing"",""นครศรีธรรมราช!J666"")+IMPORTRANGE(""https://docs.google.com/spreadsheets/d/1iodCdmuK2GR3jzUwk8tpccY2JHQQA-87DLOtJP-ooyU/edit?usp=sharing"",""นราธิวาส!J666"")+IMPORTRANGE(""https://docs.google.com/spreadsheets/d/1SDNX3JhDdYRuIOsj0Wh2M-Qa_eaXl0NbWmh"&amp;"AOTbfQAs/edit?usp=sharing"",""ปัตตานี!J666"")+IMPORTRANGE(""https://docs.google.com/spreadsheets/d/16JDLGguT8s5DsGCND1KcwHP_AWR_zDMTqLHPLJUKhaU/edit?usp=sharing"",""พังงา!J666"")+IMPORTRANGE(""https://docs.google.com/spreadsheets/d/17ht0gPKzzT3PObBL1XJkeR"&amp;"mntBXI7wGjpLV7QorqlTk/edit?usp=sharing"",""พัทลุง!J666"")+IMPORTRANGE(""https://docs.google.com/spreadsheets/d/1rd4qoM1q_hsgaolqNGfrim9gbsoLxQsda4-vOz5x_BM/edit?usp=sharing"",""ภูเก็ต!J666"")+IMPORTRANGE(""https://docs.google.com/spreadsheets/d/1woKwKjgoL"&amp;"ssDvPcPeVyezB5izizAn4X1JDrys69n6xI/edit?usp=sharing"",""ยะลา!J666"")+IMPORTRANGE(""https://docs.google.com/spreadsheets/d/1qfrKjzMhm2HJfxQ-qVlJlJQ25Hne1d0khsySbZyGtPA/edit?usp=sharing"",""ระนอง!J666"")+IMPORTRANGE(""https://docs.google.com/spreadsheets/d/"&amp;"1IbSCnFOKpZsnFogBHJnL_isstZVaOMnFiIN0fGTPZZw/edit?usp=sharing"",""สงขลา!J666"")+IMPORTRANGE(""https://docs.google.com/spreadsheets/d/1q9nWasZJ-K8bFGvbE9n0qSRuKGA4Toe3Y89cKCiVtCU/edit?usp=sharing"",""สตูล!J666"")+IMPORTRANGE(""https://docs.google.com/sprea"&amp;"dsheets/d/18T20gbkS_WBjdscyTOV05cvq_JqvqQ17C81mpxf7Ncs/edit?usp=sharing"",""สุราษฎร์ธานี!J666"")"),0)</f>
        <v>0</v>
      </c>
      <c r="K666" s="46"/>
      <c r="L666" s="479"/>
      <c r="M666" s="479"/>
      <c r="N666" s="479"/>
      <c r="O666" s="46"/>
      <c r="P666" s="46"/>
      <c r="Q666" s="479"/>
      <c r="R666" s="479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f ca="1">IFERROR(__xludf.DUMMYFUNCTION("IMPORTRANGE(""https://docs.google.com/spreadsheets/d/1kKUcYdkIfrgTSj8iHHHB2MD2FAtwyyocFgqGQn6ADyI/edit?usp=sharing"",""กระบี่!J667"")+IMPORTRANGE(""https://docs.google.com/spreadsheets/d/1GwtLaSlNZkLk7iDqcyZz22giiy40b_usZZBXYciEN1U/edit?usp=sharing"",""ชุ"&amp;"มพร!J667"")+IMPORTRANGE(""https://docs.google.com/spreadsheets/d/16pAz3pOhQEZBhvFNMa5KGgZS6iKWpsKX0pg6tQmwFpo/edit?usp=sharing"",""ตรัง!J667"")+IMPORTRANGE(""https://docs.google.com/spreadsheets/d/1Dj4jcHCTV9JXKCaMoheSXS52JE63kDKyG7bPXnFogHk/edit?usp=shar"&amp;"ing"",""นครศรีธรรมราช!J667"")+IMPORTRANGE(""https://docs.google.com/spreadsheets/d/1iodCdmuK2GR3jzUwk8tpccY2JHQQA-87DLOtJP-ooyU/edit?usp=sharing"",""นราธิวาส!J667"")+IMPORTRANGE(""https://docs.google.com/spreadsheets/d/1SDNX3JhDdYRuIOsj0Wh2M-Qa_eaXl0NbWmh"&amp;"AOTbfQAs/edit?usp=sharing"",""ปัตตานี!J667"")+IMPORTRANGE(""https://docs.google.com/spreadsheets/d/16JDLGguT8s5DsGCND1KcwHP_AWR_zDMTqLHPLJUKhaU/edit?usp=sharing"",""พังงา!J667"")+IMPORTRANGE(""https://docs.google.com/spreadsheets/d/17ht0gPKzzT3PObBL1XJkeR"&amp;"mntBXI7wGjpLV7QorqlTk/edit?usp=sharing"",""พัทลุง!J667"")+IMPORTRANGE(""https://docs.google.com/spreadsheets/d/1rd4qoM1q_hsgaolqNGfrim9gbsoLxQsda4-vOz5x_BM/edit?usp=sharing"",""ภูเก็ต!J667"")+IMPORTRANGE(""https://docs.google.com/spreadsheets/d/1woKwKjgoL"&amp;"ssDvPcPeVyezB5izizAn4X1JDrys69n6xI/edit?usp=sharing"",""ยะลา!J667"")+IMPORTRANGE(""https://docs.google.com/spreadsheets/d/1qfrKjzMhm2HJfxQ-qVlJlJQ25Hne1d0khsySbZyGtPA/edit?usp=sharing"",""ระนอง!J667"")+IMPORTRANGE(""https://docs.google.com/spreadsheets/d/"&amp;"1IbSCnFOKpZsnFogBHJnL_isstZVaOMnFiIN0fGTPZZw/edit?usp=sharing"",""สงขลา!J667"")+IMPORTRANGE(""https://docs.google.com/spreadsheets/d/1q9nWasZJ-K8bFGvbE9n0qSRuKGA4Toe3Y89cKCiVtCU/edit?usp=sharing"",""สตูล!J667"")+IMPORTRANGE(""https://docs.google.com/sprea"&amp;"dsheets/d/18T20gbkS_WBjdscyTOV05cvq_JqvqQ17C81mpxf7Ncs/edit?usp=sharing"",""สุราษฎร์ธานี!J667"")"),0)</f>
        <v>0</v>
      </c>
      <c r="K667" s="46"/>
      <c r="L667" s="479"/>
      <c r="M667" s="479"/>
      <c r="N667" s="479"/>
      <c r="O667" s="46"/>
      <c r="P667" s="46"/>
      <c r="Q667" s="479"/>
      <c r="R667" s="479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f ca="1">IFERROR(__xludf.DUMMYFUNCTION("IMPORTRANGE(""https://docs.google.com/spreadsheets/d/1kKUcYdkIfrgTSj8iHHHB2MD2FAtwyyocFgqGQn6ADyI/edit?usp=sharing"",""กระบี่!J668"")+IMPORTRANGE(""https://docs.google.com/spreadsheets/d/1GwtLaSlNZkLk7iDqcyZz22giiy40b_usZZBXYciEN1U/edit?usp=sharing"",""ชุ"&amp;"มพร!J668"")+IMPORTRANGE(""https://docs.google.com/spreadsheets/d/16pAz3pOhQEZBhvFNMa5KGgZS6iKWpsKX0pg6tQmwFpo/edit?usp=sharing"",""ตรัง!J668"")+IMPORTRANGE(""https://docs.google.com/spreadsheets/d/1Dj4jcHCTV9JXKCaMoheSXS52JE63kDKyG7bPXnFogHk/edit?usp=shar"&amp;"ing"",""นครศรีธรรมราช!J668"")+IMPORTRANGE(""https://docs.google.com/spreadsheets/d/1iodCdmuK2GR3jzUwk8tpccY2JHQQA-87DLOtJP-ooyU/edit?usp=sharing"",""นราธิวาส!J668"")+IMPORTRANGE(""https://docs.google.com/spreadsheets/d/1SDNX3JhDdYRuIOsj0Wh2M-Qa_eaXl0NbWmh"&amp;"AOTbfQAs/edit?usp=sharing"",""ปัตตานี!J668"")+IMPORTRANGE(""https://docs.google.com/spreadsheets/d/16JDLGguT8s5DsGCND1KcwHP_AWR_zDMTqLHPLJUKhaU/edit?usp=sharing"",""พังงา!J668"")+IMPORTRANGE(""https://docs.google.com/spreadsheets/d/17ht0gPKzzT3PObBL1XJkeR"&amp;"mntBXI7wGjpLV7QorqlTk/edit?usp=sharing"",""พัทลุง!J668"")+IMPORTRANGE(""https://docs.google.com/spreadsheets/d/1rd4qoM1q_hsgaolqNGfrim9gbsoLxQsda4-vOz5x_BM/edit?usp=sharing"",""ภูเก็ต!J668"")+IMPORTRANGE(""https://docs.google.com/spreadsheets/d/1woKwKjgoL"&amp;"ssDvPcPeVyezB5izizAn4X1JDrys69n6xI/edit?usp=sharing"",""ยะลา!J668"")+IMPORTRANGE(""https://docs.google.com/spreadsheets/d/1qfrKjzMhm2HJfxQ-qVlJlJQ25Hne1d0khsySbZyGtPA/edit?usp=sharing"",""ระนอง!J668"")+IMPORTRANGE(""https://docs.google.com/spreadsheets/d/"&amp;"1IbSCnFOKpZsnFogBHJnL_isstZVaOMnFiIN0fGTPZZw/edit?usp=sharing"",""สงขลา!J668"")+IMPORTRANGE(""https://docs.google.com/spreadsheets/d/1q9nWasZJ-K8bFGvbE9n0qSRuKGA4Toe3Y89cKCiVtCU/edit?usp=sharing"",""สตูล!J668"")+IMPORTRANGE(""https://docs.google.com/sprea"&amp;"dsheets/d/18T20gbkS_WBjdscyTOV05cvq_JqvqQ17C81mpxf7Ncs/edit?usp=sharing"",""สุราษฎร์ธานี!J668"")"),0)</f>
        <v>0</v>
      </c>
      <c r="K668" s="46"/>
      <c r="L668" s="479"/>
      <c r="M668" s="479"/>
      <c r="N668" s="479"/>
      <c r="O668" s="46"/>
      <c r="P668" s="46"/>
      <c r="Q668" s="479"/>
      <c r="R668" s="479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f ca="1">IFERROR(__xludf.DUMMYFUNCTION("IMPORTRANGE(""https://docs.google.com/spreadsheets/d/1kKUcYdkIfrgTSj8iHHHB2MD2FAtwyyocFgqGQn6ADyI/edit?usp=sharing"",""กระบี่!J669"")+IMPORTRANGE(""https://docs.google.com/spreadsheets/d/1GwtLaSlNZkLk7iDqcyZz22giiy40b_usZZBXYciEN1U/edit?usp=sharing"",""ชุ"&amp;"มพร!J669"")+IMPORTRANGE(""https://docs.google.com/spreadsheets/d/16pAz3pOhQEZBhvFNMa5KGgZS6iKWpsKX0pg6tQmwFpo/edit?usp=sharing"",""ตรัง!J669"")+IMPORTRANGE(""https://docs.google.com/spreadsheets/d/1Dj4jcHCTV9JXKCaMoheSXS52JE63kDKyG7bPXnFogHk/edit?usp=shar"&amp;"ing"",""นครศรีธรรมราช!J669"")+IMPORTRANGE(""https://docs.google.com/spreadsheets/d/1iodCdmuK2GR3jzUwk8tpccY2JHQQA-87DLOtJP-ooyU/edit?usp=sharing"",""นราธิวาส!J669"")+IMPORTRANGE(""https://docs.google.com/spreadsheets/d/1SDNX3JhDdYRuIOsj0Wh2M-Qa_eaXl0NbWmh"&amp;"AOTbfQAs/edit?usp=sharing"",""ปัตตานี!J669"")+IMPORTRANGE(""https://docs.google.com/spreadsheets/d/16JDLGguT8s5DsGCND1KcwHP_AWR_zDMTqLHPLJUKhaU/edit?usp=sharing"",""พังงา!J669"")+IMPORTRANGE(""https://docs.google.com/spreadsheets/d/17ht0gPKzzT3PObBL1XJkeR"&amp;"mntBXI7wGjpLV7QorqlTk/edit?usp=sharing"",""พัทลุง!J669"")+IMPORTRANGE(""https://docs.google.com/spreadsheets/d/1rd4qoM1q_hsgaolqNGfrim9gbsoLxQsda4-vOz5x_BM/edit?usp=sharing"",""ภูเก็ต!J669"")+IMPORTRANGE(""https://docs.google.com/spreadsheets/d/1woKwKjgoL"&amp;"ssDvPcPeVyezB5izizAn4X1JDrys69n6xI/edit?usp=sharing"",""ยะลา!J669"")+IMPORTRANGE(""https://docs.google.com/spreadsheets/d/1qfrKjzMhm2HJfxQ-qVlJlJQ25Hne1d0khsySbZyGtPA/edit?usp=sharing"",""ระนอง!J669"")+IMPORTRANGE(""https://docs.google.com/spreadsheets/d/"&amp;"1IbSCnFOKpZsnFogBHJnL_isstZVaOMnFiIN0fGTPZZw/edit?usp=sharing"",""สงขลา!J669"")+IMPORTRANGE(""https://docs.google.com/spreadsheets/d/1q9nWasZJ-K8bFGvbE9n0qSRuKGA4Toe3Y89cKCiVtCU/edit?usp=sharing"",""สตูล!J669"")+IMPORTRANGE(""https://docs.google.com/sprea"&amp;"dsheets/d/18T20gbkS_WBjdscyTOV05cvq_JqvqQ17C81mpxf7Ncs/edit?usp=sharing"",""สุราษฎร์ธานี!J669"")"),0)</f>
        <v>0</v>
      </c>
      <c r="K669" s="46"/>
      <c r="L669" s="479"/>
      <c r="M669" s="479"/>
      <c r="N669" s="479"/>
      <c r="O669" s="46"/>
      <c r="P669" s="46"/>
      <c r="Q669" s="479"/>
      <c r="R669" s="479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f ca="1">IFERROR(__xludf.DUMMYFUNCTION("IMPORTRANGE(""https://docs.google.com/spreadsheets/d/1kKUcYdkIfrgTSj8iHHHB2MD2FAtwyyocFgqGQn6ADyI/edit?usp=sharing"",""กระบี่!J670"")+IMPORTRANGE(""https://docs.google.com/spreadsheets/d/1GwtLaSlNZkLk7iDqcyZz22giiy40b_usZZBXYciEN1U/edit?usp=sharing"",""ชุ"&amp;"มพร!J670"")+IMPORTRANGE(""https://docs.google.com/spreadsheets/d/16pAz3pOhQEZBhvFNMa5KGgZS6iKWpsKX0pg6tQmwFpo/edit?usp=sharing"",""ตรัง!J670"")+IMPORTRANGE(""https://docs.google.com/spreadsheets/d/1Dj4jcHCTV9JXKCaMoheSXS52JE63kDKyG7bPXnFogHk/edit?usp=shar"&amp;"ing"",""นครศรีธรรมราช!J670"")+IMPORTRANGE(""https://docs.google.com/spreadsheets/d/1iodCdmuK2GR3jzUwk8tpccY2JHQQA-87DLOtJP-ooyU/edit?usp=sharing"",""นราธิวาส!J670"")+IMPORTRANGE(""https://docs.google.com/spreadsheets/d/1SDNX3JhDdYRuIOsj0Wh2M-Qa_eaXl0NbWmh"&amp;"AOTbfQAs/edit?usp=sharing"",""ปัตตานี!J670"")+IMPORTRANGE(""https://docs.google.com/spreadsheets/d/16JDLGguT8s5DsGCND1KcwHP_AWR_zDMTqLHPLJUKhaU/edit?usp=sharing"",""พังงา!J670"")+IMPORTRANGE(""https://docs.google.com/spreadsheets/d/17ht0gPKzzT3PObBL1XJkeR"&amp;"mntBXI7wGjpLV7QorqlTk/edit?usp=sharing"",""พัทลุง!J670"")+IMPORTRANGE(""https://docs.google.com/spreadsheets/d/1rd4qoM1q_hsgaolqNGfrim9gbsoLxQsda4-vOz5x_BM/edit?usp=sharing"",""ภูเก็ต!J670"")+IMPORTRANGE(""https://docs.google.com/spreadsheets/d/1woKwKjgoL"&amp;"ssDvPcPeVyezB5izizAn4X1JDrys69n6xI/edit?usp=sharing"",""ยะลา!J670"")+IMPORTRANGE(""https://docs.google.com/spreadsheets/d/1qfrKjzMhm2HJfxQ-qVlJlJQ25Hne1d0khsySbZyGtPA/edit?usp=sharing"",""ระนอง!J670"")+IMPORTRANGE(""https://docs.google.com/spreadsheets/d/"&amp;"1IbSCnFOKpZsnFogBHJnL_isstZVaOMnFiIN0fGTPZZw/edit?usp=sharing"",""สงขลา!J670"")+IMPORTRANGE(""https://docs.google.com/spreadsheets/d/1q9nWasZJ-K8bFGvbE9n0qSRuKGA4Toe3Y89cKCiVtCU/edit?usp=sharing"",""สตูล!J670"")+IMPORTRANGE(""https://docs.google.com/sprea"&amp;"dsheets/d/18T20gbkS_WBjdscyTOV05cvq_JqvqQ17C81mpxf7Ncs/edit?usp=sharing"",""สุราษฎร์ธานี!J670"")"),0)</f>
        <v>0</v>
      </c>
      <c r="K670" s="46"/>
      <c r="L670" s="479"/>
      <c r="M670" s="479"/>
      <c r="N670" s="479"/>
      <c r="O670" s="46"/>
      <c r="P670" s="46"/>
      <c r="Q670" s="479"/>
      <c r="R670" s="479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kKUcYdkIfrgTSj8iHHHB2MD2FAtwyyocFgqGQn6ADyI/edit?usp=sharing"",""กระบี่!J671"")+IMPORTRANGE(""https://docs.google.com/spreadsheets/d/1GwtLaSlNZkLk7iDqcyZz22giiy40b_usZZBXYciEN1U/edit?usp=sharing"",""ชุ"&amp;"มพร!J671"")+IMPORTRANGE(""https://docs.google.com/spreadsheets/d/16pAz3pOhQEZBhvFNMa5KGgZS6iKWpsKX0pg6tQmwFpo/edit?usp=sharing"",""ตรัง!J671"")+IMPORTRANGE(""https://docs.google.com/spreadsheets/d/1Dj4jcHCTV9JXKCaMoheSXS52JE63kDKyG7bPXnFogHk/edit?usp=shar"&amp;"ing"",""นครศรีธรรมราช!J671"")+IMPORTRANGE(""https://docs.google.com/spreadsheets/d/1iodCdmuK2GR3jzUwk8tpccY2JHQQA-87DLOtJP-ooyU/edit?usp=sharing"",""นราธิวาส!J671"")+IMPORTRANGE(""https://docs.google.com/spreadsheets/d/1SDNX3JhDdYRuIOsj0Wh2M-Qa_eaXl0NbWmh"&amp;"AOTbfQAs/edit?usp=sharing"",""ปัตตานี!J671"")+IMPORTRANGE(""https://docs.google.com/spreadsheets/d/16JDLGguT8s5DsGCND1KcwHP_AWR_zDMTqLHPLJUKhaU/edit?usp=sharing"",""พังงา!J671"")+IMPORTRANGE(""https://docs.google.com/spreadsheets/d/17ht0gPKzzT3PObBL1XJkeR"&amp;"mntBXI7wGjpLV7QorqlTk/edit?usp=sharing"",""พัทลุง!J671"")+IMPORTRANGE(""https://docs.google.com/spreadsheets/d/1rd4qoM1q_hsgaolqNGfrim9gbsoLxQsda4-vOz5x_BM/edit?usp=sharing"",""ภูเก็ต!J671"")+IMPORTRANGE(""https://docs.google.com/spreadsheets/d/1woKwKjgoL"&amp;"ssDvPcPeVyezB5izizAn4X1JDrys69n6xI/edit?usp=sharing"",""ยะลา!J671"")+IMPORTRANGE(""https://docs.google.com/spreadsheets/d/1qfrKjzMhm2HJfxQ-qVlJlJQ25Hne1d0khsySbZyGtPA/edit?usp=sharing"",""ระนอง!J671"")+IMPORTRANGE(""https://docs.google.com/spreadsheets/d/"&amp;"1IbSCnFOKpZsnFogBHJnL_isstZVaOMnFiIN0fGTPZZw/edit?usp=sharing"",""สงขลา!J671"")+IMPORTRANGE(""https://docs.google.com/spreadsheets/d/1q9nWasZJ-K8bFGvbE9n0qSRuKGA4Toe3Y89cKCiVtCU/edit?usp=sharing"",""สตูล!J671"")+IMPORTRANGE(""https://docs.google.com/sprea"&amp;"dsheets/d/18T20gbkS_WBjdscyTOV05cvq_JqvqQ17C81mpxf7Ncs/edit?usp=sharing"",""สุราษฎร์ธานี!J671"")"),0)</f>
        <v>0</v>
      </c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kKUcYdkIfrgTSj8iHHHB2MD2FAtwyyocFgqGQn6ADyI/edit?usp=sharing"",""กระบี่!J672"")+IMPORTRANGE(""https://docs.google.com/spreadsheets/d/1GwtLaSlNZkLk7iDqcyZz22giiy40b_usZZBXYciEN1U/edit?usp=sharing"",""ชุ"&amp;"มพร!J672"")+IMPORTRANGE(""https://docs.google.com/spreadsheets/d/16pAz3pOhQEZBhvFNMa5KGgZS6iKWpsKX0pg6tQmwFpo/edit?usp=sharing"",""ตรัง!J672"")+IMPORTRANGE(""https://docs.google.com/spreadsheets/d/1Dj4jcHCTV9JXKCaMoheSXS52JE63kDKyG7bPXnFogHk/edit?usp=shar"&amp;"ing"",""นครศรีธรรมราช!J672"")+IMPORTRANGE(""https://docs.google.com/spreadsheets/d/1iodCdmuK2GR3jzUwk8tpccY2JHQQA-87DLOtJP-ooyU/edit?usp=sharing"",""นราธิวาส!J672"")+IMPORTRANGE(""https://docs.google.com/spreadsheets/d/1SDNX3JhDdYRuIOsj0Wh2M-Qa_eaXl0NbWmh"&amp;"AOTbfQAs/edit?usp=sharing"",""ปัตตานี!J672"")+IMPORTRANGE(""https://docs.google.com/spreadsheets/d/16JDLGguT8s5DsGCND1KcwHP_AWR_zDMTqLHPLJUKhaU/edit?usp=sharing"",""พังงา!J672"")+IMPORTRANGE(""https://docs.google.com/spreadsheets/d/17ht0gPKzzT3PObBL1XJkeR"&amp;"mntBXI7wGjpLV7QorqlTk/edit?usp=sharing"",""พัทลุง!J672"")+IMPORTRANGE(""https://docs.google.com/spreadsheets/d/1rd4qoM1q_hsgaolqNGfrim9gbsoLxQsda4-vOz5x_BM/edit?usp=sharing"",""ภูเก็ต!J672"")+IMPORTRANGE(""https://docs.google.com/spreadsheets/d/1woKwKjgoL"&amp;"ssDvPcPeVyezB5izizAn4X1JDrys69n6xI/edit?usp=sharing"",""ยะลา!J672"")+IMPORTRANGE(""https://docs.google.com/spreadsheets/d/1qfrKjzMhm2HJfxQ-qVlJlJQ25Hne1d0khsySbZyGtPA/edit?usp=sharing"",""ระนอง!J672"")+IMPORTRANGE(""https://docs.google.com/spreadsheets/d/"&amp;"1IbSCnFOKpZsnFogBHJnL_isstZVaOMnFiIN0fGTPZZw/edit?usp=sharing"",""สงขลา!J672"")+IMPORTRANGE(""https://docs.google.com/spreadsheets/d/1q9nWasZJ-K8bFGvbE9n0qSRuKGA4Toe3Y89cKCiVtCU/edit?usp=sharing"",""สตูล!J672"")+IMPORTRANGE(""https://docs.google.com/sprea"&amp;"dsheets/d/18T20gbkS_WBjdscyTOV05cvq_JqvqQ17C81mpxf7Ncs/edit?usp=sharing"",""สุราษฎร์ธานี!J672"")"),0)</f>
        <v>0</v>
      </c>
      <c r="K672" s="46"/>
      <c r="L672" s="479"/>
      <c r="M672" s="479"/>
      <c r="N672" s="479"/>
      <c r="O672" s="46"/>
      <c r="P672" s="46"/>
      <c r="Q672" s="479"/>
      <c r="R672" s="479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kKUcYdkIfrgTSj8iHHHB2MD2FAtwyyocFgqGQn6ADyI/edit?usp=sharing"",""กระบี่!I673"")+IMPORTRANGE(""https://docs.google.com/spreadsheets/d/1GwtLaSlNZkLk7iDqcyZz22giiy40b_usZZBXYciEN1U/edit?usp=sharing"",""ชุ"&amp;"มพร!I673"")+IMPORTRANGE(""https://docs.google.com/spreadsheets/d/16pAz3pOhQEZBhvFNMa5KGgZS6iKWpsKX0pg6tQmwFpo/edit?usp=sharing"",""ตรัง!I673"")+IMPORTRANGE(""https://docs.google.com/spreadsheets/d/1Dj4jcHCTV9JXKCaMoheSXS52JE63kDKyG7bPXnFogHk/edit?usp=shar"&amp;"ing"",""นครศรีธรรมราช!I673"")+IMPORTRANGE(""https://docs.google.com/spreadsheets/d/1iodCdmuK2GR3jzUwk8tpccY2JHQQA-87DLOtJP-ooyU/edit?usp=sharing"",""นราธิวาส!I673"")+IMPORTRANGE(""https://docs.google.com/spreadsheets/d/1SDNX3JhDdYRuIOsj0Wh2M-Qa_eaXl0NbWmh"&amp;"AOTbfQAs/edit?usp=sharing"",""ปัตตานี!I673"")+IMPORTRANGE(""https://docs.google.com/spreadsheets/d/16JDLGguT8s5DsGCND1KcwHP_AWR_zDMTqLHPLJUKhaU/edit?usp=sharing"",""พังงา!I673"")+IMPORTRANGE(""https://docs.google.com/spreadsheets/d/17ht0gPKzzT3PObBL1XJkeR"&amp;"mntBXI7wGjpLV7QorqlTk/edit?usp=sharing"",""พัทลุง!I673"")+IMPORTRANGE(""https://docs.google.com/spreadsheets/d/1rd4qoM1q_hsgaolqNGfrim9gbsoLxQsda4-vOz5x_BM/edit?usp=sharing"",""ภูเก็ต!I673"")+IMPORTRANGE(""https://docs.google.com/spreadsheets/d/1woKwKjgoL"&amp;"ssDvPcPeVyezB5izizAn4X1JDrys69n6xI/edit?usp=sharing"",""ยะลา!I673"")+IMPORTRANGE(""https://docs.google.com/spreadsheets/d/1qfrKjzMhm2HJfxQ-qVlJlJQ25Hne1d0khsySbZyGtPA/edit?usp=sharing"",""ระนอง!I673"")+IMPORTRANGE(""https://docs.google.com/spreadsheets/d/"&amp;"1IbSCnFOKpZsnFogBHJnL_isstZVaOMnFiIN0fGTPZZw/edit?usp=sharing"",""สงขลา!I673"")+IMPORTRANGE(""https://docs.google.com/spreadsheets/d/1q9nWasZJ-K8bFGvbE9n0qSRuKGA4Toe3Y89cKCiVtCU/edit?usp=sharing"",""สตูล!I673"")+IMPORTRANGE(""https://docs.google.com/sprea"&amp;"dsheets/d/18T20gbkS_WBjdscyTOV05cvq_JqvqQ17C81mpxf7Ncs/edit?usp=sharing"",""สุราษฎร์ธานี!I673"")"),0)</f>
        <v>0</v>
      </c>
      <c r="J673" s="477">
        <f ca="1">IFERROR(__xludf.DUMMYFUNCTION("IMPORTRANGE(""https://docs.google.com/spreadsheets/d/1kKUcYdkIfrgTSj8iHHHB2MD2FAtwyyocFgqGQn6ADyI/edit?usp=sharing"",""กระบี่!J673"")+IMPORTRANGE(""https://docs.google.com/spreadsheets/d/1GwtLaSlNZkLk7iDqcyZz22giiy40b_usZZBXYciEN1U/edit?usp=sharing"",""ชุ"&amp;"มพร!J673"")+IMPORTRANGE(""https://docs.google.com/spreadsheets/d/16pAz3pOhQEZBhvFNMa5KGgZS6iKWpsKX0pg6tQmwFpo/edit?usp=sharing"",""ตรัง!J673"")+IMPORTRANGE(""https://docs.google.com/spreadsheets/d/1Dj4jcHCTV9JXKCaMoheSXS52JE63kDKyG7bPXnFogHk/edit?usp=shar"&amp;"ing"",""นครศรีธรรมราช!J673"")+IMPORTRANGE(""https://docs.google.com/spreadsheets/d/1iodCdmuK2GR3jzUwk8tpccY2JHQQA-87DLOtJP-ooyU/edit?usp=sharing"",""นราธิวาส!J673"")+IMPORTRANGE(""https://docs.google.com/spreadsheets/d/1SDNX3JhDdYRuIOsj0Wh2M-Qa_eaXl0NbWmh"&amp;"AOTbfQAs/edit?usp=sharing"",""ปัตตานี!J673"")+IMPORTRANGE(""https://docs.google.com/spreadsheets/d/16JDLGguT8s5DsGCND1KcwHP_AWR_zDMTqLHPLJUKhaU/edit?usp=sharing"",""พังงา!J673"")+IMPORTRANGE(""https://docs.google.com/spreadsheets/d/17ht0gPKzzT3PObBL1XJkeR"&amp;"mntBXI7wGjpLV7QorqlTk/edit?usp=sharing"",""พัทลุง!J673"")+IMPORTRANGE(""https://docs.google.com/spreadsheets/d/1rd4qoM1q_hsgaolqNGfrim9gbsoLxQsda4-vOz5x_BM/edit?usp=sharing"",""ภูเก็ต!J673"")+IMPORTRANGE(""https://docs.google.com/spreadsheets/d/1woKwKjgoL"&amp;"ssDvPcPeVyezB5izizAn4X1JDrys69n6xI/edit?usp=sharing"",""ยะลา!J673"")+IMPORTRANGE(""https://docs.google.com/spreadsheets/d/1qfrKjzMhm2HJfxQ-qVlJlJQ25Hne1d0khsySbZyGtPA/edit?usp=sharing"",""ระนอง!J673"")+IMPORTRANGE(""https://docs.google.com/spreadsheets/d/"&amp;"1IbSCnFOKpZsnFogBHJnL_isstZVaOMnFiIN0fGTPZZw/edit?usp=sharing"",""สงขลา!J673"")+IMPORTRANGE(""https://docs.google.com/spreadsheets/d/1q9nWasZJ-K8bFGvbE9n0qSRuKGA4Toe3Y89cKCiVtCU/edit?usp=sharing"",""สตูล!J673"")+IMPORTRANGE(""https://docs.google.com/sprea"&amp;"dsheets/d/18T20gbkS_WBjdscyTOV05cvq_JqvqQ17C81mpxf7Ncs/edit?usp=sharing"",""สุราษฎร์ธานี!J673"")"),0)</f>
        <v>0</v>
      </c>
      <c r="K673" s="47">
        <f t="shared" ref="K673:K676" ca="1" si="469">IF(I673&gt;0,J673*100/I673,0)</f>
        <v>0</v>
      </c>
      <c r="L673" s="479"/>
      <c r="M673" s="479"/>
      <c r="N673" s="479"/>
      <c r="O673" s="46"/>
      <c r="P673" s="46"/>
      <c r="Q673" s="479"/>
      <c r="R673" s="479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kKUcYdkIfrgTSj8iHHHB2MD2FAtwyyocFgqGQn6ADyI/edit?usp=sharing"",""กระบี่!I674"")+IMPORTRANGE(""https://docs.google.com/spreadsheets/d/1GwtLaSlNZkLk7iDqcyZz22giiy40b_usZZBXYciEN1U/edit?usp=sharing"",""ชุ"&amp;"มพร!I674"")+IMPORTRANGE(""https://docs.google.com/spreadsheets/d/16pAz3pOhQEZBhvFNMa5KGgZS6iKWpsKX0pg6tQmwFpo/edit?usp=sharing"",""ตรัง!I674"")+IMPORTRANGE(""https://docs.google.com/spreadsheets/d/1Dj4jcHCTV9JXKCaMoheSXS52JE63kDKyG7bPXnFogHk/edit?usp=shar"&amp;"ing"",""นครศรีธรรมราช!I674"")+IMPORTRANGE(""https://docs.google.com/spreadsheets/d/1iodCdmuK2GR3jzUwk8tpccY2JHQQA-87DLOtJP-ooyU/edit?usp=sharing"",""นราธิวาส!I674"")+IMPORTRANGE(""https://docs.google.com/spreadsheets/d/1SDNX3JhDdYRuIOsj0Wh2M-Qa_eaXl0NbWmh"&amp;"AOTbfQAs/edit?usp=sharing"",""ปัตตานี!I674"")+IMPORTRANGE(""https://docs.google.com/spreadsheets/d/16JDLGguT8s5DsGCND1KcwHP_AWR_zDMTqLHPLJUKhaU/edit?usp=sharing"",""พังงา!I674"")+IMPORTRANGE(""https://docs.google.com/spreadsheets/d/17ht0gPKzzT3PObBL1XJkeR"&amp;"mntBXI7wGjpLV7QorqlTk/edit?usp=sharing"",""พัทลุง!I674"")+IMPORTRANGE(""https://docs.google.com/spreadsheets/d/1rd4qoM1q_hsgaolqNGfrim9gbsoLxQsda4-vOz5x_BM/edit?usp=sharing"",""ภูเก็ต!I674"")+IMPORTRANGE(""https://docs.google.com/spreadsheets/d/1woKwKjgoL"&amp;"ssDvPcPeVyezB5izizAn4X1JDrys69n6xI/edit?usp=sharing"",""ยะลา!I674"")+IMPORTRANGE(""https://docs.google.com/spreadsheets/d/1qfrKjzMhm2HJfxQ-qVlJlJQ25Hne1d0khsySbZyGtPA/edit?usp=sharing"",""ระนอง!I674"")+IMPORTRANGE(""https://docs.google.com/spreadsheets/d/"&amp;"1IbSCnFOKpZsnFogBHJnL_isstZVaOMnFiIN0fGTPZZw/edit?usp=sharing"",""สงขลา!I674"")+IMPORTRANGE(""https://docs.google.com/spreadsheets/d/1q9nWasZJ-K8bFGvbE9n0qSRuKGA4Toe3Y89cKCiVtCU/edit?usp=sharing"",""สตูล!I674"")+IMPORTRANGE(""https://docs.google.com/sprea"&amp;"dsheets/d/18T20gbkS_WBjdscyTOV05cvq_JqvqQ17C81mpxf7Ncs/edit?usp=sharing"",""สุราษฎร์ธานี!I674"")"),0)</f>
        <v>0</v>
      </c>
      <c r="J674" s="147">
        <f ca="1">J676+J679</f>
        <v>0</v>
      </c>
      <c r="K674" s="132">
        <f t="shared" ca="1" si="469"/>
        <v>0</v>
      </c>
      <c r="L674" s="479"/>
      <c r="M674" s="479"/>
      <c r="N674" s="479"/>
      <c r="O674" s="46"/>
      <c r="P674" s="46"/>
      <c r="Q674" s="479"/>
      <c r="R674" s="479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kKUcYdkIfrgTSj8iHHHB2MD2FAtwyyocFgqGQn6ADyI/edit?usp=sharing"",""กระบี่!I675"")+IMPORTRANGE(""https://docs.google.com/spreadsheets/d/1GwtLaSlNZkLk7iDqcyZz22giiy40b_usZZBXYciEN1U/edit?usp=sharing"",""ชุ"&amp;"มพร!I675"")+IMPORTRANGE(""https://docs.google.com/spreadsheets/d/16pAz3pOhQEZBhvFNMa5KGgZS6iKWpsKX0pg6tQmwFpo/edit?usp=sharing"",""ตรัง!I675"")+IMPORTRANGE(""https://docs.google.com/spreadsheets/d/1Dj4jcHCTV9JXKCaMoheSXS52JE63kDKyG7bPXnFogHk/edit?usp=shar"&amp;"ing"",""นครศรีธรรมราช!I675"")+IMPORTRANGE(""https://docs.google.com/spreadsheets/d/1iodCdmuK2GR3jzUwk8tpccY2JHQQA-87DLOtJP-ooyU/edit?usp=sharing"",""นราธิวาส!I675"")+IMPORTRANGE(""https://docs.google.com/spreadsheets/d/1SDNX3JhDdYRuIOsj0Wh2M-Qa_eaXl0NbWmh"&amp;"AOTbfQAs/edit?usp=sharing"",""ปัตตานี!I675"")+IMPORTRANGE(""https://docs.google.com/spreadsheets/d/16JDLGguT8s5DsGCND1KcwHP_AWR_zDMTqLHPLJUKhaU/edit?usp=sharing"",""พังงา!I675"")+IMPORTRANGE(""https://docs.google.com/spreadsheets/d/17ht0gPKzzT3PObBL1XJkeR"&amp;"mntBXI7wGjpLV7QorqlTk/edit?usp=sharing"",""พัทลุง!I675"")+IMPORTRANGE(""https://docs.google.com/spreadsheets/d/1rd4qoM1q_hsgaolqNGfrim9gbsoLxQsda4-vOz5x_BM/edit?usp=sharing"",""ภูเก็ต!I675"")+IMPORTRANGE(""https://docs.google.com/spreadsheets/d/1woKwKjgoL"&amp;"ssDvPcPeVyezB5izizAn4X1JDrys69n6xI/edit?usp=sharing"",""ยะลา!I675"")+IMPORTRANGE(""https://docs.google.com/spreadsheets/d/1qfrKjzMhm2HJfxQ-qVlJlJQ25Hne1d0khsySbZyGtPA/edit?usp=sharing"",""ระนอง!I675"")+IMPORTRANGE(""https://docs.google.com/spreadsheets/d/"&amp;"1IbSCnFOKpZsnFogBHJnL_isstZVaOMnFiIN0fGTPZZw/edit?usp=sharing"",""สงขลา!I675"")+IMPORTRANGE(""https://docs.google.com/spreadsheets/d/1q9nWasZJ-K8bFGvbE9n0qSRuKGA4Toe3Y89cKCiVtCU/edit?usp=sharing"",""สตูล!I675"")+IMPORTRANGE(""https://docs.google.com/sprea"&amp;"dsheets/d/18T20gbkS_WBjdscyTOV05cvq_JqvqQ17C81mpxf7Ncs/edit?usp=sharing"",""สุราษฎร์ธานี!I675"")"),0)</f>
        <v>0</v>
      </c>
      <c r="J675" s="147">
        <f ca="1">J678+J681</f>
        <v>0</v>
      </c>
      <c r="K675" s="132">
        <f t="shared" ca="1" si="469"/>
        <v>0</v>
      </c>
      <c r="L675" s="46"/>
      <c r="M675" s="46"/>
      <c r="N675" s="46"/>
      <c r="O675" s="46"/>
      <c r="P675" s="46"/>
      <c r="Q675" s="46"/>
      <c r="R675" s="46"/>
      <c r="S675" s="46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kKUcYdkIfrgTSj8iHHHB2MD2FAtwyyocFgqGQn6ADyI/edit?usp=sharing"",""กระบี่!I676"")+IMPORTRANGE(""https://docs.google.com/spreadsheets/d/1GwtLaSlNZkLk7iDqcyZz22giiy40b_usZZBXYciEN1U/edit?usp=sharing"",""ชุ"&amp;"มพร!I676"")+IMPORTRANGE(""https://docs.google.com/spreadsheets/d/16pAz3pOhQEZBhvFNMa5KGgZS6iKWpsKX0pg6tQmwFpo/edit?usp=sharing"",""ตรัง!I676"")+IMPORTRANGE(""https://docs.google.com/spreadsheets/d/1Dj4jcHCTV9JXKCaMoheSXS52JE63kDKyG7bPXnFogHk/edit?usp=shar"&amp;"ing"",""นครศรีธรรมราช!I676"")+IMPORTRANGE(""https://docs.google.com/spreadsheets/d/1iodCdmuK2GR3jzUwk8tpccY2JHQQA-87DLOtJP-ooyU/edit?usp=sharing"",""นราธิวาส!I676"")+IMPORTRANGE(""https://docs.google.com/spreadsheets/d/1SDNX3JhDdYRuIOsj0Wh2M-Qa_eaXl0NbWmh"&amp;"AOTbfQAs/edit?usp=sharing"",""ปัตตานี!I676"")+IMPORTRANGE(""https://docs.google.com/spreadsheets/d/16JDLGguT8s5DsGCND1KcwHP_AWR_zDMTqLHPLJUKhaU/edit?usp=sharing"",""พังงา!I676"")+IMPORTRANGE(""https://docs.google.com/spreadsheets/d/17ht0gPKzzT3PObBL1XJkeR"&amp;"mntBXI7wGjpLV7QorqlTk/edit?usp=sharing"",""พัทลุง!I676"")+IMPORTRANGE(""https://docs.google.com/spreadsheets/d/1rd4qoM1q_hsgaolqNGfrim9gbsoLxQsda4-vOz5x_BM/edit?usp=sharing"",""ภูเก็ต!I676"")+IMPORTRANGE(""https://docs.google.com/spreadsheets/d/1woKwKjgoL"&amp;"ssDvPcPeVyezB5izizAn4X1JDrys69n6xI/edit?usp=sharing"",""ยะลา!I676"")+IMPORTRANGE(""https://docs.google.com/spreadsheets/d/1qfrKjzMhm2HJfxQ-qVlJlJQ25Hne1d0khsySbZyGtPA/edit?usp=sharing"",""ระนอง!I676"")+IMPORTRANGE(""https://docs.google.com/spreadsheets/d/"&amp;"1IbSCnFOKpZsnFogBHJnL_isstZVaOMnFiIN0fGTPZZw/edit?usp=sharing"",""สงขลา!I676"")+IMPORTRANGE(""https://docs.google.com/spreadsheets/d/1q9nWasZJ-K8bFGvbE9n0qSRuKGA4Toe3Y89cKCiVtCU/edit?usp=sharing"",""สตูล!I676"")+IMPORTRANGE(""https://docs.google.com/sprea"&amp;"dsheets/d/18T20gbkS_WBjdscyTOV05cvq_JqvqQ17C81mpxf7Ncs/edit?usp=sharing"",""สุราษฎร์ธานี!I676"")"),0)</f>
        <v>0</v>
      </c>
      <c r="J676" s="477">
        <f ca="1">IFERROR(__xludf.DUMMYFUNCTION("IMPORTRANGE(""https://docs.google.com/spreadsheets/d/1kKUcYdkIfrgTSj8iHHHB2MD2FAtwyyocFgqGQn6ADyI/edit?usp=sharing"",""กระบี่!J676"")+IMPORTRANGE(""https://docs.google.com/spreadsheets/d/1GwtLaSlNZkLk7iDqcyZz22giiy40b_usZZBXYciEN1U/edit?usp=sharing"",""ชุ"&amp;"มพร!J676"")+IMPORTRANGE(""https://docs.google.com/spreadsheets/d/16pAz3pOhQEZBhvFNMa5KGgZS6iKWpsKX0pg6tQmwFpo/edit?usp=sharing"",""ตรัง!J676"")+IMPORTRANGE(""https://docs.google.com/spreadsheets/d/1Dj4jcHCTV9JXKCaMoheSXS52JE63kDKyG7bPXnFogHk/edit?usp=shar"&amp;"ing"",""นครศรีธรรมราช!J676"")+IMPORTRANGE(""https://docs.google.com/spreadsheets/d/1iodCdmuK2GR3jzUwk8tpccY2JHQQA-87DLOtJP-ooyU/edit?usp=sharing"",""นราธิวาส!J676"")+IMPORTRANGE(""https://docs.google.com/spreadsheets/d/1SDNX3JhDdYRuIOsj0Wh2M-Qa_eaXl0NbWmh"&amp;"AOTbfQAs/edit?usp=sharing"",""ปัตตานี!J676"")+IMPORTRANGE(""https://docs.google.com/spreadsheets/d/16JDLGguT8s5DsGCND1KcwHP_AWR_zDMTqLHPLJUKhaU/edit?usp=sharing"",""พังงา!J676"")+IMPORTRANGE(""https://docs.google.com/spreadsheets/d/17ht0gPKzzT3PObBL1XJkeR"&amp;"mntBXI7wGjpLV7QorqlTk/edit?usp=sharing"",""พัทลุง!J676"")+IMPORTRANGE(""https://docs.google.com/spreadsheets/d/1rd4qoM1q_hsgaolqNGfrim9gbsoLxQsda4-vOz5x_BM/edit?usp=sharing"",""ภูเก็ต!J676"")+IMPORTRANGE(""https://docs.google.com/spreadsheets/d/1woKwKjgoL"&amp;"ssDvPcPeVyezB5izizAn4X1JDrys69n6xI/edit?usp=sharing"",""ยะลา!J676"")+IMPORTRANGE(""https://docs.google.com/spreadsheets/d/1qfrKjzMhm2HJfxQ-qVlJlJQ25Hne1d0khsySbZyGtPA/edit?usp=sharing"",""ระนอง!J676"")+IMPORTRANGE(""https://docs.google.com/spreadsheets/d/"&amp;"1IbSCnFOKpZsnFogBHJnL_isstZVaOMnFiIN0fGTPZZw/edit?usp=sharing"",""สงขลา!J676"")+IMPORTRANGE(""https://docs.google.com/spreadsheets/d/1q9nWasZJ-K8bFGvbE9n0qSRuKGA4Toe3Y89cKCiVtCU/edit?usp=sharing"",""สตูล!J676"")+IMPORTRANGE(""https://docs.google.com/sprea"&amp;"dsheets/d/18T20gbkS_WBjdscyTOV05cvq_JqvqQ17C81mpxf7Ncs/edit?usp=sharing"",""สุราษฎร์ธานี!J676"")"),0)</f>
        <v>0</v>
      </c>
      <c r="K676" s="47">
        <f t="shared" ca="1" si="469"/>
        <v>0</v>
      </c>
      <c r="L676" s="46"/>
      <c r="M676" s="46"/>
      <c r="N676" s="46"/>
      <c r="O676" s="46"/>
      <c r="P676" s="46"/>
      <c r="Q676" s="46"/>
      <c r="R676" s="46"/>
      <c r="S676" s="46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kKUcYdkIfrgTSj8iHHHB2MD2FAtwyyocFgqGQn6ADyI/edit?usp=sharing"",""กระบี่!J677"")+IMPORTRANGE(""https://docs.google.com/spreadsheets/d/1GwtLaSlNZkLk7iDqcyZz22giiy40b_usZZBXYciEN1U/edit?usp=sharing"",""ชุ"&amp;"มพร!J677"")+IMPORTRANGE(""https://docs.google.com/spreadsheets/d/16pAz3pOhQEZBhvFNMa5KGgZS6iKWpsKX0pg6tQmwFpo/edit?usp=sharing"",""ตรัง!J677"")+IMPORTRANGE(""https://docs.google.com/spreadsheets/d/1Dj4jcHCTV9JXKCaMoheSXS52JE63kDKyG7bPXnFogHk/edit?usp=shar"&amp;"ing"",""นครศรีธรรมราช!J677"")+IMPORTRANGE(""https://docs.google.com/spreadsheets/d/1iodCdmuK2GR3jzUwk8tpccY2JHQQA-87DLOtJP-ooyU/edit?usp=sharing"",""นราธิวาส!J677"")+IMPORTRANGE(""https://docs.google.com/spreadsheets/d/1SDNX3JhDdYRuIOsj0Wh2M-Qa_eaXl0NbWmh"&amp;"AOTbfQAs/edit?usp=sharing"",""ปัตตานี!J677"")+IMPORTRANGE(""https://docs.google.com/spreadsheets/d/16JDLGguT8s5DsGCND1KcwHP_AWR_zDMTqLHPLJUKhaU/edit?usp=sharing"",""พังงา!J677"")+IMPORTRANGE(""https://docs.google.com/spreadsheets/d/17ht0gPKzzT3PObBL1XJkeR"&amp;"mntBXI7wGjpLV7QorqlTk/edit?usp=sharing"",""พัทลุง!J677"")+IMPORTRANGE(""https://docs.google.com/spreadsheets/d/1rd4qoM1q_hsgaolqNGfrim9gbsoLxQsda4-vOz5x_BM/edit?usp=sharing"",""ภูเก็ต!J677"")+IMPORTRANGE(""https://docs.google.com/spreadsheets/d/1woKwKjgoL"&amp;"ssDvPcPeVyezB5izizAn4X1JDrys69n6xI/edit?usp=sharing"",""ยะลา!J677"")+IMPORTRANGE(""https://docs.google.com/spreadsheets/d/1qfrKjzMhm2HJfxQ-qVlJlJQ25Hne1d0khsySbZyGtPA/edit?usp=sharing"",""ระนอง!J677"")+IMPORTRANGE(""https://docs.google.com/spreadsheets/d/"&amp;"1IbSCnFOKpZsnFogBHJnL_isstZVaOMnFiIN0fGTPZZw/edit?usp=sharing"",""สงขลา!J677"")+IMPORTRANGE(""https://docs.google.com/spreadsheets/d/1q9nWasZJ-K8bFGvbE9n0qSRuKGA4Toe3Y89cKCiVtCU/edit?usp=sharing"",""สตูล!J677"")+IMPORTRANGE(""https://docs.google.com/sprea"&amp;"dsheets/d/18T20gbkS_WBjdscyTOV05cvq_JqvqQ17C81mpxf7Ncs/edit?usp=sharing"",""สุราษฎร์ธานี!J677"")"),0)</f>
        <v>0</v>
      </c>
      <c r="K677" s="46"/>
      <c r="L677" s="479"/>
      <c r="M677" s="479"/>
      <c r="N677" s="479"/>
      <c r="O677" s="46"/>
      <c r="P677" s="46"/>
      <c r="Q677" s="479"/>
      <c r="R677" s="479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kKUcYdkIfrgTSj8iHHHB2MD2FAtwyyocFgqGQn6ADyI/edit?usp=sharing"",""กระบี่!I678"")+IMPORTRANGE(""https://docs.google.com/spreadsheets/d/1GwtLaSlNZkLk7iDqcyZz22giiy40b_usZZBXYciEN1U/edit?usp=sharing"",""ชุ"&amp;"มพร!I678"")+IMPORTRANGE(""https://docs.google.com/spreadsheets/d/16pAz3pOhQEZBhvFNMa5KGgZS6iKWpsKX0pg6tQmwFpo/edit?usp=sharing"",""ตรัง!I678"")+IMPORTRANGE(""https://docs.google.com/spreadsheets/d/1Dj4jcHCTV9JXKCaMoheSXS52JE63kDKyG7bPXnFogHk/edit?usp=shar"&amp;"ing"",""นครศรีธรรมราช!I678"")+IMPORTRANGE(""https://docs.google.com/spreadsheets/d/1iodCdmuK2GR3jzUwk8tpccY2JHQQA-87DLOtJP-ooyU/edit?usp=sharing"",""นราธิวาส!I678"")+IMPORTRANGE(""https://docs.google.com/spreadsheets/d/1SDNX3JhDdYRuIOsj0Wh2M-Qa_eaXl0NbWmh"&amp;"AOTbfQAs/edit?usp=sharing"",""ปัตตานี!I678"")+IMPORTRANGE(""https://docs.google.com/spreadsheets/d/16JDLGguT8s5DsGCND1KcwHP_AWR_zDMTqLHPLJUKhaU/edit?usp=sharing"",""พังงา!I678"")+IMPORTRANGE(""https://docs.google.com/spreadsheets/d/17ht0gPKzzT3PObBL1XJkeR"&amp;"mntBXI7wGjpLV7QorqlTk/edit?usp=sharing"",""พัทลุง!I678"")+IMPORTRANGE(""https://docs.google.com/spreadsheets/d/1rd4qoM1q_hsgaolqNGfrim9gbsoLxQsda4-vOz5x_BM/edit?usp=sharing"",""ภูเก็ต!I678"")+IMPORTRANGE(""https://docs.google.com/spreadsheets/d/1woKwKjgoL"&amp;"ssDvPcPeVyezB5izizAn4X1JDrys69n6xI/edit?usp=sharing"",""ยะลา!I678"")+IMPORTRANGE(""https://docs.google.com/spreadsheets/d/1qfrKjzMhm2HJfxQ-qVlJlJQ25Hne1d0khsySbZyGtPA/edit?usp=sharing"",""ระนอง!I678"")+IMPORTRANGE(""https://docs.google.com/spreadsheets/d/"&amp;"1IbSCnFOKpZsnFogBHJnL_isstZVaOMnFiIN0fGTPZZw/edit?usp=sharing"",""สงขลา!I678"")+IMPORTRANGE(""https://docs.google.com/spreadsheets/d/1q9nWasZJ-K8bFGvbE9n0qSRuKGA4Toe3Y89cKCiVtCU/edit?usp=sharing"",""สตูล!I678"")+IMPORTRANGE(""https://docs.google.com/sprea"&amp;"dsheets/d/18T20gbkS_WBjdscyTOV05cvq_JqvqQ17C81mpxf7Ncs/edit?usp=sharing"",""สุราษฎร์ธานี!I678"")"),0)</f>
        <v>0</v>
      </c>
      <c r="J678" s="477">
        <f ca="1">IFERROR(__xludf.DUMMYFUNCTION("IMPORTRANGE(""https://docs.google.com/spreadsheets/d/1kKUcYdkIfrgTSj8iHHHB2MD2FAtwyyocFgqGQn6ADyI/edit?usp=sharing"",""กระบี่!J678"")+IMPORTRANGE(""https://docs.google.com/spreadsheets/d/1GwtLaSlNZkLk7iDqcyZz22giiy40b_usZZBXYciEN1U/edit?usp=sharing"",""ชุ"&amp;"มพร!J678"")+IMPORTRANGE(""https://docs.google.com/spreadsheets/d/16pAz3pOhQEZBhvFNMa5KGgZS6iKWpsKX0pg6tQmwFpo/edit?usp=sharing"",""ตรัง!J678"")+IMPORTRANGE(""https://docs.google.com/spreadsheets/d/1Dj4jcHCTV9JXKCaMoheSXS52JE63kDKyG7bPXnFogHk/edit?usp=shar"&amp;"ing"",""นครศรีธรรมราช!J678"")+IMPORTRANGE(""https://docs.google.com/spreadsheets/d/1iodCdmuK2GR3jzUwk8tpccY2JHQQA-87DLOtJP-ooyU/edit?usp=sharing"",""นราธิวาส!J678"")+IMPORTRANGE(""https://docs.google.com/spreadsheets/d/1SDNX3JhDdYRuIOsj0Wh2M-Qa_eaXl0NbWmh"&amp;"AOTbfQAs/edit?usp=sharing"",""ปัตตานี!J678"")+IMPORTRANGE(""https://docs.google.com/spreadsheets/d/16JDLGguT8s5DsGCND1KcwHP_AWR_zDMTqLHPLJUKhaU/edit?usp=sharing"",""พังงา!J678"")+IMPORTRANGE(""https://docs.google.com/spreadsheets/d/17ht0gPKzzT3PObBL1XJkeR"&amp;"mntBXI7wGjpLV7QorqlTk/edit?usp=sharing"",""พัทลุง!J678"")+IMPORTRANGE(""https://docs.google.com/spreadsheets/d/1rd4qoM1q_hsgaolqNGfrim9gbsoLxQsda4-vOz5x_BM/edit?usp=sharing"",""ภูเก็ต!J678"")+IMPORTRANGE(""https://docs.google.com/spreadsheets/d/1woKwKjgoL"&amp;"ssDvPcPeVyezB5izizAn4X1JDrys69n6xI/edit?usp=sharing"",""ยะลา!J678"")+IMPORTRANGE(""https://docs.google.com/spreadsheets/d/1qfrKjzMhm2HJfxQ-qVlJlJQ25Hne1d0khsySbZyGtPA/edit?usp=sharing"",""ระนอง!J678"")+IMPORTRANGE(""https://docs.google.com/spreadsheets/d/"&amp;"1IbSCnFOKpZsnFogBHJnL_isstZVaOMnFiIN0fGTPZZw/edit?usp=sharing"",""สงขลา!J678"")+IMPORTRANGE(""https://docs.google.com/spreadsheets/d/1q9nWasZJ-K8bFGvbE9n0qSRuKGA4Toe3Y89cKCiVtCU/edit?usp=sharing"",""สตูล!J678"")+IMPORTRANGE(""https://docs.google.com/sprea"&amp;"dsheets/d/18T20gbkS_WBjdscyTOV05cvq_JqvqQ17C81mpxf7Ncs/edit?usp=sharing"",""สุราษฎร์ธานี!J678"")"),0)</f>
        <v>0</v>
      </c>
      <c r="K678" s="47">
        <f t="shared" ref="K678:K679" ca="1" si="470">IF(I678&gt;0,J678*100/I678,0)</f>
        <v>0</v>
      </c>
      <c r="L678" s="479"/>
      <c r="M678" s="479"/>
      <c r="N678" s="479"/>
      <c r="O678" s="46"/>
      <c r="P678" s="46"/>
      <c r="Q678" s="479"/>
      <c r="R678" s="479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kKUcYdkIfrgTSj8iHHHB2MD2FAtwyyocFgqGQn6ADyI/edit?usp=sharing"",""กระบี่!I679"")+IMPORTRANGE(""https://docs.google.com/spreadsheets/d/1GwtLaSlNZkLk7iDqcyZz22giiy40b_usZZBXYciEN1U/edit?usp=sharing"",""ชุ"&amp;"มพร!I679"")+IMPORTRANGE(""https://docs.google.com/spreadsheets/d/16pAz3pOhQEZBhvFNMa5KGgZS6iKWpsKX0pg6tQmwFpo/edit?usp=sharing"",""ตรัง!I679"")+IMPORTRANGE(""https://docs.google.com/spreadsheets/d/1Dj4jcHCTV9JXKCaMoheSXS52JE63kDKyG7bPXnFogHk/edit?usp=shar"&amp;"ing"",""นครศรีธรรมราช!I679"")+IMPORTRANGE(""https://docs.google.com/spreadsheets/d/1iodCdmuK2GR3jzUwk8tpccY2JHQQA-87DLOtJP-ooyU/edit?usp=sharing"",""นราธิวาส!I679"")+IMPORTRANGE(""https://docs.google.com/spreadsheets/d/1SDNX3JhDdYRuIOsj0Wh2M-Qa_eaXl0NbWmh"&amp;"AOTbfQAs/edit?usp=sharing"",""ปัตตานี!I679"")+IMPORTRANGE(""https://docs.google.com/spreadsheets/d/16JDLGguT8s5DsGCND1KcwHP_AWR_zDMTqLHPLJUKhaU/edit?usp=sharing"",""พังงา!I679"")+IMPORTRANGE(""https://docs.google.com/spreadsheets/d/17ht0gPKzzT3PObBL1XJkeR"&amp;"mntBXI7wGjpLV7QorqlTk/edit?usp=sharing"",""พัทลุง!I679"")+IMPORTRANGE(""https://docs.google.com/spreadsheets/d/1rd4qoM1q_hsgaolqNGfrim9gbsoLxQsda4-vOz5x_BM/edit?usp=sharing"",""ภูเก็ต!I679"")+IMPORTRANGE(""https://docs.google.com/spreadsheets/d/1woKwKjgoL"&amp;"ssDvPcPeVyezB5izizAn4X1JDrys69n6xI/edit?usp=sharing"",""ยะลา!I679"")+IMPORTRANGE(""https://docs.google.com/spreadsheets/d/1qfrKjzMhm2HJfxQ-qVlJlJQ25Hne1d0khsySbZyGtPA/edit?usp=sharing"",""ระนอง!I679"")+IMPORTRANGE(""https://docs.google.com/spreadsheets/d/"&amp;"1IbSCnFOKpZsnFogBHJnL_isstZVaOMnFiIN0fGTPZZw/edit?usp=sharing"",""สงขลา!I679"")+IMPORTRANGE(""https://docs.google.com/spreadsheets/d/1q9nWasZJ-K8bFGvbE9n0qSRuKGA4Toe3Y89cKCiVtCU/edit?usp=sharing"",""สตูล!I679"")+IMPORTRANGE(""https://docs.google.com/sprea"&amp;"dsheets/d/18T20gbkS_WBjdscyTOV05cvq_JqvqQ17C81mpxf7Ncs/edit?usp=sharing"",""สุราษฎร์ธานี!I679"")"),0)</f>
        <v>0</v>
      </c>
      <c r="J679" s="477">
        <f ca="1">IFERROR(__xludf.DUMMYFUNCTION("IMPORTRANGE(""https://docs.google.com/spreadsheets/d/1kKUcYdkIfrgTSj8iHHHB2MD2FAtwyyocFgqGQn6ADyI/edit?usp=sharing"",""กระบี่!J679"")+IMPORTRANGE(""https://docs.google.com/spreadsheets/d/1GwtLaSlNZkLk7iDqcyZz22giiy40b_usZZBXYciEN1U/edit?usp=sharing"",""ชุ"&amp;"มพร!J679"")+IMPORTRANGE(""https://docs.google.com/spreadsheets/d/16pAz3pOhQEZBhvFNMa5KGgZS6iKWpsKX0pg6tQmwFpo/edit?usp=sharing"",""ตรัง!J679"")+IMPORTRANGE(""https://docs.google.com/spreadsheets/d/1Dj4jcHCTV9JXKCaMoheSXS52JE63kDKyG7bPXnFogHk/edit?usp=shar"&amp;"ing"",""นครศรีธรรมราช!J679"")+IMPORTRANGE(""https://docs.google.com/spreadsheets/d/1iodCdmuK2GR3jzUwk8tpccY2JHQQA-87DLOtJP-ooyU/edit?usp=sharing"",""นราธิวาส!J679"")+IMPORTRANGE(""https://docs.google.com/spreadsheets/d/1SDNX3JhDdYRuIOsj0Wh2M-Qa_eaXl0NbWmh"&amp;"AOTbfQAs/edit?usp=sharing"",""ปัตตานี!J679"")+IMPORTRANGE(""https://docs.google.com/spreadsheets/d/16JDLGguT8s5DsGCND1KcwHP_AWR_zDMTqLHPLJUKhaU/edit?usp=sharing"",""พังงา!J679"")+IMPORTRANGE(""https://docs.google.com/spreadsheets/d/17ht0gPKzzT3PObBL1XJkeR"&amp;"mntBXI7wGjpLV7QorqlTk/edit?usp=sharing"",""พัทลุง!J679"")+IMPORTRANGE(""https://docs.google.com/spreadsheets/d/1rd4qoM1q_hsgaolqNGfrim9gbsoLxQsda4-vOz5x_BM/edit?usp=sharing"",""ภูเก็ต!J679"")+IMPORTRANGE(""https://docs.google.com/spreadsheets/d/1woKwKjgoL"&amp;"ssDvPcPeVyezB5izizAn4X1JDrys69n6xI/edit?usp=sharing"",""ยะลา!J679"")+IMPORTRANGE(""https://docs.google.com/spreadsheets/d/1qfrKjzMhm2HJfxQ-qVlJlJQ25Hne1d0khsySbZyGtPA/edit?usp=sharing"",""ระนอง!J679"")+IMPORTRANGE(""https://docs.google.com/spreadsheets/d/"&amp;"1IbSCnFOKpZsnFogBHJnL_isstZVaOMnFiIN0fGTPZZw/edit?usp=sharing"",""สงขลา!J679"")+IMPORTRANGE(""https://docs.google.com/spreadsheets/d/1q9nWasZJ-K8bFGvbE9n0qSRuKGA4Toe3Y89cKCiVtCU/edit?usp=sharing"",""สตูล!J679"")+IMPORTRANGE(""https://docs.google.com/sprea"&amp;"dsheets/d/18T20gbkS_WBjdscyTOV05cvq_JqvqQ17C81mpxf7Ncs/edit?usp=sharing"",""สุราษฎร์ธานี!J679"")"),0)</f>
        <v>0</v>
      </c>
      <c r="K679" s="47">
        <f t="shared" ca="1" si="470"/>
        <v>0</v>
      </c>
      <c r="L679" s="46"/>
      <c r="M679" s="46"/>
      <c r="N679" s="46"/>
      <c r="O679" s="46"/>
      <c r="P679" s="46"/>
      <c r="Q679" s="46"/>
      <c r="R679" s="46"/>
      <c r="S679" s="46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kKUcYdkIfrgTSj8iHHHB2MD2FAtwyyocFgqGQn6ADyI/edit?usp=sharing"",""กระบี่!J680"")+IMPORTRANGE(""https://docs.google.com/spreadsheets/d/1GwtLaSlNZkLk7iDqcyZz22giiy40b_usZZBXYciEN1U/edit?usp=sharing"",""ชุ"&amp;"มพร!J680"")+IMPORTRANGE(""https://docs.google.com/spreadsheets/d/16pAz3pOhQEZBhvFNMa5KGgZS6iKWpsKX0pg6tQmwFpo/edit?usp=sharing"",""ตรัง!J680"")+IMPORTRANGE(""https://docs.google.com/spreadsheets/d/1Dj4jcHCTV9JXKCaMoheSXS52JE63kDKyG7bPXnFogHk/edit?usp=shar"&amp;"ing"",""นครศรีธรรมราช!J680"")+IMPORTRANGE(""https://docs.google.com/spreadsheets/d/1iodCdmuK2GR3jzUwk8tpccY2JHQQA-87DLOtJP-ooyU/edit?usp=sharing"",""นราธิวาส!J680"")+IMPORTRANGE(""https://docs.google.com/spreadsheets/d/1SDNX3JhDdYRuIOsj0Wh2M-Qa_eaXl0NbWmh"&amp;"AOTbfQAs/edit?usp=sharing"",""ปัตตานี!J680"")+IMPORTRANGE(""https://docs.google.com/spreadsheets/d/16JDLGguT8s5DsGCND1KcwHP_AWR_zDMTqLHPLJUKhaU/edit?usp=sharing"",""พังงา!J680"")+IMPORTRANGE(""https://docs.google.com/spreadsheets/d/17ht0gPKzzT3PObBL1XJkeR"&amp;"mntBXI7wGjpLV7QorqlTk/edit?usp=sharing"",""พัทลุง!J680"")+IMPORTRANGE(""https://docs.google.com/spreadsheets/d/1rd4qoM1q_hsgaolqNGfrim9gbsoLxQsda4-vOz5x_BM/edit?usp=sharing"",""ภูเก็ต!J680"")+IMPORTRANGE(""https://docs.google.com/spreadsheets/d/1woKwKjgoL"&amp;"ssDvPcPeVyezB5izizAn4X1JDrys69n6xI/edit?usp=sharing"",""ยะลา!J680"")+IMPORTRANGE(""https://docs.google.com/spreadsheets/d/1qfrKjzMhm2HJfxQ-qVlJlJQ25Hne1d0khsySbZyGtPA/edit?usp=sharing"",""ระนอง!J680"")+IMPORTRANGE(""https://docs.google.com/spreadsheets/d/"&amp;"1IbSCnFOKpZsnFogBHJnL_isstZVaOMnFiIN0fGTPZZw/edit?usp=sharing"",""สงขลา!J680"")+IMPORTRANGE(""https://docs.google.com/spreadsheets/d/1q9nWasZJ-K8bFGvbE9n0qSRuKGA4Toe3Y89cKCiVtCU/edit?usp=sharing"",""สตูล!J680"")+IMPORTRANGE(""https://docs.google.com/sprea"&amp;"dsheets/d/18T20gbkS_WBjdscyTOV05cvq_JqvqQ17C81mpxf7Ncs/edit?usp=sharing"",""สุราษฎร์ธานี!J680"")"),0)</f>
        <v>0</v>
      </c>
      <c r="K680" s="46"/>
      <c r="L680" s="479"/>
      <c r="M680" s="479"/>
      <c r="N680" s="479"/>
      <c r="O680" s="46"/>
      <c r="P680" s="46"/>
      <c r="Q680" s="479"/>
      <c r="R680" s="479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kKUcYdkIfrgTSj8iHHHB2MD2FAtwyyocFgqGQn6ADyI/edit?usp=sharing"",""กระบี่!I681"")+IMPORTRANGE(""https://docs.google.com/spreadsheets/d/1GwtLaSlNZkLk7iDqcyZz22giiy40b_usZZBXYciEN1U/edit?usp=sharing"",""ชุ"&amp;"มพร!I681"")+IMPORTRANGE(""https://docs.google.com/spreadsheets/d/16pAz3pOhQEZBhvFNMa5KGgZS6iKWpsKX0pg6tQmwFpo/edit?usp=sharing"",""ตรัง!I681"")+IMPORTRANGE(""https://docs.google.com/spreadsheets/d/1Dj4jcHCTV9JXKCaMoheSXS52JE63kDKyG7bPXnFogHk/edit?usp=shar"&amp;"ing"",""นครศรีธรรมราช!I681"")+IMPORTRANGE(""https://docs.google.com/spreadsheets/d/1iodCdmuK2GR3jzUwk8tpccY2JHQQA-87DLOtJP-ooyU/edit?usp=sharing"",""นราธิวาส!I681"")+IMPORTRANGE(""https://docs.google.com/spreadsheets/d/1SDNX3JhDdYRuIOsj0Wh2M-Qa_eaXl0NbWmh"&amp;"AOTbfQAs/edit?usp=sharing"",""ปัตตานี!I681"")+IMPORTRANGE(""https://docs.google.com/spreadsheets/d/16JDLGguT8s5DsGCND1KcwHP_AWR_zDMTqLHPLJUKhaU/edit?usp=sharing"",""พังงา!I681"")+IMPORTRANGE(""https://docs.google.com/spreadsheets/d/17ht0gPKzzT3PObBL1XJkeR"&amp;"mntBXI7wGjpLV7QorqlTk/edit?usp=sharing"",""พัทลุง!I681"")+IMPORTRANGE(""https://docs.google.com/spreadsheets/d/1rd4qoM1q_hsgaolqNGfrim9gbsoLxQsda4-vOz5x_BM/edit?usp=sharing"",""ภูเก็ต!I681"")+IMPORTRANGE(""https://docs.google.com/spreadsheets/d/1woKwKjgoL"&amp;"ssDvPcPeVyezB5izizAn4X1JDrys69n6xI/edit?usp=sharing"",""ยะลา!I681"")+IMPORTRANGE(""https://docs.google.com/spreadsheets/d/1qfrKjzMhm2HJfxQ-qVlJlJQ25Hne1d0khsySbZyGtPA/edit?usp=sharing"",""ระนอง!I681"")+IMPORTRANGE(""https://docs.google.com/spreadsheets/d/"&amp;"1IbSCnFOKpZsnFogBHJnL_isstZVaOMnFiIN0fGTPZZw/edit?usp=sharing"",""สงขลา!I681"")+IMPORTRANGE(""https://docs.google.com/spreadsheets/d/1q9nWasZJ-K8bFGvbE9n0qSRuKGA4Toe3Y89cKCiVtCU/edit?usp=sharing"",""สตูล!I681"")+IMPORTRANGE(""https://docs.google.com/sprea"&amp;"dsheets/d/18T20gbkS_WBjdscyTOV05cvq_JqvqQ17C81mpxf7Ncs/edit?usp=sharing"",""สุราษฎร์ธานี!I681"")"),0)</f>
        <v>0</v>
      </c>
      <c r="J681" s="477">
        <f ca="1">IFERROR(__xludf.DUMMYFUNCTION("IMPORTRANGE(""https://docs.google.com/spreadsheets/d/1kKUcYdkIfrgTSj8iHHHB2MD2FAtwyyocFgqGQn6ADyI/edit?usp=sharing"",""กระบี่!J681"")+IMPORTRANGE(""https://docs.google.com/spreadsheets/d/1GwtLaSlNZkLk7iDqcyZz22giiy40b_usZZBXYciEN1U/edit?usp=sharing"",""ชุ"&amp;"มพร!J681"")+IMPORTRANGE(""https://docs.google.com/spreadsheets/d/16pAz3pOhQEZBhvFNMa5KGgZS6iKWpsKX0pg6tQmwFpo/edit?usp=sharing"",""ตรัง!J681"")+IMPORTRANGE(""https://docs.google.com/spreadsheets/d/1Dj4jcHCTV9JXKCaMoheSXS52JE63kDKyG7bPXnFogHk/edit?usp=shar"&amp;"ing"",""นครศรีธรรมราช!J681"")+IMPORTRANGE(""https://docs.google.com/spreadsheets/d/1iodCdmuK2GR3jzUwk8tpccY2JHQQA-87DLOtJP-ooyU/edit?usp=sharing"",""นราธิวาส!J681"")+IMPORTRANGE(""https://docs.google.com/spreadsheets/d/1SDNX3JhDdYRuIOsj0Wh2M-Qa_eaXl0NbWmh"&amp;"AOTbfQAs/edit?usp=sharing"",""ปัตตานี!J681"")+IMPORTRANGE(""https://docs.google.com/spreadsheets/d/16JDLGguT8s5DsGCND1KcwHP_AWR_zDMTqLHPLJUKhaU/edit?usp=sharing"",""พังงา!J681"")+IMPORTRANGE(""https://docs.google.com/spreadsheets/d/17ht0gPKzzT3PObBL1XJkeR"&amp;"mntBXI7wGjpLV7QorqlTk/edit?usp=sharing"",""พัทลุง!J681"")+IMPORTRANGE(""https://docs.google.com/spreadsheets/d/1rd4qoM1q_hsgaolqNGfrim9gbsoLxQsda4-vOz5x_BM/edit?usp=sharing"",""ภูเก็ต!J681"")+IMPORTRANGE(""https://docs.google.com/spreadsheets/d/1woKwKjgoL"&amp;"ssDvPcPeVyezB5izizAn4X1JDrys69n6xI/edit?usp=sharing"",""ยะลา!J681"")+IMPORTRANGE(""https://docs.google.com/spreadsheets/d/1qfrKjzMhm2HJfxQ-qVlJlJQ25Hne1d0khsySbZyGtPA/edit?usp=sharing"",""ระนอง!J681"")+IMPORTRANGE(""https://docs.google.com/spreadsheets/d/"&amp;"1IbSCnFOKpZsnFogBHJnL_isstZVaOMnFiIN0fGTPZZw/edit?usp=sharing"",""สงขลา!J681"")+IMPORTRANGE(""https://docs.google.com/spreadsheets/d/1q9nWasZJ-K8bFGvbE9n0qSRuKGA4Toe3Y89cKCiVtCU/edit?usp=sharing"",""สตูล!J681"")+IMPORTRANGE(""https://docs.google.com/sprea"&amp;"dsheets/d/18T20gbkS_WBjdscyTOV05cvq_JqvqQ17C81mpxf7Ncs/edit?usp=sharing"",""สุราษฎร์ธานี!J681"")"),0)</f>
        <v>0</v>
      </c>
      <c r="K681" s="47">
        <f t="shared" ref="K681:K682" ca="1" si="471">IF(I681&gt;0,J681*100/I681,0)</f>
        <v>0</v>
      </c>
      <c r="L681" s="479"/>
      <c r="M681" s="479"/>
      <c r="N681" s="479"/>
      <c r="O681" s="46"/>
      <c r="P681" s="46"/>
      <c r="Q681" s="479"/>
      <c r="R681" s="479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kKUcYdkIfrgTSj8iHHHB2MD2FAtwyyocFgqGQn6ADyI/edit?usp=sharing"",""กระบี่!I682"")+IMPORTRANGE(""https://docs.google.com/spreadsheets/d/1GwtLaSlNZkLk7iDqcyZz22giiy40b_usZZBXYciEN1U/edit?usp=sharing"",""ชุ"&amp;"มพร!I682"")+IMPORTRANGE(""https://docs.google.com/spreadsheets/d/16pAz3pOhQEZBhvFNMa5KGgZS6iKWpsKX0pg6tQmwFpo/edit?usp=sharing"",""ตรัง!I682"")+IMPORTRANGE(""https://docs.google.com/spreadsheets/d/1Dj4jcHCTV9JXKCaMoheSXS52JE63kDKyG7bPXnFogHk/edit?usp=shar"&amp;"ing"",""นครศรีธรรมราช!I682"")+IMPORTRANGE(""https://docs.google.com/spreadsheets/d/1iodCdmuK2GR3jzUwk8tpccY2JHQQA-87DLOtJP-ooyU/edit?usp=sharing"",""นราธิวาส!I682"")+IMPORTRANGE(""https://docs.google.com/spreadsheets/d/1SDNX3JhDdYRuIOsj0Wh2M-Qa_eaXl0NbWmh"&amp;"AOTbfQAs/edit?usp=sharing"",""ปัตตานี!I682"")+IMPORTRANGE(""https://docs.google.com/spreadsheets/d/16JDLGguT8s5DsGCND1KcwHP_AWR_zDMTqLHPLJUKhaU/edit?usp=sharing"",""พังงา!I682"")+IMPORTRANGE(""https://docs.google.com/spreadsheets/d/17ht0gPKzzT3PObBL1XJkeR"&amp;"mntBXI7wGjpLV7QorqlTk/edit?usp=sharing"",""พัทลุง!I682"")+IMPORTRANGE(""https://docs.google.com/spreadsheets/d/1rd4qoM1q_hsgaolqNGfrim9gbsoLxQsda4-vOz5x_BM/edit?usp=sharing"",""ภูเก็ต!I682"")+IMPORTRANGE(""https://docs.google.com/spreadsheets/d/1woKwKjgoL"&amp;"ssDvPcPeVyezB5izizAn4X1JDrys69n6xI/edit?usp=sharing"",""ยะลา!I682"")+IMPORTRANGE(""https://docs.google.com/spreadsheets/d/1qfrKjzMhm2HJfxQ-qVlJlJQ25Hne1d0khsySbZyGtPA/edit?usp=sharing"",""ระนอง!I682"")+IMPORTRANGE(""https://docs.google.com/spreadsheets/d/"&amp;"1IbSCnFOKpZsnFogBHJnL_isstZVaOMnFiIN0fGTPZZw/edit?usp=sharing"",""สงขลา!I682"")+IMPORTRANGE(""https://docs.google.com/spreadsheets/d/1q9nWasZJ-K8bFGvbE9n0qSRuKGA4Toe3Y89cKCiVtCU/edit?usp=sharing"",""สตูล!I682"")+IMPORTRANGE(""https://docs.google.com/sprea"&amp;"dsheets/d/18T20gbkS_WBjdscyTOV05cvq_JqvqQ17C81mpxf7Ncs/edit?usp=sharing"",""สุราษฎร์ธานี!I682"")"),0)</f>
        <v>0</v>
      </c>
      <c r="J682" s="147">
        <f ca="1">J685+J688</f>
        <v>0</v>
      </c>
      <c r="K682" s="132">
        <f t="shared" ca="1" si="471"/>
        <v>0</v>
      </c>
      <c r="L682" s="46"/>
      <c r="M682" s="46"/>
      <c r="N682" s="46"/>
      <c r="O682" s="46"/>
      <c r="P682" s="46"/>
      <c r="Q682" s="46"/>
      <c r="R682" s="46"/>
      <c r="S682" s="46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f ca="1">IFERROR(__xludf.DUMMYFUNCTION("IMPORTRANGE(""https://docs.google.com/spreadsheets/d/1kKUcYdkIfrgTSj8iHHHB2MD2FAtwyyocFgqGQn6ADyI/edit?usp=sharing"",""กระบี่!J683"")+IMPORTRANGE(""https://docs.google.com/spreadsheets/d/1GwtLaSlNZkLk7iDqcyZz22giiy40b_usZZBXYciEN1U/edit?usp=sharing"",""ชุ"&amp;"มพร!J683"")+IMPORTRANGE(""https://docs.google.com/spreadsheets/d/16pAz3pOhQEZBhvFNMa5KGgZS6iKWpsKX0pg6tQmwFpo/edit?usp=sharing"",""ตรัง!J683"")+IMPORTRANGE(""https://docs.google.com/spreadsheets/d/1Dj4jcHCTV9JXKCaMoheSXS52JE63kDKyG7bPXnFogHk/edit?usp=shar"&amp;"ing"",""นครศรีธรรมราช!J683"")+IMPORTRANGE(""https://docs.google.com/spreadsheets/d/1iodCdmuK2GR3jzUwk8tpccY2JHQQA-87DLOtJP-ooyU/edit?usp=sharing"",""นราธิวาส!J683"")+IMPORTRANGE(""https://docs.google.com/spreadsheets/d/1SDNX3JhDdYRuIOsj0Wh2M-Qa_eaXl0NbWmh"&amp;"AOTbfQAs/edit?usp=sharing"",""ปัตตานี!J683"")+IMPORTRANGE(""https://docs.google.com/spreadsheets/d/16JDLGguT8s5DsGCND1KcwHP_AWR_zDMTqLHPLJUKhaU/edit?usp=sharing"",""พังงา!J683"")+IMPORTRANGE(""https://docs.google.com/spreadsheets/d/17ht0gPKzzT3PObBL1XJkeR"&amp;"mntBXI7wGjpLV7QorqlTk/edit?usp=sharing"",""พัทลุง!J683"")+IMPORTRANGE(""https://docs.google.com/spreadsheets/d/1rd4qoM1q_hsgaolqNGfrim9gbsoLxQsda4-vOz5x_BM/edit?usp=sharing"",""ภูเก็ต!J683"")+IMPORTRANGE(""https://docs.google.com/spreadsheets/d/1woKwKjgoL"&amp;"ssDvPcPeVyezB5izizAn4X1JDrys69n6xI/edit?usp=sharing"",""ยะลา!J683"")+IMPORTRANGE(""https://docs.google.com/spreadsheets/d/1qfrKjzMhm2HJfxQ-qVlJlJQ25Hne1d0khsySbZyGtPA/edit?usp=sharing"",""ระนอง!J683"")+IMPORTRANGE(""https://docs.google.com/spreadsheets/d/"&amp;"1IbSCnFOKpZsnFogBHJnL_isstZVaOMnFiIN0fGTPZZw/edit?usp=sharing"",""สงขลา!J683"")+IMPORTRANGE(""https://docs.google.com/spreadsheets/d/1q9nWasZJ-K8bFGvbE9n0qSRuKGA4Toe3Y89cKCiVtCU/edit?usp=sharing"",""สตูล!J683"")+IMPORTRANGE(""https://docs.google.com/sprea"&amp;"dsheets/d/18T20gbkS_WBjdscyTOV05cvq_JqvqQ17C81mpxf7Ncs/edit?usp=sharing"",""สุราษฎร์ธานี!J683"")"),0)</f>
        <v>0</v>
      </c>
      <c r="K683" s="46"/>
      <c r="L683" s="479"/>
      <c r="M683" s="479"/>
      <c r="N683" s="479"/>
      <c r="O683" s="46"/>
      <c r="P683" s="46"/>
      <c r="Q683" s="479"/>
      <c r="R683" s="479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f ca="1">IFERROR(__xludf.DUMMYFUNCTION("IMPORTRANGE(""https://docs.google.com/spreadsheets/d/1kKUcYdkIfrgTSj8iHHHB2MD2FAtwyyocFgqGQn6ADyI/edit?usp=sharing"",""กระบี่!J684"")+IMPORTRANGE(""https://docs.google.com/spreadsheets/d/1GwtLaSlNZkLk7iDqcyZz22giiy40b_usZZBXYciEN1U/edit?usp=sharing"",""ชุ"&amp;"มพร!J684"")+IMPORTRANGE(""https://docs.google.com/spreadsheets/d/16pAz3pOhQEZBhvFNMa5KGgZS6iKWpsKX0pg6tQmwFpo/edit?usp=sharing"",""ตรัง!J684"")+IMPORTRANGE(""https://docs.google.com/spreadsheets/d/1Dj4jcHCTV9JXKCaMoheSXS52JE63kDKyG7bPXnFogHk/edit?usp=shar"&amp;"ing"",""นครศรีธรรมราช!J684"")+IMPORTRANGE(""https://docs.google.com/spreadsheets/d/1iodCdmuK2GR3jzUwk8tpccY2JHQQA-87DLOtJP-ooyU/edit?usp=sharing"",""นราธิวาส!J684"")+IMPORTRANGE(""https://docs.google.com/spreadsheets/d/1SDNX3JhDdYRuIOsj0Wh2M-Qa_eaXl0NbWmh"&amp;"AOTbfQAs/edit?usp=sharing"",""ปัตตานี!J684"")+IMPORTRANGE(""https://docs.google.com/spreadsheets/d/16JDLGguT8s5DsGCND1KcwHP_AWR_zDMTqLHPLJUKhaU/edit?usp=sharing"",""พังงา!J684"")+IMPORTRANGE(""https://docs.google.com/spreadsheets/d/17ht0gPKzzT3PObBL1XJkeR"&amp;"mntBXI7wGjpLV7QorqlTk/edit?usp=sharing"",""พัทลุง!J684"")+IMPORTRANGE(""https://docs.google.com/spreadsheets/d/1rd4qoM1q_hsgaolqNGfrim9gbsoLxQsda4-vOz5x_BM/edit?usp=sharing"",""ภูเก็ต!J684"")+IMPORTRANGE(""https://docs.google.com/spreadsheets/d/1woKwKjgoL"&amp;"ssDvPcPeVyezB5izizAn4X1JDrys69n6xI/edit?usp=sharing"",""ยะลา!J684"")+IMPORTRANGE(""https://docs.google.com/spreadsheets/d/1qfrKjzMhm2HJfxQ-qVlJlJQ25Hne1d0khsySbZyGtPA/edit?usp=sharing"",""ระนอง!J684"")+IMPORTRANGE(""https://docs.google.com/spreadsheets/d/"&amp;"1IbSCnFOKpZsnFogBHJnL_isstZVaOMnFiIN0fGTPZZw/edit?usp=sharing"",""สงขลา!J684"")+IMPORTRANGE(""https://docs.google.com/spreadsheets/d/1q9nWasZJ-K8bFGvbE9n0qSRuKGA4Toe3Y89cKCiVtCU/edit?usp=sharing"",""สตูล!J684"")+IMPORTRANGE(""https://docs.google.com/sprea"&amp;"dsheets/d/18T20gbkS_WBjdscyTOV05cvq_JqvqQ17C81mpxf7Ncs/edit?usp=sharing"",""สุราษฎร์ธานี!J684"")"),0)</f>
        <v>0</v>
      </c>
      <c r="K684" s="46"/>
      <c r="L684" s="479"/>
      <c r="M684" s="479"/>
      <c r="N684" s="479"/>
      <c r="O684" s="46"/>
      <c r="P684" s="46"/>
      <c r="Q684" s="479"/>
      <c r="R684" s="479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f ca="1">IFERROR(__xludf.DUMMYFUNCTION("IMPORTRANGE(""https://docs.google.com/spreadsheets/d/1kKUcYdkIfrgTSj8iHHHB2MD2FAtwyyocFgqGQn6ADyI/edit?usp=sharing"",""กระบี่!J685"")+IMPORTRANGE(""https://docs.google.com/spreadsheets/d/1GwtLaSlNZkLk7iDqcyZz22giiy40b_usZZBXYciEN1U/edit?usp=sharing"",""ชุ"&amp;"มพร!J685"")+IMPORTRANGE(""https://docs.google.com/spreadsheets/d/16pAz3pOhQEZBhvFNMa5KGgZS6iKWpsKX0pg6tQmwFpo/edit?usp=sharing"",""ตรัง!J685"")+IMPORTRANGE(""https://docs.google.com/spreadsheets/d/1Dj4jcHCTV9JXKCaMoheSXS52JE63kDKyG7bPXnFogHk/edit?usp=shar"&amp;"ing"",""นครศรีธรรมราช!J685"")+IMPORTRANGE(""https://docs.google.com/spreadsheets/d/1iodCdmuK2GR3jzUwk8tpccY2JHQQA-87DLOtJP-ooyU/edit?usp=sharing"",""นราธิวาส!J685"")+IMPORTRANGE(""https://docs.google.com/spreadsheets/d/1SDNX3JhDdYRuIOsj0Wh2M-Qa_eaXl0NbWmh"&amp;"AOTbfQAs/edit?usp=sharing"",""ปัตตานี!J685"")+IMPORTRANGE(""https://docs.google.com/spreadsheets/d/16JDLGguT8s5DsGCND1KcwHP_AWR_zDMTqLHPLJUKhaU/edit?usp=sharing"",""พังงา!J685"")+IMPORTRANGE(""https://docs.google.com/spreadsheets/d/17ht0gPKzzT3PObBL1XJkeR"&amp;"mntBXI7wGjpLV7QorqlTk/edit?usp=sharing"",""พัทลุง!J685"")+IMPORTRANGE(""https://docs.google.com/spreadsheets/d/1rd4qoM1q_hsgaolqNGfrim9gbsoLxQsda4-vOz5x_BM/edit?usp=sharing"",""ภูเก็ต!J685"")+IMPORTRANGE(""https://docs.google.com/spreadsheets/d/1woKwKjgoL"&amp;"ssDvPcPeVyezB5izizAn4X1JDrys69n6xI/edit?usp=sharing"",""ยะลา!J685"")+IMPORTRANGE(""https://docs.google.com/spreadsheets/d/1qfrKjzMhm2HJfxQ-qVlJlJQ25Hne1d0khsySbZyGtPA/edit?usp=sharing"",""ระนอง!J685"")+IMPORTRANGE(""https://docs.google.com/spreadsheets/d/"&amp;"1IbSCnFOKpZsnFogBHJnL_isstZVaOMnFiIN0fGTPZZw/edit?usp=sharing"",""สงขลา!J685"")+IMPORTRANGE(""https://docs.google.com/spreadsheets/d/1q9nWasZJ-K8bFGvbE9n0qSRuKGA4Toe3Y89cKCiVtCU/edit?usp=sharing"",""สตูล!J685"")+IMPORTRANGE(""https://docs.google.com/sprea"&amp;"dsheets/d/18T20gbkS_WBjdscyTOV05cvq_JqvqQ17C81mpxf7Ncs/edit?usp=sharing"",""สุราษฎร์ธานี!J685"")"),0)</f>
        <v>0</v>
      </c>
      <c r="K685" s="46"/>
      <c r="L685" s="479"/>
      <c r="M685" s="479"/>
      <c r="N685" s="479"/>
      <c r="O685" s="46"/>
      <c r="P685" s="46"/>
      <c r="Q685" s="479"/>
      <c r="R685" s="479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f ca="1">IFERROR(__xludf.DUMMYFUNCTION("IMPORTRANGE(""https://docs.google.com/spreadsheets/d/1kKUcYdkIfrgTSj8iHHHB2MD2FAtwyyocFgqGQn6ADyI/edit?usp=sharing"",""กระบี่!J686"")+IMPORTRANGE(""https://docs.google.com/spreadsheets/d/1GwtLaSlNZkLk7iDqcyZz22giiy40b_usZZBXYciEN1U/edit?usp=sharing"",""ชุ"&amp;"มพร!J686"")+IMPORTRANGE(""https://docs.google.com/spreadsheets/d/16pAz3pOhQEZBhvFNMa5KGgZS6iKWpsKX0pg6tQmwFpo/edit?usp=sharing"",""ตรัง!J686"")+IMPORTRANGE(""https://docs.google.com/spreadsheets/d/1Dj4jcHCTV9JXKCaMoheSXS52JE63kDKyG7bPXnFogHk/edit?usp=shar"&amp;"ing"",""นครศรีธรรมราช!J686"")+IMPORTRANGE(""https://docs.google.com/spreadsheets/d/1iodCdmuK2GR3jzUwk8tpccY2JHQQA-87DLOtJP-ooyU/edit?usp=sharing"",""นราธิวาส!J686"")+IMPORTRANGE(""https://docs.google.com/spreadsheets/d/1SDNX3JhDdYRuIOsj0Wh2M-Qa_eaXl0NbWmh"&amp;"AOTbfQAs/edit?usp=sharing"",""ปัตตานี!J686"")+IMPORTRANGE(""https://docs.google.com/spreadsheets/d/16JDLGguT8s5DsGCND1KcwHP_AWR_zDMTqLHPLJUKhaU/edit?usp=sharing"",""พังงา!J686"")+IMPORTRANGE(""https://docs.google.com/spreadsheets/d/17ht0gPKzzT3PObBL1XJkeR"&amp;"mntBXI7wGjpLV7QorqlTk/edit?usp=sharing"",""พัทลุง!J686"")+IMPORTRANGE(""https://docs.google.com/spreadsheets/d/1rd4qoM1q_hsgaolqNGfrim9gbsoLxQsda4-vOz5x_BM/edit?usp=sharing"",""ภูเก็ต!J686"")+IMPORTRANGE(""https://docs.google.com/spreadsheets/d/1woKwKjgoL"&amp;"ssDvPcPeVyezB5izizAn4X1JDrys69n6xI/edit?usp=sharing"",""ยะลา!J686"")+IMPORTRANGE(""https://docs.google.com/spreadsheets/d/1qfrKjzMhm2HJfxQ-qVlJlJQ25Hne1d0khsySbZyGtPA/edit?usp=sharing"",""ระนอง!J686"")+IMPORTRANGE(""https://docs.google.com/spreadsheets/d/"&amp;"1IbSCnFOKpZsnFogBHJnL_isstZVaOMnFiIN0fGTPZZw/edit?usp=sharing"",""สงขลา!J686"")+IMPORTRANGE(""https://docs.google.com/spreadsheets/d/1q9nWasZJ-K8bFGvbE9n0qSRuKGA4Toe3Y89cKCiVtCU/edit?usp=sharing"",""สตูล!J686"")+IMPORTRANGE(""https://docs.google.com/sprea"&amp;"dsheets/d/18T20gbkS_WBjdscyTOV05cvq_JqvqQ17C81mpxf7Ncs/edit?usp=sharing"",""สุราษฎร์ธานี!J686"")"),0)</f>
        <v>0</v>
      </c>
      <c r="K686" s="46"/>
      <c r="L686" s="479"/>
      <c r="M686" s="479"/>
      <c r="N686" s="479"/>
      <c r="O686" s="46"/>
      <c r="P686" s="46"/>
      <c r="Q686" s="479"/>
      <c r="R686" s="479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f ca="1">IFERROR(__xludf.DUMMYFUNCTION("IMPORTRANGE(""https://docs.google.com/spreadsheets/d/1kKUcYdkIfrgTSj8iHHHB2MD2FAtwyyocFgqGQn6ADyI/edit?usp=sharing"",""กระบี่!J687"")+IMPORTRANGE(""https://docs.google.com/spreadsheets/d/1GwtLaSlNZkLk7iDqcyZz22giiy40b_usZZBXYciEN1U/edit?usp=sharing"",""ชุ"&amp;"มพร!J687"")+IMPORTRANGE(""https://docs.google.com/spreadsheets/d/16pAz3pOhQEZBhvFNMa5KGgZS6iKWpsKX0pg6tQmwFpo/edit?usp=sharing"",""ตรัง!J687"")+IMPORTRANGE(""https://docs.google.com/spreadsheets/d/1Dj4jcHCTV9JXKCaMoheSXS52JE63kDKyG7bPXnFogHk/edit?usp=shar"&amp;"ing"",""นครศรีธรรมราช!J687"")+IMPORTRANGE(""https://docs.google.com/spreadsheets/d/1iodCdmuK2GR3jzUwk8tpccY2JHQQA-87DLOtJP-ooyU/edit?usp=sharing"",""นราธิวาส!J687"")+IMPORTRANGE(""https://docs.google.com/spreadsheets/d/1SDNX3JhDdYRuIOsj0Wh2M-Qa_eaXl0NbWmh"&amp;"AOTbfQAs/edit?usp=sharing"",""ปัตตานี!J687"")+IMPORTRANGE(""https://docs.google.com/spreadsheets/d/16JDLGguT8s5DsGCND1KcwHP_AWR_zDMTqLHPLJUKhaU/edit?usp=sharing"",""พังงา!J687"")+IMPORTRANGE(""https://docs.google.com/spreadsheets/d/17ht0gPKzzT3PObBL1XJkeR"&amp;"mntBXI7wGjpLV7QorqlTk/edit?usp=sharing"",""พัทลุง!J687"")+IMPORTRANGE(""https://docs.google.com/spreadsheets/d/1rd4qoM1q_hsgaolqNGfrim9gbsoLxQsda4-vOz5x_BM/edit?usp=sharing"",""ภูเก็ต!J687"")+IMPORTRANGE(""https://docs.google.com/spreadsheets/d/1woKwKjgoL"&amp;"ssDvPcPeVyezB5izizAn4X1JDrys69n6xI/edit?usp=sharing"",""ยะลา!J687"")+IMPORTRANGE(""https://docs.google.com/spreadsheets/d/1qfrKjzMhm2HJfxQ-qVlJlJQ25Hne1d0khsySbZyGtPA/edit?usp=sharing"",""ระนอง!J687"")+IMPORTRANGE(""https://docs.google.com/spreadsheets/d/"&amp;"1IbSCnFOKpZsnFogBHJnL_isstZVaOMnFiIN0fGTPZZw/edit?usp=sharing"",""สงขลา!J687"")+IMPORTRANGE(""https://docs.google.com/spreadsheets/d/1q9nWasZJ-K8bFGvbE9n0qSRuKGA4Toe3Y89cKCiVtCU/edit?usp=sharing"",""สตูล!J687"")+IMPORTRANGE(""https://docs.google.com/sprea"&amp;"dsheets/d/18T20gbkS_WBjdscyTOV05cvq_JqvqQ17C81mpxf7Ncs/edit?usp=sharing"",""สุราษฎร์ธานี!J687"")"),0)</f>
        <v>0</v>
      </c>
      <c r="K687" s="46"/>
      <c r="L687" s="479"/>
      <c r="M687" s="479"/>
      <c r="N687" s="479"/>
      <c r="O687" s="46"/>
      <c r="P687" s="46"/>
      <c r="Q687" s="479"/>
      <c r="R687" s="479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f ca="1">IFERROR(__xludf.DUMMYFUNCTION("IMPORTRANGE(""https://docs.google.com/spreadsheets/d/1kKUcYdkIfrgTSj8iHHHB2MD2FAtwyyocFgqGQn6ADyI/edit?usp=sharing"",""กระบี่!J688"")+IMPORTRANGE(""https://docs.google.com/spreadsheets/d/1GwtLaSlNZkLk7iDqcyZz22giiy40b_usZZBXYciEN1U/edit?usp=sharing"",""ชุ"&amp;"มพร!J688"")+IMPORTRANGE(""https://docs.google.com/spreadsheets/d/16pAz3pOhQEZBhvFNMa5KGgZS6iKWpsKX0pg6tQmwFpo/edit?usp=sharing"",""ตรัง!J688"")+IMPORTRANGE(""https://docs.google.com/spreadsheets/d/1Dj4jcHCTV9JXKCaMoheSXS52JE63kDKyG7bPXnFogHk/edit?usp=shar"&amp;"ing"",""นครศรีธรรมราช!J688"")+IMPORTRANGE(""https://docs.google.com/spreadsheets/d/1iodCdmuK2GR3jzUwk8tpccY2JHQQA-87DLOtJP-ooyU/edit?usp=sharing"",""นราธิวาส!J688"")+IMPORTRANGE(""https://docs.google.com/spreadsheets/d/1SDNX3JhDdYRuIOsj0Wh2M-Qa_eaXl0NbWmh"&amp;"AOTbfQAs/edit?usp=sharing"",""ปัตตานี!J688"")+IMPORTRANGE(""https://docs.google.com/spreadsheets/d/16JDLGguT8s5DsGCND1KcwHP_AWR_zDMTqLHPLJUKhaU/edit?usp=sharing"",""พังงา!J688"")+IMPORTRANGE(""https://docs.google.com/spreadsheets/d/17ht0gPKzzT3PObBL1XJkeR"&amp;"mntBXI7wGjpLV7QorqlTk/edit?usp=sharing"",""พัทลุง!J688"")+IMPORTRANGE(""https://docs.google.com/spreadsheets/d/1rd4qoM1q_hsgaolqNGfrim9gbsoLxQsda4-vOz5x_BM/edit?usp=sharing"",""ภูเก็ต!J688"")+IMPORTRANGE(""https://docs.google.com/spreadsheets/d/1woKwKjgoL"&amp;"ssDvPcPeVyezB5izizAn4X1JDrys69n6xI/edit?usp=sharing"",""ยะลา!J688"")+IMPORTRANGE(""https://docs.google.com/spreadsheets/d/1qfrKjzMhm2HJfxQ-qVlJlJQ25Hne1d0khsySbZyGtPA/edit?usp=sharing"",""ระนอง!J688"")+IMPORTRANGE(""https://docs.google.com/spreadsheets/d/"&amp;"1IbSCnFOKpZsnFogBHJnL_isstZVaOMnFiIN0fGTPZZw/edit?usp=sharing"",""สงขลา!J688"")+IMPORTRANGE(""https://docs.google.com/spreadsheets/d/1q9nWasZJ-K8bFGvbE9n0qSRuKGA4Toe3Y89cKCiVtCU/edit?usp=sharing"",""สตูล!J688"")+IMPORTRANGE(""https://docs.google.com/sprea"&amp;"dsheets/d/18T20gbkS_WBjdscyTOV05cvq_JqvqQ17C81mpxf7Ncs/edit?usp=sharing"",""สุราษฎร์ธานี!J688"")"),0)</f>
        <v>0</v>
      </c>
      <c r="K688" s="4"/>
      <c r="L688" s="481"/>
      <c r="M688" s="481"/>
      <c r="N688" s="481"/>
      <c r="O688" s="4"/>
      <c r="P688" s="4"/>
      <c r="Q688" s="481"/>
      <c r="R688" s="481"/>
      <c r="S688" s="481"/>
      <c r="T688" s="4"/>
      <c r="U688" s="4"/>
    </row>
    <row r="689" spans="1:21" ht="19.5" x14ac:dyDescent="0.3">
      <c r="A689" s="456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t="shared" ref="I689:J689" ca="1" si="472">I707</f>
        <v>76</v>
      </c>
      <c r="J689" s="483">
        <f t="shared" ca="1" si="472"/>
        <v>2</v>
      </c>
      <c r="K689" s="484">
        <f ca="1">IF(I689&gt;0,J689*100/I689,0)</f>
        <v>2.6315789473684212</v>
      </c>
      <c r="L689" s="46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188" t="s">
        <v>18</v>
      </c>
      <c r="D690" s="532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132">
        <f t="shared" ref="L690:N690" ca="1" si="473">L691+L692</f>
        <v>0</v>
      </c>
      <c r="M690" s="132">
        <f t="shared" ca="1" si="473"/>
        <v>0</v>
      </c>
      <c r="N690" s="132">
        <f t="shared" ca="1" si="473"/>
        <v>0</v>
      </c>
      <c r="O690" s="132">
        <f t="shared" ref="O690:O698" ca="1" si="474">IF(L690&gt;0,N690*100/L690,0)</f>
        <v>0</v>
      </c>
      <c r="P690" s="132">
        <f t="shared" ref="P690:P698" ca="1" si="475">IF(M690&gt;0,N690*100/M690,0)</f>
        <v>0</v>
      </c>
      <c r="Q690" s="132">
        <f t="shared" ref="Q690:S690" ca="1" si="476">Q691+Q692</f>
        <v>865550</v>
      </c>
      <c r="R690" s="132">
        <f t="shared" ca="1" si="476"/>
        <v>865550</v>
      </c>
      <c r="S690" s="132">
        <f t="shared" ca="1" si="476"/>
        <v>186305.22999999899</v>
      </c>
      <c r="T690" s="132">
        <f t="shared" ref="T690:T698" ca="1" si="477">IF(Q690&gt;0,S690*100/Q690,0)</f>
        <v>21.524490786205188</v>
      </c>
      <c r="U690" s="132">
        <f t="shared" ref="U690:U698" ca="1" si="478">IF(R690&gt;0,S690*100/R690,0)</f>
        <v>21.524490786205188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49">
        <f t="shared" ref="L691:N691" ca="1" si="479">L694+L697</f>
        <v>0</v>
      </c>
      <c r="M691" s="49">
        <f t="shared" ca="1" si="479"/>
        <v>0</v>
      </c>
      <c r="N691" s="49">
        <f t="shared" ca="1" si="479"/>
        <v>0</v>
      </c>
      <c r="O691" s="49">
        <f t="shared" ca="1" si="474"/>
        <v>0</v>
      </c>
      <c r="P691" s="49">
        <f t="shared" ca="1" si="475"/>
        <v>0</v>
      </c>
      <c r="Q691" s="49">
        <f t="shared" ref="Q691:S691" ca="1" si="480">Q694+Q697</f>
        <v>0</v>
      </c>
      <c r="R691" s="49">
        <f t="shared" ca="1" si="480"/>
        <v>0</v>
      </c>
      <c r="S691" s="49">
        <f t="shared" ca="1" si="480"/>
        <v>0</v>
      </c>
      <c r="T691" s="49">
        <f t="shared" ca="1" si="477"/>
        <v>0</v>
      </c>
      <c r="U691" s="49">
        <f t="shared" ca="1" si="478"/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47">
        <f t="shared" ref="L692:N692" ca="1" si="481">L695+L698</f>
        <v>0</v>
      </c>
      <c r="M692" s="47">
        <f t="shared" ca="1" si="481"/>
        <v>0</v>
      </c>
      <c r="N692" s="47">
        <f t="shared" ca="1" si="481"/>
        <v>0</v>
      </c>
      <c r="O692" s="47">
        <f t="shared" ca="1" si="474"/>
        <v>0</v>
      </c>
      <c r="P692" s="47">
        <f t="shared" ca="1" si="475"/>
        <v>0</v>
      </c>
      <c r="Q692" s="47">
        <f t="shared" ref="Q692:S692" ca="1" si="482">Q695+Q698</f>
        <v>865550</v>
      </c>
      <c r="R692" s="47">
        <f t="shared" ca="1" si="482"/>
        <v>865550</v>
      </c>
      <c r="S692" s="47">
        <f t="shared" ca="1" si="482"/>
        <v>186305.22999999899</v>
      </c>
      <c r="T692" s="47">
        <f t="shared" ca="1" si="477"/>
        <v>21.524490786205188</v>
      </c>
      <c r="U692" s="47">
        <f t="shared" ca="1" si="478"/>
        <v>21.524490786205188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47">
        <f t="shared" ref="L693:N693" ca="1" si="483">L694+L695</f>
        <v>0</v>
      </c>
      <c r="M693" s="47">
        <f t="shared" ca="1" si="483"/>
        <v>0</v>
      </c>
      <c r="N693" s="47">
        <f t="shared" ca="1" si="483"/>
        <v>0</v>
      </c>
      <c r="O693" s="47">
        <f t="shared" ca="1" si="474"/>
        <v>0</v>
      </c>
      <c r="P693" s="47">
        <f t="shared" ca="1" si="475"/>
        <v>0</v>
      </c>
      <c r="Q693" s="47">
        <f t="shared" ref="Q693:S693" ca="1" si="484">Q694+Q695</f>
        <v>865550</v>
      </c>
      <c r="R693" s="47">
        <f t="shared" ca="1" si="484"/>
        <v>865550</v>
      </c>
      <c r="S693" s="47">
        <f t="shared" ca="1" si="484"/>
        <v>186305.22999999899</v>
      </c>
      <c r="T693" s="47">
        <f t="shared" ca="1" si="477"/>
        <v>21.524490786205188</v>
      </c>
      <c r="U693" s="47">
        <f t="shared" ca="1" si="478"/>
        <v>21.524490786205188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49">
        <f ca="1">IFERROR(__xludf.DUMMYFUNCTION("IMPORTRANGE(""https://docs.google.com/spreadsheets/d/1kKUcYdkIfrgTSj8iHHHB2MD2FAtwyyocFgqGQn6ADyI/edit?usp=sharing"",""กระบี่!L694"")+IMPORTRANGE(""https://docs.google.com/spreadsheets/d/1GwtLaSlNZkLk7iDqcyZz22giiy40b_usZZBXYciEN1U/edit?usp=sharing"",""ชุ"&amp;"มพร!L694"")+IMPORTRANGE(""https://docs.google.com/spreadsheets/d/16pAz3pOhQEZBhvFNMa5KGgZS6iKWpsKX0pg6tQmwFpo/edit?usp=sharing"",""ตรัง!L694"")+IMPORTRANGE(""https://docs.google.com/spreadsheets/d/1Dj4jcHCTV9JXKCaMoheSXS52JE63kDKyG7bPXnFogHk/edit?usp=shar"&amp;"ing"",""นครศรีธรรมราช!L694"")+IMPORTRANGE(""https://docs.google.com/spreadsheets/d/1iodCdmuK2GR3jzUwk8tpccY2JHQQA-87DLOtJP-ooyU/edit?usp=sharing"",""นราธิวาส!L694"")+IMPORTRANGE(""https://docs.google.com/spreadsheets/d/1SDNX3JhDdYRuIOsj0Wh2M-Qa_eaXl0NbWmh"&amp;"AOTbfQAs/edit?usp=sharing"",""ปัตตานี!L694"")+IMPORTRANGE(""https://docs.google.com/spreadsheets/d/16JDLGguT8s5DsGCND1KcwHP_AWR_zDMTqLHPLJUKhaU/edit?usp=sharing"",""พังงา!L694"")+IMPORTRANGE(""https://docs.google.com/spreadsheets/d/17ht0gPKzzT3PObBL1XJkeR"&amp;"mntBXI7wGjpLV7QorqlTk/edit?usp=sharing"",""พัทลุง!L694"")+IMPORTRANGE(""https://docs.google.com/spreadsheets/d/1rd4qoM1q_hsgaolqNGfrim9gbsoLxQsda4-vOz5x_BM/edit?usp=sharing"",""ภูเก็ต!L694"")+IMPORTRANGE(""https://docs.google.com/spreadsheets/d/1woKwKjgoL"&amp;"ssDvPcPeVyezB5izizAn4X1JDrys69n6xI/edit?usp=sharing"",""ยะลา!L694"")+IMPORTRANGE(""https://docs.google.com/spreadsheets/d/1qfrKjzMhm2HJfxQ-qVlJlJQ25Hne1d0khsySbZyGtPA/edit?usp=sharing"",""ระนอง!L694"")+IMPORTRANGE(""https://docs.google.com/spreadsheets/d/"&amp;"1IbSCnFOKpZsnFogBHJnL_isstZVaOMnFiIN0fGTPZZw/edit?usp=sharing"",""สงขลา!L694"")+IMPORTRANGE(""https://docs.google.com/spreadsheets/d/1q9nWasZJ-K8bFGvbE9n0qSRuKGA4Toe3Y89cKCiVtCU/edit?usp=sharing"",""สตูล!L694"")+IMPORTRANGE(""https://docs.google.com/sprea"&amp;"dsheets/d/18T20gbkS_WBjdscyTOV05cvq_JqvqQ17C81mpxf7Ncs/edit?usp=sharing"",""สุราษฎร์ธานี!L694"")"),0)</f>
        <v>0</v>
      </c>
      <c r="M694" s="49">
        <f ca="1">IFERROR(__xludf.DUMMYFUNCTION("IMPORTRANGE(""https://docs.google.com/spreadsheets/d/1kKUcYdkIfrgTSj8iHHHB2MD2FAtwyyocFgqGQn6ADyI/edit?usp=sharing"",""กระบี่!M694"")+IMPORTRANGE(""https://docs.google.com/spreadsheets/d/1GwtLaSlNZkLk7iDqcyZz22giiy40b_usZZBXYciEN1U/edit?usp=sharing"",""ชุ"&amp;"มพร!M694"")+IMPORTRANGE(""https://docs.google.com/spreadsheets/d/16pAz3pOhQEZBhvFNMa5KGgZS6iKWpsKX0pg6tQmwFpo/edit?usp=sharing"",""ตรัง!M694"")+IMPORTRANGE(""https://docs.google.com/spreadsheets/d/1Dj4jcHCTV9JXKCaMoheSXS52JE63kDKyG7bPXnFogHk/edit?usp=shar"&amp;"ing"",""นครศรีธรรมราช!M694"")+IMPORTRANGE(""https://docs.google.com/spreadsheets/d/1iodCdmuK2GR3jzUwk8tpccY2JHQQA-87DLOtJP-ooyU/edit?usp=sharing"",""นราธิวาส!M694"")+IMPORTRANGE(""https://docs.google.com/spreadsheets/d/1SDNX3JhDdYRuIOsj0Wh2M-Qa_eaXl0NbWmh"&amp;"AOTbfQAs/edit?usp=sharing"",""ปัตตานี!M694"")+IMPORTRANGE(""https://docs.google.com/spreadsheets/d/16JDLGguT8s5DsGCND1KcwHP_AWR_zDMTqLHPLJUKhaU/edit?usp=sharing"",""พังงา!M694"")+IMPORTRANGE(""https://docs.google.com/spreadsheets/d/17ht0gPKzzT3PObBL1XJkeR"&amp;"mntBXI7wGjpLV7QorqlTk/edit?usp=sharing"",""พัทลุง!M694"")+IMPORTRANGE(""https://docs.google.com/spreadsheets/d/1rd4qoM1q_hsgaolqNGfrim9gbsoLxQsda4-vOz5x_BM/edit?usp=sharing"",""ภูเก็ต!M694"")+IMPORTRANGE(""https://docs.google.com/spreadsheets/d/1woKwKjgoL"&amp;"ssDvPcPeVyezB5izizAn4X1JDrys69n6xI/edit?usp=sharing"",""ยะลา!M694"")+IMPORTRANGE(""https://docs.google.com/spreadsheets/d/1qfrKjzMhm2HJfxQ-qVlJlJQ25Hne1d0khsySbZyGtPA/edit?usp=sharing"",""ระนอง!M694"")+IMPORTRANGE(""https://docs.google.com/spreadsheets/d/"&amp;"1IbSCnFOKpZsnFogBHJnL_isstZVaOMnFiIN0fGTPZZw/edit?usp=sharing"",""สงขลา!M694"")+IMPORTRANGE(""https://docs.google.com/spreadsheets/d/1q9nWasZJ-K8bFGvbE9n0qSRuKGA4Toe3Y89cKCiVtCU/edit?usp=sharing"",""สตูล!M694"")+IMPORTRANGE(""https://docs.google.com/sprea"&amp;"dsheets/d/18T20gbkS_WBjdscyTOV05cvq_JqvqQ17C81mpxf7Ncs/edit?usp=sharing"",""สุราษฎร์ธานี!M694"")"),0)</f>
        <v>0</v>
      </c>
      <c r="N694" s="49">
        <f ca="1">IFERROR(__xludf.DUMMYFUNCTION("IMPORTRANGE(""https://docs.google.com/spreadsheets/d/1kKUcYdkIfrgTSj8iHHHB2MD2FAtwyyocFgqGQn6ADyI/edit?usp=sharing"",""กระบี่!N694"")+IMPORTRANGE(""https://docs.google.com/spreadsheets/d/1GwtLaSlNZkLk7iDqcyZz22giiy40b_usZZBXYciEN1U/edit?usp=sharing"",""ชุ"&amp;"มพร!N694"")+IMPORTRANGE(""https://docs.google.com/spreadsheets/d/16pAz3pOhQEZBhvFNMa5KGgZS6iKWpsKX0pg6tQmwFpo/edit?usp=sharing"",""ตรัง!N694"")+IMPORTRANGE(""https://docs.google.com/spreadsheets/d/1Dj4jcHCTV9JXKCaMoheSXS52JE63kDKyG7bPXnFogHk/edit?usp=shar"&amp;"ing"",""นครศรีธรรมราช!N694"")+IMPORTRANGE(""https://docs.google.com/spreadsheets/d/1iodCdmuK2GR3jzUwk8tpccY2JHQQA-87DLOtJP-ooyU/edit?usp=sharing"",""นราธิวาส!N694"")+IMPORTRANGE(""https://docs.google.com/spreadsheets/d/1SDNX3JhDdYRuIOsj0Wh2M-Qa_eaXl0NbWmh"&amp;"AOTbfQAs/edit?usp=sharing"",""ปัตตานี!N694"")+IMPORTRANGE(""https://docs.google.com/spreadsheets/d/16JDLGguT8s5DsGCND1KcwHP_AWR_zDMTqLHPLJUKhaU/edit?usp=sharing"",""พังงา!N694"")+IMPORTRANGE(""https://docs.google.com/spreadsheets/d/17ht0gPKzzT3PObBL1XJkeR"&amp;"mntBXI7wGjpLV7QorqlTk/edit?usp=sharing"",""พัทลุง!N694"")+IMPORTRANGE(""https://docs.google.com/spreadsheets/d/1rd4qoM1q_hsgaolqNGfrim9gbsoLxQsda4-vOz5x_BM/edit?usp=sharing"",""ภูเก็ต!N694"")+IMPORTRANGE(""https://docs.google.com/spreadsheets/d/1woKwKjgoL"&amp;"ssDvPcPeVyezB5izizAn4X1JDrys69n6xI/edit?usp=sharing"",""ยะลา!N694"")+IMPORTRANGE(""https://docs.google.com/spreadsheets/d/1qfrKjzMhm2HJfxQ-qVlJlJQ25Hne1d0khsySbZyGtPA/edit?usp=sharing"",""ระนอง!N694"")+IMPORTRANGE(""https://docs.google.com/spreadsheets/d/"&amp;"1IbSCnFOKpZsnFogBHJnL_isstZVaOMnFiIN0fGTPZZw/edit?usp=sharing"",""สงขลา!N694"")+IMPORTRANGE(""https://docs.google.com/spreadsheets/d/1q9nWasZJ-K8bFGvbE9n0qSRuKGA4Toe3Y89cKCiVtCU/edit?usp=sharing"",""สตูล!N694"")+IMPORTRANGE(""https://docs.google.com/sprea"&amp;"dsheets/d/18T20gbkS_WBjdscyTOV05cvq_JqvqQ17C81mpxf7Ncs/edit?usp=sharing"",""สุราษฎร์ธานี!N694"")"),0)</f>
        <v>0</v>
      </c>
      <c r="O694" s="49">
        <f t="shared" ca="1" si="474"/>
        <v>0</v>
      </c>
      <c r="P694" s="49">
        <f t="shared" ca="1" si="475"/>
        <v>0</v>
      </c>
      <c r="Q694" s="49">
        <f ca="1">IFERROR(__xludf.DUMMYFUNCTION("IMPORTRANGE(""https://docs.google.com/spreadsheets/d/1kKUcYdkIfrgTSj8iHHHB2MD2FAtwyyocFgqGQn6ADyI/edit?usp=sharing"",""กระบี่!Q694"")+IMPORTRANGE(""https://docs.google.com/spreadsheets/d/1GwtLaSlNZkLk7iDqcyZz22giiy40b_usZZBXYciEN1U/edit?usp=sharing"",""ชุ"&amp;"มพร!Q694"")+IMPORTRANGE(""https://docs.google.com/spreadsheets/d/16pAz3pOhQEZBhvFNMa5KGgZS6iKWpsKX0pg6tQmwFpo/edit?usp=sharing"",""ตรัง!Q694"")+IMPORTRANGE(""https://docs.google.com/spreadsheets/d/1Dj4jcHCTV9JXKCaMoheSXS52JE63kDKyG7bPXnFogHk/edit?usp=shar"&amp;"ing"",""นครศรีธรรมราช!Q694"")+IMPORTRANGE(""https://docs.google.com/spreadsheets/d/1iodCdmuK2GR3jzUwk8tpccY2JHQQA-87DLOtJP-ooyU/edit?usp=sharing"",""นราธิวาส!Q694"")+IMPORTRANGE(""https://docs.google.com/spreadsheets/d/1SDNX3JhDdYRuIOsj0Wh2M-Qa_eaXl0NbWmh"&amp;"AOTbfQAs/edit?usp=sharing"",""ปัตตานี!Q694"")+IMPORTRANGE(""https://docs.google.com/spreadsheets/d/16JDLGguT8s5DsGCND1KcwHP_AWR_zDMTqLHPLJUKhaU/edit?usp=sharing"",""พังงา!Q694"")+IMPORTRANGE(""https://docs.google.com/spreadsheets/d/17ht0gPKzzT3PObBL1XJkeR"&amp;"mntBXI7wGjpLV7QorqlTk/edit?usp=sharing"",""พัทลุง!Q694"")+IMPORTRANGE(""https://docs.google.com/spreadsheets/d/1rd4qoM1q_hsgaolqNGfrim9gbsoLxQsda4-vOz5x_BM/edit?usp=sharing"",""ภูเก็ต!Q694"")+IMPORTRANGE(""https://docs.google.com/spreadsheets/d/1woKwKjgoL"&amp;"ssDvPcPeVyezB5izizAn4X1JDrys69n6xI/edit?usp=sharing"",""ยะลา!Q694"")+IMPORTRANGE(""https://docs.google.com/spreadsheets/d/1qfrKjzMhm2HJfxQ-qVlJlJQ25Hne1d0khsySbZyGtPA/edit?usp=sharing"",""ระนอง!Q694"")+IMPORTRANGE(""https://docs.google.com/spreadsheets/d/"&amp;"1IbSCnFOKpZsnFogBHJnL_isstZVaOMnFiIN0fGTPZZw/edit?usp=sharing"",""สงขลา!Q694"")+IMPORTRANGE(""https://docs.google.com/spreadsheets/d/1q9nWasZJ-K8bFGvbE9n0qSRuKGA4Toe3Y89cKCiVtCU/edit?usp=sharing"",""สตูล!Q694"")+IMPORTRANGE(""https://docs.google.com/sprea"&amp;"dsheets/d/18T20gbkS_WBjdscyTOV05cvq_JqvqQ17C81mpxf7Ncs/edit?usp=sharing"",""สุราษฎร์ธานี!Q694"")"),0)</f>
        <v>0</v>
      </c>
      <c r="R694" s="49">
        <f ca="1">IFERROR(__xludf.DUMMYFUNCTION("IMPORTRANGE(""https://docs.google.com/spreadsheets/d/1kKUcYdkIfrgTSj8iHHHB2MD2FAtwyyocFgqGQn6ADyI/edit?usp=sharing"",""กระบี่!R694"")+IMPORTRANGE(""https://docs.google.com/spreadsheets/d/1GwtLaSlNZkLk7iDqcyZz22giiy40b_usZZBXYciEN1U/edit?usp=sharing"",""ชุ"&amp;"มพร!R694"")+IMPORTRANGE(""https://docs.google.com/spreadsheets/d/16pAz3pOhQEZBhvFNMa5KGgZS6iKWpsKX0pg6tQmwFpo/edit?usp=sharing"",""ตรัง!R694"")+IMPORTRANGE(""https://docs.google.com/spreadsheets/d/1Dj4jcHCTV9JXKCaMoheSXS52JE63kDKyG7bPXnFogHk/edit?usp=shar"&amp;"ing"",""นครศรีธรรมราช!R694"")+IMPORTRANGE(""https://docs.google.com/spreadsheets/d/1iodCdmuK2GR3jzUwk8tpccY2JHQQA-87DLOtJP-ooyU/edit?usp=sharing"",""นราธิวาส!R694"")+IMPORTRANGE(""https://docs.google.com/spreadsheets/d/1SDNX3JhDdYRuIOsj0Wh2M-Qa_eaXl0NbWmh"&amp;"AOTbfQAs/edit?usp=sharing"",""ปัตตานี!R694"")+IMPORTRANGE(""https://docs.google.com/spreadsheets/d/16JDLGguT8s5DsGCND1KcwHP_AWR_zDMTqLHPLJUKhaU/edit?usp=sharing"",""พังงา!R694"")+IMPORTRANGE(""https://docs.google.com/spreadsheets/d/17ht0gPKzzT3PObBL1XJkeR"&amp;"mntBXI7wGjpLV7QorqlTk/edit?usp=sharing"",""พัทลุง!R694"")+IMPORTRANGE(""https://docs.google.com/spreadsheets/d/1rd4qoM1q_hsgaolqNGfrim9gbsoLxQsda4-vOz5x_BM/edit?usp=sharing"",""ภูเก็ต!R694"")+IMPORTRANGE(""https://docs.google.com/spreadsheets/d/1woKwKjgoL"&amp;"ssDvPcPeVyezB5izizAn4X1JDrys69n6xI/edit?usp=sharing"",""ยะลา!R694"")+IMPORTRANGE(""https://docs.google.com/spreadsheets/d/1qfrKjzMhm2HJfxQ-qVlJlJQ25Hne1d0khsySbZyGtPA/edit?usp=sharing"",""ระนอง!R694"")+IMPORTRANGE(""https://docs.google.com/spreadsheets/d/"&amp;"1IbSCnFOKpZsnFogBHJnL_isstZVaOMnFiIN0fGTPZZw/edit?usp=sharing"",""สงขลา!R694"")+IMPORTRANGE(""https://docs.google.com/spreadsheets/d/1q9nWasZJ-K8bFGvbE9n0qSRuKGA4Toe3Y89cKCiVtCU/edit?usp=sharing"",""สตูล!R694"")+IMPORTRANGE(""https://docs.google.com/sprea"&amp;"dsheets/d/18T20gbkS_WBjdscyTOV05cvq_JqvqQ17C81mpxf7Ncs/edit?usp=sharing"",""สุราษฎร์ธานี!R694"")"),0)</f>
        <v>0</v>
      </c>
      <c r="S694" s="49">
        <f ca="1">IFERROR(__xludf.DUMMYFUNCTION("IMPORTRANGE(""https://docs.google.com/spreadsheets/d/1kKUcYdkIfrgTSj8iHHHB2MD2FAtwyyocFgqGQn6ADyI/edit?usp=sharing"",""กระบี่!S694"")+IMPORTRANGE(""https://docs.google.com/spreadsheets/d/1GwtLaSlNZkLk7iDqcyZz22giiy40b_usZZBXYciEN1U/edit?usp=sharing"",""ชุ"&amp;"มพร!S694"")+IMPORTRANGE(""https://docs.google.com/spreadsheets/d/16pAz3pOhQEZBhvFNMa5KGgZS6iKWpsKX0pg6tQmwFpo/edit?usp=sharing"",""ตรัง!S694"")+IMPORTRANGE(""https://docs.google.com/spreadsheets/d/1Dj4jcHCTV9JXKCaMoheSXS52JE63kDKyG7bPXnFogHk/edit?usp=shar"&amp;"ing"",""นครศรีธรรมราช!S694"")+IMPORTRANGE(""https://docs.google.com/spreadsheets/d/1iodCdmuK2GR3jzUwk8tpccY2JHQQA-87DLOtJP-ooyU/edit?usp=sharing"",""นราธิวาส!S694"")+IMPORTRANGE(""https://docs.google.com/spreadsheets/d/1SDNX3JhDdYRuIOsj0Wh2M-Qa_eaXl0NbWmh"&amp;"AOTbfQAs/edit?usp=sharing"",""ปัตตานี!S694"")+IMPORTRANGE(""https://docs.google.com/spreadsheets/d/16JDLGguT8s5DsGCND1KcwHP_AWR_zDMTqLHPLJUKhaU/edit?usp=sharing"",""พังงา!S694"")+IMPORTRANGE(""https://docs.google.com/spreadsheets/d/17ht0gPKzzT3PObBL1XJkeR"&amp;"mntBXI7wGjpLV7QorqlTk/edit?usp=sharing"",""พัทลุง!S694"")+IMPORTRANGE(""https://docs.google.com/spreadsheets/d/1rd4qoM1q_hsgaolqNGfrim9gbsoLxQsda4-vOz5x_BM/edit?usp=sharing"",""ภูเก็ต!S694"")+IMPORTRANGE(""https://docs.google.com/spreadsheets/d/1woKwKjgoL"&amp;"ssDvPcPeVyezB5izizAn4X1JDrys69n6xI/edit?usp=sharing"",""ยะลา!S694"")+IMPORTRANGE(""https://docs.google.com/spreadsheets/d/1qfrKjzMhm2HJfxQ-qVlJlJQ25Hne1d0khsySbZyGtPA/edit?usp=sharing"",""ระนอง!S694"")+IMPORTRANGE(""https://docs.google.com/spreadsheets/d/"&amp;"1IbSCnFOKpZsnFogBHJnL_isstZVaOMnFiIN0fGTPZZw/edit?usp=sharing"",""สงขลา!S694"")+IMPORTRANGE(""https://docs.google.com/spreadsheets/d/1q9nWasZJ-K8bFGvbE9n0qSRuKGA4Toe3Y89cKCiVtCU/edit?usp=sharing"",""สตูล!S694"")+IMPORTRANGE(""https://docs.google.com/sprea"&amp;"dsheets/d/18T20gbkS_WBjdscyTOV05cvq_JqvqQ17C81mpxf7Ncs/edit?usp=sharing"",""สุราษฎร์ธานี!S694"")"),0)</f>
        <v>0</v>
      </c>
      <c r="T694" s="49">
        <f t="shared" ca="1" si="477"/>
        <v>0</v>
      </c>
      <c r="U694" s="49">
        <f t="shared" ca="1" si="478"/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47">
        <f ca="1">IFERROR(__xludf.DUMMYFUNCTION("IMPORTRANGE(""https://docs.google.com/spreadsheets/d/1kKUcYdkIfrgTSj8iHHHB2MD2FAtwyyocFgqGQn6ADyI/edit?usp=sharing"",""กระบี่!L695"")+IMPORTRANGE(""https://docs.google.com/spreadsheets/d/1GwtLaSlNZkLk7iDqcyZz22giiy40b_usZZBXYciEN1U/edit?usp=sharing"",""ชุ"&amp;"มพร!L695"")+IMPORTRANGE(""https://docs.google.com/spreadsheets/d/16pAz3pOhQEZBhvFNMa5KGgZS6iKWpsKX0pg6tQmwFpo/edit?usp=sharing"",""ตรัง!L695"")+IMPORTRANGE(""https://docs.google.com/spreadsheets/d/1Dj4jcHCTV9JXKCaMoheSXS52JE63kDKyG7bPXnFogHk/edit?usp=shar"&amp;"ing"",""นครศรีธรรมราช!L695"")+IMPORTRANGE(""https://docs.google.com/spreadsheets/d/1iodCdmuK2GR3jzUwk8tpccY2JHQQA-87DLOtJP-ooyU/edit?usp=sharing"",""นราธิวาส!L695"")+IMPORTRANGE(""https://docs.google.com/spreadsheets/d/1SDNX3JhDdYRuIOsj0Wh2M-Qa_eaXl0NbWmh"&amp;"AOTbfQAs/edit?usp=sharing"",""ปัตตานี!L695"")+IMPORTRANGE(""https://docs.google.com/spreadsheets/d/16JDLGguT8s5DsGCND1KcwHP_AWR_zDMTqLHPLJUKhaU/edit?usp=sharing"",""พังงา!L695"")+IMPORTRANGE(""https://docs.google.com/spreadsheets/d/17ht0gPKzzT3PObBL1XJkeR"&amp;"mntBXI7wGjpLV7QorqlTk/edit?usp=sharing"",""พัทลุง!L695"")+IMPORTRANGE(""https://docs.google.com/spreadsheets/d/1rd4qoM1q_hsgaolqNGfrim9gbsoLxQsda4-vOz5x_BM/edit?usp=sharing"",""ภูเก็ต!L695"")+IMPORTRANGE(""https://docs.google.com/spreadsheets/d/1woKwKjgoL"&amp;"ssDvPcPeVyezB5izizAn4X1JDrys69n6xI/edit?usp=sharing"",""ยะลา!L695"")+IMPORTRANGE(""https://docs.google.com/spreadsheets/d/1qfrKjzMhm2HJfxQ-qVlJlJQ25Hne1d0khsySbZyGtPA/edit?usp=sharing"",""ระนอง!L695"")+IMPORTRANGE(""https://docs.google.com/spreadsheets/d/"&amp;"1IbSCnFOKpZsnFogBHJnL_isstZVaOMnFiIN0fGTPZZw/edit?usp=sharing"",""สงขลา!L695"")+IMPORTRANGE(""https://docs.google.com/spreadsheets/d/1q9nWasZJ-K8bFGvbE9n0qSRuKGA4Toe3Y89cKCiVtCU/edit?usp=sharing"",""สตูล!L695"")+IMPORTRANGE(""https://docs.google.com/sprea"&amp;"dsheets/d/18T20gbkS_WBjdscyTOV05cvq_JqvqQ17C81mpxf7Ncs/edit?usp=sharing"",""สุราษฎร์ธานี!L695"")"),0)</f>
        <v>0</v>
      </c>
      <c r="M695" s="47">
        <f ca="1">IFERROR(__xludf.DUMMYFUNCTION("IMPORTRANGE(""https://docs.google.com/spreadsheets/d/1kKUcYdkIfrgTSj8iHHHB2MD2FAtwyyocFgqGQn6ADyI/edit?usp=sharing"",""กระบี่!M695"")+IMPORTRANGE(""https://docs.google.com/spreadsheets/d/1GwtLaSlNZkLk7iDqcyZz22giiy40b_usZZBXYciEN1U/edit?usp=sharing"",""ชุ"&amp;"มพร!M695"")+IMPORTRANGE(""https://docs.google.com/spreadsheets/d/16pAz3pOhQEZBhvFNMa5KGgZS6iKWpsKX0pg6tQmwFpo/edit?usp=sharing"",""ตรัง!M695"")+IMPORTRANGE(""https://docs.google.com/spreadsheets/d/1Dj4jcHCTV9JXKCaMoheSXS52JE63kDKyG7bPXnFogHk/edit?usp=shar"&amp;"ing"",""นครศรีธรรมราช!M695"")+IMPORTRANGE(""https://docs.google.com/spreadsheets/d/1iodCdmuK2GR3jzUwk8tpccY2JHQQA-87DLOtJP-ooyU/edit?usp=sharing"",""นราธิวาส!M695"")+IMPORTRANGE(""https://docs.google.com/spreadsheets/d/1SDNX3JhDdYRuIOsj0Wh2M-Qa_eaXl0NbWmh"&amp;"AOTbfQAs/edit?usp=sharing"",""ปัตตานี!M695"")+IMPORTRANGE(""https://docs.google.com/spreadsheets/d/16JDLGguT8s5DsGCND1KcwHP_AWR_zDMTqLHPLJUKhaU/edit?usp=sharing"",""พังงา!M695"")+IMPORTRANGE(""https://docs.google.com/spreadsheets/d/17ht0gPKzzT3PObBL1XJkeR"&amp;"mntBXI7wGjpLV7QorqlTk/edit?usp=sharing"",""พัทลุง!M695"")+IMPORTRANGE(""https://docs.google.com/spreadsheets/d/1rd4qoM1q_hsgaolqNGfrim9gbsoLxQsda4-vOz5x_BM/edit?usp=sharing"",""ภูเก็ต!M695"")+IMPORTRANGE(""https://docs.google.com/spreadsheets/d/1woKwKjgoL"&amp;"ssDvPcPeVyezB5izizAn4X1JDrys69n6xI/edit?usp=sharing"",""ยะลา!M695"")+IMPORTRANGE(""https://docs.google.com/spreadsheets/d/1qfrKjzMhm2HJfxQ-qVlJlJQ25Hne1d0khsySbZyGtPA/edit?usp=sharing"",""ระนอง!M695"")+IMPORTRANGE(""https://docs.google.com/spreadsheets/d/"&amp;"1IbSCnFOKpZsnFogBHJnL_isstZVaOMnFiIN0fGTPZZw/edit?usp=sharing"",""สงขลา!M695"")+IMPORTRANGE(""https://docs.google.com/spreadsheets/d/1q9nWasZJ-K8bFGvbE9n0qSRuKGA4Toe3Y89cKCiVtCU/edit?usp=sharing"",""สตูล!M695"")+IMPORTRANGE(""https://docs.google.com/sprea"&amp;"dsheets/d/18T20gbkS_WBjdscyTOV05cvq_JqvqQ17C81mpxf7Ncs/edit?usp=sharing"",""สุราษฎร์ธานี!M695"")"),0)</f>
        <v>0</v>
      </c>
      <c r="N695" s="47">
        <f ca="1">IFERROR(__xludf.DUMMYFUNCTION("IMPORTRANGE(""https://docs.google.com/spreadsheets/d/1kKUcYdkIfrgTSj8iHHHB2MD2FAtwyyocFgqGQn6ADyI/edit?usp=sharing"",""กระบี่!N695"")+IMPORTRANGE(""https://docs.google.com/spreadsheets/d/1GwtLaSlNZkLk7iDqcyZz22giiy40b_usZZBXYciEN1U/edit?usp=sharing"",""ชุ"&amp;"มพร!N695"")+IMPORTRANGE(""https://docs.google.com/spreadsheets/d/16pAz3pOhQEZBhvFNMa5KGgZS6iKWpsKX0pg6tQmwFpo/edit?usp=sharing"",""ตรัง!N695"")+IMPORTRANGE(""https://docs.google.com/spreadsheets/d/1Dj4jcHCTV9JXKCaMoheSXS52JE63kDKyG7bPXnFogHk/edit?usp=shar"&amp;"ing"",""นครศรีธรรมราช!N695"")+IMPORTRANGE(""https://docs.google.com/spreadsheets/d/1iodCdmuK2GR3jzUwk8tpccY2JHQQA-87DLOtJP-ooyU/edit?usp=sharing"",""นราธิวาส!N695"")+IMPORTRANGE(""https://docs.google.com/spreadsheets/d/1SDNX3JhDdYRuIOsj0Wh2M-Qa_eaXl0NbWmh"&amp;"AOTbfQAs/edit?usp=sharing"",""ปัตตานี!N695"")+IMPORTRANGE(""https://docs.google.com/spreadsheets/d/16JDLGguT8s5DsGCND1KcwHP_AWR_zDMTqLHPLJUKhaU/edit?usp=sharing"",""พังงา!N695"")+IMPORTRANGE(""https://docs.google.com/spreadsheets/d/17ht0gPKzzT3PObBL1XJkeR"&amp;"mntBXI7wGjpLV7QorqlTk/edit?usp=sharing"",""พัทลุง!N695"")+IMPORTRANGE(""https://docs.google.com/spreadsheets/d/1rd4qoM1q_hsgaolqNGfrim9gbsoLxQsda4-vOz5x_BM/edit?usp=sharing"",""ภูเก็ต!N695"")+IMPORTRANGE(""https://docs.google.com/spreadsheets/d/1woKwKjgoL"&amp;"ssDvPcPeVyezB5izizAn4X1JDrys69n6xI/edit?usp=sharing"",""ยะลา!N695"")+IMPORTRANGE(""https://docs.google.com/spreadsheets/d/1qfrKjzMhm2HJfxQ-qVlJlJQ25Hne1d0khsySbZyGtPA/edit?usp=sharing"",""ระนอง!N695"")+IMPORTRANGE(""https://docs.google.com/spreadsheets/d/"&amp;"1IbSCnFOKpZsnFogBHJnL_isstZVaOMnFiIN0fGTPZZw/edit?usp=sharing"",""สงขลา!N695"")+IMPORTRANGE(""https://docs.google.com/spreadsheets/d/1q9nWasZJ-K8bFGvbE9n0qSRuKGA4Toe3Y89cKCiVtCU/edit?usp=sharing"",""สตูล!N695"")+IMPORTRANGE(""https://docs.google.com/sprea"&amp;"dsheets/d/18T20gbkS_WBjdscyTOV05cvq_JqvqQ17C81mpxf7Ncs/edit?usp=sharing"",""สุราษฎร์ธานี!N695"")"),0)</f>
        <v>0</v>
      </c>
      <c r="O695" s="47">
        <f t="shared" ca="1" si="474"/>
        <v>0</v>
      </c>
      <c r="P695" s="47">
        <f t="shared" ca="1" si="475"/>
        <v>0</v>
      </c>
      <c r="Q695" s="47">
        <f ca="1">IFERROR(__xludf.DUMMYFUNCTION("IMPORTRANGE(""https://docs.google.com/spreadsheets/d/1kKUcYdkIfrgTSj8iHHHB2MD2FAtwyyocFgqGQn6ADyI/edit?usp=sharing"",""กระบี่!Q695"")+IMPORTRANGE(""https://docs.google.com/spreadsheets/d/1GwtLaSlNZkLk7iDqcyZz22giiy40b_usZZBXYciEN1U/edit?usp=sharing"",""ชุ"&amp;"มพร!Q695"")+IMPORTRANGE(""https://docs.google.com/spreadsheets/d/16pAz3pOhQEZBhvFNMa5KGgZS6iKWpsKX0pg6tQmwFpo/edit?usp=sharing"",""ตรัง!Q695"")+IMPORTRANGE(""https://docs.google.com/spreadsheets/d/1Dj4jcHCTV9JXKCaMoheSXS52JE63kDKyG7bPXnFogHk/edit?usp=shar"&amp;"ing"",""นครศรีธรรมราช!Q695"")+IMPORTRANGE(""https://docs.google.com/spreadsheets/d/1iodCdmuK2GR3jzUwk8tpccY2JHQQA-87DLOtJP-ooyU/edit?usp=sharing"",""นราธิวาส!Q695"")+IMPORTRANGE(""https://docs.google.com/spreadsheets/d/1SDNX3JhDdYRuIOsj0Wh2M-Qa_eaXl0NbWmh"&amp;"AOTbfQAs/edit?usp=sharing"",""ปัตตานี!Q695"")+IMPORTRANGE(""https://docs.google.com/spreadsheets/d/16JDLGguT8s5DsGCND1KcwHP_AWR_zDMTqLHPLJUKhaU/edit?usp=sharing"",""พังงา!Q695"")+IMPORTRANGE(""https://docs.google.com/spreadsheets/d/17ht0gPKzzT3PObBL1XJkeR"&amp;"mntBXI7wGjpLV7QorqlTk/edit?usp=sharing"",""พัทลุง!Q695"")+IMPORTRANGE(""https://docs.google.com/spreadsheets/d/1rd4qoM1q_hsgaolqNGfrim9gbsoLxQsda4-vOz5x_BM/edit?usp=sharing"",""ภูเก็ต!Q695"")+IMPORTRANGE(""https://docs.google.com/spreadsheets/d/1woKwKjgoL"&amp;"ssDvPcPeVyezB5izizAn4X1JDrys69n6xI/edit?usp=sharing"",""ยะลา!Q695"")+IMPORTRANGE(""https://docs.google.com/spreadsheets/d/1qfrKjzMhm2HJfxQ-qVlJlJQ25Hne1d0khsySbZyGtPA/edit?usp=sharing"",""ระนอง!Q695"")+IMPORTRANGE(""https://docs.google.com/spreadsheets/d/"&amp;"1IbSCnFOKpZsnFogBHJnL_isstZVaOMnFiIN0fGTPZZw/edit?usp=sharing"",""สงขลา!Q695"")+IMPORTRANGE(""https://docs.google.com/spreadsheets/d/1q9nWasZJ-K8bFGvbE9n0qSRuKGA4Toe3Y89cKCiVtCU/edit?usp=sharing"",""สตูล!Q695"")+IMPORTRANGE(""https://docs.google.com/sprea"&amp;"dsheets/d/18T20gbkS_WBjdscyTOV05cvq_JqvqQ17C81mpxf7Ncs/edit?usp=sharing"",""สุราษฎร์ธานี!Q695"")"),865550)</f>
        <v>865550</v>
      </c>
      <c r="R695" s="47">
        <f ca="1">IFERROR(__xludf.DUMMYFUNCTION("IMPORTRANGE(""https://docs.google.com/spreadsheets/d/1kKUcYdkIfrgTSj8iHHHB2MD2FAtwyyocFgqGQn6ADyI/edit?usp=sharing"",""กระบี่!R695"")+IMPORTRANGE(""https://docs.google.com/spreadsheets/d/1GwtLaSlNZkLk7iDqcyZz22giiy40b_usZZBXYciEN1U/edit?usp=sharing"",""ชุ"&amp;"มพร!R695"")+IMPORTRANGE(""https://docs.google.com/spreadsheets/d/16pAz3pOhQEZBhvFNMa5KGgZS6iKWpsKX0pg6tQmwFpo/edit?usp=sharing"",""ตรัง!R695"")+IMPORTRANGE(""https://docs.google.com/spreadsheets/d/1Dj4jcHCTV9JXKCaMoheSXS52JE63kDKyG7bPXnFogHk/edit?usp=shar"&amp;"ing"",""นครศรีธรรมราช!R695"")+IMPORTRANGE(""https://docs.google.com/spreadsheets/d/1iodCdmuK2GR3jzUwk8tpccY2JHQQA-87DLOtJP-ooyU/edit?usp=sharing"",""นราธิวาส!R695"")+IMPORTRANGE(""https://docs.google.com/spreadsheets/d/1SDNX3JhDdYRuIOsj0Wh2M-Qa_eaXl0NbWmh"&amp;"AOTbfQAs/edit?usp=sharing"",""ปัตตานี!R695"")+IMPORTRANGE(""https://docs.google.com/spreadsheets/d/16JDLGguT8s5DsGCND1KcwHP_AWR_zDMTqLHPLJUKhaU/edit?usp=sharing"",""พังงา!R695"")+IMPORTRANGE(""https://docs.google.com/spreadsheets/d/17ht0gPKzzT3PObBL1XJkeR"&amp;"mntBXI7wGjpLV7QorqlTk/edit?usp=sharing"",""พัทลุง!R695"")+IMPORTRANGE(""https://docs.google.com/spreadsheets/d/1rd4qoM1q_hsgaolqNGfrim9gbsoLxQsda4-vOz5x_BM/edit?usp=sharing"",""ภูเก็ต!R695"")+IMPORTRANGE(""https://docs.google.com/spreadsheets/d/1woKwKjgoL"&amp;"ssDvPcPeVyezB5izizAn4X1JDrys69n6xI/edit?usp=sharing"",""ยะลา!R695"")+IMPORTRANGE(""https://docs.google.com/spreadsheets/d/1qfrKjzMhm2HJfxQ-qVlJlJQ25Hne1d0khsySbZyGtPA/edit?usp=sharing"",""ระนอง!R695"")+IMPORTRANGE(""https://docs.google.com/spreadsheets/d/"&amp;"1IbSCnFOKpZsnFogBHJnL_isstZVaOMnFiIN0fGTPZZw/edit?usp=sharing"",""สงขลา!R695"")+IMPORTRANGE(""https://docs.google.com/spreadsheets/d/1q9nWasZJ-K8bFGvbE9n0qSRuKGA4Toe3Y89cKCiVtCU/edit?usp=sharing"",""สตูล!R695"")+IMPORTRANGE(""https://docs.google.com/sprea"&amp;"dsheets/d/18T20gbkS_WBjdscyTOV05cvq_JqvqQ17C81mpxf7Ncs/edit?usp=sharing"",""สุราษฎร์ธานี!R695"")"),865550)</f>
        <v>865550</v>
      </c>
      <c r="S695" s="47">
        <f ca="1">IFERROR(__xludf.DUMMYFUNCTION("IMPORTRANGE(""https://docs.google.com/spreadsheets/d/1kKUcYdkIfrgTSj8iHHHB2MD2FAtwyyocFgqGQn6ADyI/edit?usp=sharing"",""กระบี่!S695"")+IMPORTRANGE(""https://docs.google.com/spreadsheets/d/1GwtLaSlNZkLk7iDqcyZz22giiy40b_usZZBXYciEN1U/edit?usp=sharing"",""ชุ"&amp;"มพร!S695"")+IMPORTRANGE(""https://docs.google.com/spreadsheets/d/16pAz3pOhQEZBhvFNMa5KGgZS6iKWpsKX0pg6tQmwFpo/edit?usp=sharing"",""ตรัง!S695"")+IMPORTRANGE(""https://docs.google.com/spreadsheets/d/1Dj4jcHCTV9JXKCaMoheSXS52JE63kDKyG7bPXnFogHk/edit?usp=shar"&amp;"ing"",""นครศรีธรรมราช!S695"")+IMPORTRANGE(""https://docs.google.com/spreadsheets/d/1iodCdmuK2GR3jzUwk8tpccY2JHQQA-87DLOtJP-ooyU/edit?usp=sharing"",""นราธิวาส!S695"")+IMPORTRANGE(""https://docs.google.com/spreadsheets/d/1SDNX3JhDdYRuIOsj0Wh2M-Qa_eaXl0NbWmh"&amp;"AOTbfQAs/edit?usp=sharing"",""ปัตตานี!S695"")+IMPORTRANGE(""https://docs.google.com/spreadsheets/d/16JDLGguT8s5DsGCND1KcwHP_AWR_zDMTqLHPLJUKhaU/edit?usp=sharing"",""พังงา!S695"")+IMPORTRANGE(""https://docs.google.com/spreadsheets/d/17ht0gPKzzT3PObBL1XJkeR"&amp;"mntBXI7wGjpLV7QorqlTk/edit?usp=sharing"",""พัทลุง!S695"")+IMPORTRANGE(""https://docs.google.com/spreadsheets/d/1rd4qoM1q_hsgaolqNGfrim9gbsoLxQsda4-vOz5x_BM/edit?usp=sharing"",""ภูเก็ต!S695"")+IMPORTRANGE(""https://docs.google.com/spreadsheets/d/1woKwKjgoL"&amp;"ssDvPcPeVyezB5izizAn4X1JDrys69n6xI/edit?usp=sharing"",""ยะลา!S695"")+IMPORTRANGE(""https://docs.google.com/spreadsheets/d/1qfrKjzMhm2HJfxQ-qVlJlJQ25Hne1d0khsySbZyGtPA/edit?usp=sharing"",""ระนอง!S695"")+IMPORTRANGE(""https://docs.google.com/spreadsheets/d/"&amp;"1IbSCnFOKpZsnFogBHJnL_isstZVaOMnFiIN0fGTPZZw/edit?usp=sharing"",""สงขลา!S695"")+IMPORTRANGE(""https://docs.google.com/spreadsheets/d/1q9nWasZJ-K8bFGvbE9n0qSRuKGA4Toe3Y89cKCiVtCU/edit?usp=sharing"",""สตูล!S695"")+IMPORTRANGE(""https://docs.google.com/sprea"&amp;"dsheets/d/18T20gbkS_WBjdscyTOV05cvq_JqvqQ17C81mpxf7Ncs/edit?usp=sharing"",""สุราษฎร์ธานี!S695"")"),186305.229999999)</f>
        <v>186305.22999999899</v>
      </c>
      <c r="T695" s="47">
        <f t="shared" ca="1" si="477"/>
        <v>21.524490786205188</v>
      </c>
      <c r="U695" s="47">
        <f t="shared" ca="1" si="478"/>
        <v>21.524490786205188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47">
        <f t="shared" ref="L696:N696" ca="1" si="485">L697+L698</f>
        <v>0</v>
      </c>
      <c r="M696" s="47">
        <f t="shared" ca="1" si="485"/>
        <v>0</v>
      </c>
      <c r="N696" s="47">
        <f t="shared" ca="1" si="485"/>
        <v>0</v>
      </c>
      <c r="O696" s="47">
        <f t="shared" ca="1" si="474"/>
        <v>0</v>
      </c>
      <c r="P696" s="47">
        <f t="shared" ca="1" si="475"/>
        <v>0</v>
      </c>
      <c r="Q696" s="47">
        <f t="shared" ref="Q696:S696" ca="1" si="486">Q697+Q698</f>
        <v>0</v>
      </c>
      <c r="R696" s="47">
        <f t="shared" ca="1" si="486"/>
        <v>0</v>
      </c>
      <c r="S696" s="47">
        <f t="shared" ca="1" si="486"/>
        <v>0</v>
      </c>
      <c r="T696" s="47">
        <f t="shared" ca="1" si="477"/>
        <v>0</v>
      </c>
      <c r="U696" s="47">
        <f t="shared" ca="1" si="478"/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49">
        <f ca="1">IFERROR(__xludf.DUMMYFUNCTION("IMPORTRANGE(""https://docs.google.com/spreadsheets/d/1kKUcYdkIfrgTSj8iHHHB2MD2FAtwyyocFgqGQn6ADyI/edit?usp=sharing"",""กระบี่!L697"")+IMPORTRANGE(""https://docs.google.com/spreadsheets/d/1GwtLaSlNZkLk7iDqcyZz22giiy40b_usZZBXYciEN1U/edit?usp=sharing"",""ชุ"&amp;"มพร!L697"")+IMPORTRANGE(""https://docs.google.com/spreadsheets/d/16pAz3pOhQEZBhvFNMa5KGgZS6iKWpsKX0pg6tQmwFpo/edit?usp=sharing"",""ตรัง!L697"")+IMPORTRANGE(""https://docs.google.com/spreadsheets/d/1Dj4jcHCTV9JXKCaMoheSXS52JE63kDKyG7bPXnFogHk/edit?usp=shar"&amp;"ing"",""นครศรีธรรมราช!L697"")+IMPORTRANGE(""https://docs.google.com/spreadsheets/d/1iodCdmuK2GR3jzUwk8tpccY2JHQQA-87DLOtJP-ooyU/edit?usp=sharing"",""นราธิวาส!L697"")+IMPORTRANGE(""https://docs.google.com/spreadsheets/d/1SDNX3JhDdYRuIOsj0Wh2M-Qa_eaXl0NbWmh"&amp;"AOTbfQAs/edit?usp=sharing"",""ปัตตานี!L697"")+IMPORTRANGE(""https://docs.google.com/spreadsheets/d/16JDLGguT8s5DsGCND1KcwHP_AWR_zDMTqLHPLJUKhaU/edit?usp=sharing"",""พังงา!L697"")+IMPORTRANGE(""https://docs.google.com/spreadsheets/d/17ht0gPKzzT3PObBL1XJkeR"&amp;"mntBXI7wGjpLV7QorqlTk/edit?usp=sharing"",""พัทลุง!L697"")+IMPORTRANGE(""https://docs.google.com/spreadsheets/d/1rd4qoM1q_hsgaolqNGfrim9gbsoLxQsda4-vOz5x_BM/edit?usp=sharing"",""ภูเก็ต!L697"")+IMPORTRANGE(""https://docs.google.com/spreadsheets/d/1woKwKjgoL"&amp;"ssDvPcPeVyezB5izizAn4X1JDrys69n6xI/edit?usp=sharing"",""ยะลา!L697"")+IMPORTRANGE(""https://docs.google.com/spreadsheets/d/1qfrKjzMhm2HJfxQ-qVlJlJQ25Hne1d0khsySbZyGtPA/edit?usp=sharing"",""ระนอง!L697"")+IMPORTRANGE(""https://docs.google.com/spreadsheets/d/"&amp;"1IbSCnFOKpZsnFogBHJnL_isstZVaOMnFiIN0fGTPZZw/edit?usp=sharing"",""สงขลา!L697"")+IMPORTRANGE(""https://docs.google.com/spreadsheets/d/1q9nWasZJ-K8bFGvbE9n0qSRuKGA4Toe3Y89cKCiVtCU/edit?usp=sharing"",""สตูล!L697"")+IMPORTRANGE(""https://docs.google.com/sprea"&amp;"dsheets/d/18T20gbkS_WBjdscyTOV05cvq_JqvqQ17C81mpxf7Ncs/edit?usp=sharing"",""สุราษฎร์ธานี!L697"")"),0)</f>
        <v>0</v>
      </c>
      <c r="M697" s="49">
        <f ca="1">IFERROR(__xludf.DUMMYFUNCTION("IMPORTRANGE(""https://docs.google.com/spreadsheets/d/1kKUcYdkIfrgTSj8iHHHB2MD2FAtwyyocFgqGQn6ADyI/edit?usp=sharing"",""กระบี่!M697"")+IMPORTRANGE(""https://docs.google.com/spreadsheets/d/1GwtLaSlNZkLk7iDqcyZz22giiy40b_usZZBXYciEN1U/edit?usp=sharing"",""ชุ"&amp;"มพร!M697"")+IMPORTRANGE(""https://docs.google.com/spreadsheets/d/16pAz3pOhQEZBhvFNMa5KGgZS6iKWpsKX0pg6tQmwFpo/edit?usp=sharing"",""ตรัง!M697"")+IMPORTRANGE(""https://docs.google.com/spreadsheets/d/1Dj4jcHCTV9JXKCaMoheSXS52JE63kDKyG7bPXnFogHk/edit?usp=shar"&amp;"ing"",""นครศรีธรรมราช!M697"")+IMPORTRANGE(""https://docs.google.com/spreadsheets/d/1iodCdmuK2GR3jzUwk8tpccY2JHQQA-87DLOtJP-ooyU/edit?usp=sharing"",""นราธิวาส!M697"")+IMPORTRANGE(""https://docs.google.com/spreadsheets/d/1SDNX3JhDdYRuIOsj0Wh2M-Qa_eaXl0NbWmh"&amp;"AOTbfQAs/edit?usp=sharing"",""ปัตตานี!M697"")+IMPORTRANGE(""https://docs.google.com/spreadsheets/d/16JDLGguT8s5DsGCND1KcwHP_AWR_zDMTqLHPLJUKhaU/edit?usp=sharing"",""พังงา!M697"")+IMPORTRANGE(""https://docs.google.com/spreadsheets/d/17ht0gPKzzT3PObBL1XJkeR"&amp;"mntBXI7wGjpLV7QorqlTk/edit?usp=sharing"",""พัทลุง!M697"")+IMPORTRANGE(""https://docs.google.com/spreadsheets/d/1rd4qoM1q_hsgaolqNGfrim9gbsoLxQsda4-vOz5x_BM/edit?usp=sharing"",""ภูเก็ต!M697"")+IMPORTRANGE(""https://docs.google.com/spreadsheets/d/1woKwKjgoL"&amp;"ssDvPcPeVyezB5izizAn4X1JDrys69n6xI/edit?usp=sharing"",""ยะลา!M697"")+IMPORTRANGE(""https://docs.google.com/spreadsheets/d/1qfrKjzMhm2HJfxQ-qVlJlJQ25Hne1d0khsySbZyGtPA/edit?usp=sharing"",""ระนอง!M697"")+IMPORTRANGE(""https://docs.google.com/spreadsheets/d/"&amp;"1IbSCnFOKpZsnFogBHJnL_isstZVaOMnFiIN0fGTPZZw/edit?usp=sharing"",""สงขลา!M697"")+IMPORTRANGE(""https://docs.google.com/spreadsheets/d/1q9nWasZJ-K8bFGvbE9n0qSRuKGA4Toe3Y89cKCiVtCU/edit?usp=sharing"",""สตูล!M697"")+IMPORTRANGE(""https://docs.google.com/sprea"&amp;"dsheets/d/18T20gbkS_WBjdscyTOV05cvq_JqvqQ17C81mpxf7Ncs/edit?usp=sharing"",""สุราษฎร์ธานี!M697"")"),0)</f>
        <v>0</v>
      </c>
      <c r="N697" s="49">
        <f ca="1">IFERROR(__xludf.DUMMYFUNCTION("IMPORTRANGE(""https://docs.google.com/spreadsheets/d/1kKUcYdkIfrgTSj8iHHHB2MD2FAtwyyocFgqGQn6ADyI/edit?usp=sharing"",""กระบี่!N697"")+IMPORTRANGE(""https://docs.google.com/spreadsheets/d/1GwtLaSlNZkLk7iDqcyZz22giiy40b_usZZBXYciEN1U/edit?usp=sharing"",""ชุ"&amp;"มพร!N697"")+IMPORTRANGE(""https://docs.google.com/spreadsheets/d/16pAz3pOhQEZBhvFNMa5KGgZS6iKWpsKX0pg6tQmwFpo/edit?usp=sharing"",""ตรัง!N697"")+IMPORTRANGE(""https://docs.google.com/spreadsheets/d/1Dj4jcHCTV9JXKCaMoheSXS52JE63kDKyG7bPXnFogHk/edit?usp=shar"&amp;"ing"",""นครศรีธรรมราช!N697"")+IMPORTRANGE(""https://docs.google.com/spreadsheets/d/1iodCdmuK2GR3jzUwk8tpccY2JHQQA-87DLOtJP-ooyU/edit?usp=sharing"",""นราธิวาส!N697"")+IMPORTRANGE(""https://docs.google.com/spreadsheets/d/1SDNX3JhDdYRuIOsj0Wh2M-Qa_eaXl0NbWmh"&amp;"AOTbfQAs/edit?usp=sharing"",""ปัตตานี!N697"")+IMPORTRANGE(""https://docs.google.com/spreadsheets/d/16JDLGguT8s5DsGCND1KcwHP_AWR_zDMTqLHPLJUKhaU/edit?usp=sharing"",""พังงา!N697"")+IMPORTRANGE(""https://docs.google.com/spreadsheets/d/17ht0gPKzzT3PObBL1XJkeR"&amp;"mntBXI7wGjpLV7QorqlTk/edit?usp=sharing"",""พัทลุง!N697"")+IMPORTRANGE(""https://docs.google.com/spreadsheets/d/1rd4qoM1q_hsgaolqNGfrim9gbsoLxQsda4-vOz5x_BM/edit?usp=sharing"",""ภูเก็ต!N697"")+IMPORTRANGE(""https://docs.google.com/spreadsheets/d/1woKwKjgoL"&amp;"ssDvPcPeVyezB5izizAn4X1JDrys69n6xI/edit?usp=sharing"",""ยะลา!N697"")+IMPORTRANGE(""https://docs.google.com/spreadsheets/d/1qfrKjzMhm2HJfxQ-qVlJlJQ25Hne1d0khsySbZyGtPA/edit?usp=sharing"",""ระนอง!N697"")+IMPORTRANGE(""https://docs.google.com/spreadsheets/d/"&amp;"1IbSCnFOKpZsnFogBHJnL_isstZVaOMnFiIN0fGTPZZw/edit?usp=sharing"",""สงขลา!N697"")+IMPORTRANGE(""https://docs.google.com/spreadsheets/d/1q9nWasZJ-K8bFGvbE9n0qSRuKGA4Toe3Y89cKCiVtCU/edit?usp=sharing"",""สตูล!N697"")+IMPORTRANGE(""https://docs.google.com/sprea"&amp;"dsheets/d/18T20gbkS_WBjdscyTOV05cvq_JqvqQ17C81mpxf7Ncs/edit?usp=sharing"",""สุราษฎร์ธานี!N697"")"),0)</f>
        <v>0</v>
      </c>
      <c r="O697" s="49">
        <f t="shared" ca="1" si="474"/>
        <v>0</v>
      </c>
      <c r="P697" s="49">
        <f t="shared" ca="1" si="475"/>
        <v>0</v>
      </c>
      <c r="Q697" s="49">
        <f ca="1">IFERROR(__xludf.DUMMYFUNCTION("IMPORTRANGE(""https://docs.google.com/spreadsheets/d/1kKUcYdkIfrgTSj8iHHHB2MD2FAtwyyocFgqGQn6ADyI/edit?usp=sharing"",""กระบี่!Q697"")+IMPORTRANGE(""https://docs.google.com/spreadsheets/d/1GwtLaSlNZkLk7iDqcyZz22giiy40b_usZZBXYciEN1U/edit?usp=sharing"",""ชุ"&amp;"มพร!Q697"")+IMPORTRANGE(""https://docs.google.com/spreadsheets/d/16pAz3pOhQEZBhvFNMa5KGgZS6iKWpsKX0pg6tQmwFpo/edit?usp=sharing"",""ตรัง!Q697"")+IMPORTRANGE(""https://docs.google.com/spreadsheets/d/1Dj4jcHCTV9JXKCaMoheSXS52JE63kDKyG7bPXnFogHk/edit?usp=shar"&amp;"ing"",""นครศรีธรรมราช!Q697"")+IMPORTRANGE(""https://docs.google.com/spreadsheets/d/1iodCdmuK2GR3jzUwk8tpccY2JHQQA-87DLOtJP-ooyU/edit?usp=sharing"",""นราธิวาส!Q697"")+IMPORTRANGE(""https://docs.google.com/spreadsheets/d/1SDNX3JhDdYRuIOsj0Wh2M-Qa_eaXl0NbWmh"&amp;"AOTbfQAs/edit?usp=sharing"",""ปัตตานี!Q697"")+IMPORTRANGE(""https://docs.google.com/spreadsheets/d/16JDLGguT8s5DsGCND1KcwHP_AWR_zDMTqLHPLJUKhaU/edit?usp=sharing"",""พังงา!Q697"")+IMPORTRANGE(""https://docs.google.com/spreadsheets/d/17ht0gPKzzT3PObBL1XJkeR"&amp;"mntBXI7wGjpLV7QorqlTk/edit?usp=sharing"",""พัทลุง!Q697"")+IMPORTRANGE(""https://docs.google.com/spreadsheets/d/1rd4qoM1q_hsgaolqNGfrim9gbsoLxQsda4-vOz5x_BM/edit?usp=sharing"",""ภูเก็ต!Q697"")+IMPORTRANGE(""https://docs.google.com/spreadsheets/d/1woKwKjgoL"&amp;"ssDvPcPeVyezB5izizAn4X1JDrys69n6xI/edit?usp=sharing"",""ยะลา!Q697"")+IMPORTRANGE(""https://docs.google.com/spreadsheets/d/1qfrKjzMhm2HJfxQ-qVlJlJQ25Hne1d0khsySbZyGtPA/edit?usp=sharing"",""ระนอง!Q697"")+IMPORTRANGE(""https://docs.google.com/spreadsheets/d/"&amp;"1IbSCnFOKpZsnFogBHJnL_isstZVaOMnFiIN0fGTPZZw/edit?usp=sharing"",""สงขลา!Q697"")+IMPORTRANGE(""https://docs.google.com/spreadsheets/d/1q9nWasZJ-K8bFGvbE9n0qSRuKGA4Toe3Y89cKCiVtCU/edit?usp=sharing"",""สตูล!Q697"")+IMPORTRANGE(""https://docs.google.com/sprea"&amp;"dsheets/d/18T20gbkS_WBjdscyTOV05cvq_JqvqQ17C81mpxf7Ncs/edit?usp=sharing"",""สุราษฎร์ธานี!Q697"")"),0)</f>
        <v>0</v>
      </c>
      <c r="R697" s="49">
        <f ca="1">IFERROR(__xludf.DUMMYFUNCTION("IMPORTRANGE(""https://docs.google.com/spreadsheets/d/1kKUcYdkIfrgTSj8iHHHB2MD2FAtwyyocFgqGQn6ADyI/edit?usp=sharing"",""กระบี่!R697"")+IMPORTRANGE(""https://docs.google.com/spreadsheets/d/1GwtLaSlNZkLk7iDqcyZz22giiy40b_usZZBXYciEN1U/edit?usp=sharing"",""ชุ"&amp;"มพร!R697"")+IMPORTRANGE(""https://docs.google.com/spreadsheets/d/16pAz3pOhQEZBhvFNMa5KGgZS6iKWpsKX0pg6tQmwFpo/edit?usp=sharing"",""ตรัง!R697"")+IMPORTRANGE(""https://docs.google.com/spreadsheets/d/1Dj4jcHCTV9JXKCaMoheSXS52JE63kDKyG7bPXnFogHk/edit?usp=shar"&amp;"ing"",""นครศรีธรรมราช!R697"")+IMPORTRANGE(""https://docs.google.com/spreadsheets/d/1iodCdmuK2GR3jzUwk8tpccY2JHQQA-87DLOtJP-ooyU/edit?usp=sharing"",""นราธิวาส!R697"")+IMPORTRANGE(""https://docs.google.com/spreadsheets/d/1SDNX3JhDdYRuIOsj0Wh2M-Qa_eaXl0NbWmh"&amp;"AOTbfQAs/edit?usp=sharing"",""ปัตตานี!R697"")+IMPORTRANGE(""https://docs.google.com/spreadsheets/d/16JDLGguT8s5DsGCND1KcwHP_AWR_zDMTqLHPLJUKhaU/edit?usp=sharing"",""พังงา!R697"")+IMPORTRANGE(""https://docs.google.com/spreadsheets/d/17ht0gPKzzT3PObBL1XJkeR"&amp;"mntBXI7wGjpLV7QorqlTk/edit?usp=sharing"",""พัทลุง!R697"")+IMPORTRANGE(""https://docs.google.com/spreadsheets/d/1rd4qoM1q_hsgaolqNGfrim9gbsoLxQsda4-vOz5x_BM/edit?usp=sharing"",""ภูเก็ต!R697"")+IMPORTRANGE(""https://docs.google.com/spreadsheets/d/1woKwKjgoL"&amp;"ssDvPcPeVyezB5izizAn4X1JDrys69n6xI/edit?usp=sharing"",""ยะลา!R697"")+IMPORTRANGE(""https://docs.google.com/spreadsheets/d/1qfrKjzMhm2HJfxQ-qVlJlJQ25Hne1d0khsySbZyGtPA/edit?usp=sharing"",""ระนอง!R697"")+IMPORTRANGE(""https://docs.google.com/spreadsheets/d/"&amp;"1IbSCnFOKpZsnFogBHJnL_isstZVaOMnFiIN0fGTPZZw/edit?usp=sharing"",""สงขลา!R697"")+IMPORTRANGE(""https://docs.google.com/spreadsheets/d/1q9nWasZJ-K8bFGvbE9n0qSRuKGA4Toe3Y89cKCiVtCU/edit?usp=sharing"",""สตูล!R697"")+IMPORTRANGE(""https://docs.google.com/sprea"&amp;"dsheets/d/18T20gbkS_WBjdscyTOV05cvq_JqvqQ17C81mpxf7Ncs/edit?usp=sharing"",""สุราษฎร์ธานี!R697"")"),0)</f>
        <v>0</v>
      </c>
      <c r="S697" s="49">
        <f ca="1">IFERROR(__xludf.DUMMYFUNCTION("IMPORTRANGE(""https://docs.google.com/spreadsheets/d/1kKUcYdkIfrgTSj8iHHHB2MD2FAtwyyocFgqGQn6ADyI/edit?usp=sharing"",""กระบี่!S697"")+IMPORTRANGE(""https://docs.google.com/spreadsheets/d/1GwtLaSlNZkLk7iDqcyZz22giiy40b_usZZBXYciEN1U/edit?usp=sharing"",""ชุ"&amp;"มพร!S697"")+IMPORTRANGE(""https://docs.google.com/spreadsheets/d/16pAz3pOhQEZBhvFNMa5KGgZS6iKWpsKX0pg6tQmwFpo/edit?usp=sharing"",""ตรัง!S697"")+IMPORTRANGE(""https://docs.google.com/spreadsheets/d/1Dj4jcHCTV9JXKCaMoheSXS52JE63kDKyG7bPXnFogHk/edit?usp=shar"&amp;"ing"",""นครศรีธรรมราช!S697"")+IMPORTRANGE(""https://docs.google.com/spreadsheets/d/1iodCdmuK2GR3jzUwk8tpccY2JHQQA-87DLOtJP-ooyU/edit?usp=sharing"",""นราธิวาส!S697"")+IMPORTRANGE(""https://docs.google.com/spreadsheets/d/1SDNX3JhDdYRuIOsj0Wh2M-Qa_eaXl0NbWmh"&amp;"AOTbfQAs/edit?usp=sharing"",""ปัตตานี!S697"")+IMPORTRANGE(""https://docs.google.com/spreadsheets/d/16JDLGguT8s5DsGCND1KcwHP_AWR_zDMTqLHPLJUKhaU/edit?usp=sharing"",""พังงา!S697"")+IMPORTRANGE(""https://docs.google.com/spreadsheets/d/17ht0gPKzzT3PObBL1XJkeR"&amp;"mntBXI7wGjpLV7QorqlTk/edit?usp=sharing"",""พัทลุง!S697"")+IMPORTRANGE(""https://docs.google.com/spreadsheets/d/1rd4qoM1q_hsgaolqNGfrim9gbsoLxQsda4-vOz5x_BM/edit?usp=sharing"",""ภูเก็ต!S697"")+IMPORTRANGE(""https://docs.google.com/spreadsheets/d/1woKwKjgoL"&amp;"ssDvPcPeVyezB5izizAn4X1JDrys69n6xI/edit?usp=sharing"",""ยะลา!S697"")+IMPORTRANGE(""https://docs.google.com/spreadsheets/d/1qfrKjzMhm2HJfxQ-qVlJlJQ25Hne1d0khsySbZyGtPA/edit?usp=sharing"",""ระนอง!S697"")+IMPORTRANGE(""https://docs.google.com/spreadsheets/d/"&amp;"1IbSCnFOKpZsnFogBHJnL_isstZVaOMnFiIN0fGTPZZw/edit?usp=sharing"",""สงขลา!S697"")+IMPORTRANGE(""https://docs.google.com/spreadsheets/d/1q9nWasZJ-K8bFGvbE9n0qSRuKGA4Toe3Y89cKCiVtCU/edit?usp=sharing"",""สตูล!S697"")+IMPORTRANGE(""https://docs.google.com/sprea"&amp;"dsheets/d/18T20gbkS_WBjdscyTOV05cvq_JqvqQ17C81mpxf7Ncs/edit?usp=sharing"",""สุราษฎร์ธานี!S697"")"),0)</f>
        <v>0</v>
      </c>
      <c r="T697" s="49">
        <f t="shared" ca="1" si="477"/>
        <v>0</v>
      </c>
      <c r="U697" s="49">
        <f t="shared" ca="1" si="478"/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47">
        <f ca="1">IFERROR(__xludf.DUMMYFUNCTION("IMPORTRANGE(""https://docs.google.com/spreadsheets/d/1kKUcYdkIfrgTSj8iHHHB2MD2FAtwyyocFgqGQn6ADyI/edit?usp=sharing"",""กระบี่!L698"")+IMPORTRANGE(""https://docs.google.com/spreadsheets/d/1GwtLaSlNZkLk7iDqcyZz22giiy40b_usZZBXYciEN1U/edit?usp=sharing"",""ชุ"&amp;"มพร!L698"")+IMPORTRANGE(""https://docs.google.com/spreadsheets/d/16pAz3pOhQEZBhvFNMa5KGgZS6iKWpsKX0pg6tQmwFpo/edit?usp=sharing"",""ตรัง!L698"")+IMPORTRANGE(""https://docs.google.com/spreadsheets/d/1Dj4jcHCTV9JXKCaMoheSXS52JE63kDKyG7bPXnFogHk/edit?usp=shar"&amp;"ing"",""นครศรีธรรมราช!L698"")+IMPORTRANGE(""https://docs.google.com/spreadsheets/d/1iodCdmuK2GR3jzUwk8tpccY2JHQQA-87DLOtJP-ooyU/edit?usp=sharing"",""นราธิวาส!L698"")+IMPORTRANGE(""https://docs.google.com/spreadsheets/d/1SDNX3JhDdYRuIOsj0Wh2M-Qa_eaXl0NbWmh"&amp;"AOTbfQAs/edit?usp=sharing"",""ปัตตานี!L698"")+IMPORTRANGE(""https://docs.google.com/spreadsheets/d/16JDLGguT8s5DsGCND1KcwHP_AWR_zDMTqLHPLJUKhaU/edit?usp=sharing"",""พังงา!L698"")+IMPORTRANGE(""https://docs.google.com/spreadsheets/d/17ht0gPKzzT3PObBL1XJkeR"&amp;"mntBXI7wGjpLV7QorqlTk/edit?usp=sharing"",""พัทลุง!L698"")+IMPORTRANGE(""https://docs.google.com/spreadsheets/d/1rd4qoM1q_hsgaolqNGfrim9gbsoLxQsda4-vOz5x_BM/edit?usp=sharing"",""ภูเก็ต!L698"")+IMPORTRANGE(""https://docs.google.com/spreadsheets/d/1woKwKjgoL"&amp;"ssDvPcPeVyezB5izizAn4X1JDrys69n6xI/edit?usp=sharing"",""ยะลา!L698"")+IMPORTRANGE(""https://docs.google.com/spreadsheets/d/1qfrKjzMhm2HJfxQ-qVlJlJQ25Hne1d0khsySbZyGtPA/edit?usp=sharing"",""ระนอง!L698"")+IMPORTRANGE(""https://docs.google.com/spreadsheets/d/"&amp;"1IbSCnFOKpZsnFogBHJnL_isstZVaOMnFiIN0fGTPZZw/edit?usp=sharing"",""สงขลา!L698"")+IMPORTRANGE(""https://docs.google.com/spreadsheets/d/1q9nWasZJ-K8bFGvbE9n0qSRuKGA4Toe3Y89cKCiVtCU/edit?usp=sharing"",""สตูล!L698"")+IMPORTRANGE(""https://docs.google.com/sprea"&amp;"dsheets/d/18T20gbkS_WBjdscyTOV05cvq_JqvqQ17C81mpxf7Ncs/edit?usp=sharing"",""สุราษฎร์ธานี!L698"")"),0)</f>
        <v>0</v>
      </c>
      <c r="M698" s="47">
        <f ca="1">IFERROR(__xludf.DUMMYFUNCTION("IMPORTRANGE(""https://docs.google.com/spreadsheets/d/1kKUcYdkIfrgTSj8iHHHB2MD2FAtwyyocFgqGQn6ADyI/edit?usp=sharing"",""กระบี่!M698"")+IMPORTRANGE(""https://docs.google.com/spreadsheets/d/1GwtLaSlNZkLk7iDqcyZz22giiy40b_usZZBXYciEN1U/edit?usp=sharing"",""ชุ"&amp;"มพร!M698"")+IMPORTRANGE(""https://docs.google.com/spreadsheets/d/16pAz3pOhQEZBhvFNMa5KGgZS6iKWpsKX0pg6tQmwFpo/edit?usp=sharing"",""ตรัง!M698"")+IMPORTRANGE(""https://docs.google.com/spreadsheets/d/1Dj4jcHCTV9JXKCaMoheSXS52JE63kDKyG7bPXnFogHk/edit?usp=shar"&amp;"ing"",""นครศรีธรรมราช!M698"")+IMPORTRANGE(""https://docs.google.com/spreadsheets/d/1iodCdmuK2GR3jzUwk8tpccY2JHQQA-87DLOtJP-ooyU/edit?usp=sharing"",""นราธิวาส!M698"")+IMPORTRANGE(""https://docs.google.com/spreadsheets/d/1SDNX3JhDdYRuIOsj0Wh2M-Qa_eaXl0NbWmh"&amp;"AOTbfQAs/edit?usp=sharing"",""ปัตตานี!M698"")+IMPORTRANGE(""https://docs.google.com/spreadsheets/d/16JDLGguT8s5DsGCND1KcwHP_AWR_zDMTqLHPLJUKhaU/edit?usp=sharing"",""พังงา!M698"")+IMPORTRANGE(""https://docs.google.com/spreadsheets/d/17ht0gPKzzT3PObBL1XJkeR"&amp;"mntBXI7wGjpLV7QorqlTk/edit?usp=sharing"",""พัทลุง!M698"")+IMPORTRANGE(""https://docs.google.com/spreadsheets/d/1rd4qoM1q_hsgaolqNGfrim9gbsoLxQsda4-vOz5x_BM/edit?usp=sharing"",""ภูเก็ต!M698"")+IMPORTRANGE(""https://docs.google.com/spreadsheets/d/1woKwKjgoL"&amp;"ssDvPcPeVyezB5izizAn4X1JDrys69n6xI/edit?usp=sharing"",""ยะลา!M698"")+IMPORTRANGE(""https://docs.google.com/spreadsheets/d/1qfrKjzMhm2HJfxQ-qVlJlJQ25Hne1d0khsySbZyGtPA/edit?usp=sharing"",""ระนอง!M698"")+IMPORTRANGE(""https://docs.google.com/spreadsheets/d/"&amp;"1IbSCnFOKpZsnFogBHJnL_isstZVaOMnFiIN0fGTPZZw/edit?usp=sharing"",""สงขลา!M698"")+IMPORTRANGE(""https://docs.google.com/spreadsheets/d/1q9nWasZJ-K8bFGvbE9n0qSRuKGA4Toe3Y89cKCiVtCU/edit?usp=sharing"",""สตูล!M698"")+IMPORTRANGE(""https://docs.google.com/sprea"&amp;"dsheets/d/18T20gbkS_WBjdscyTOV05cvq_JqvqQ17C81mpxf7Ncs/edit?usp=sharing"",""สุราษฎร์ธานี!M698"")"),0)</f>
        <v>0</v>
      </c>
      <c r="N698" s="47">
        <f ca="1">IFERROR(__xludf.DUMMYFUNCTION("IMPORTRANGE(""https://docs.google.com/spreadsheets/d/1kKUcYdkIfrgTSj8iHHHB2MD2FAtwyyocFgqGQn6ADyI/edit?usp=sharing"",""กระบี่!N698"")+IMPORTRANGE(""https://docs.google.com/spreadsheets/d/1GwtLaSlNZkLk7iDqcyZz22giiy40b_usZZBXYciEN1U/edit?usp=sharing"",""ชุ"&amp;"มพร!N698"")+IMPORTRANGE(""https://docs.google.com/spreadsheets/d/16pAz3pOhQEZBhvFNMa5KGgZS6iKWpsKX0pg6tQmwFpo/edit?usp=sharing"",""ตรัง!N698"")+IMPORTRANGE(""https://docs.google.com/spreadsheets/d/1Dj4jcHCTV9JXKCaMoheSXS52JE63kDKyG7bPXnFogHk/edit?usp=shar"&amp;"ing"",""นครศรีธรรมราช!N698"")+IMPORTRANGE(""https://docs.google.com/spreadsheets/d/1iodCdmuK2GR3jzUwk8tpccY2JHQQA-87DLOtJP-ooyU/edit?usp=sharing"",""นราธิวาส!N698"")+IMPORTRANGE(""https://docs.google.com/spreadsheets/d/1SDNX3JhDdYRuIOsj0Wh2M-Qa_eaXl0NbWmh"&amp;"AOTbfQAs/edit?usp=sharing"",""ปัตตานี!N698"")+IMPORTRANGE(""https://docs.google.com/spreadsheets/d/16JDLGguT8s5DsGCND1KcwHP_AWR_zDMTqLHPLJUKhaU/edit?usp=sharing"",""พังงา!N698"")+IMPORTRANGE(""https://docs.google.com/spreadsheets/d/17ht0gPKzzT3PObBL1XJkeR"&amp;"mntBXI7wGjpLV7QorqlTk/edit?usp=sharing"",""พัทลุง!N698"")+IMPORTRANGE(""https://docs.google.com/spreadsheets/d/1rd4qoM1q_hsgaolqNGfrim9gbsoLxQsda4-vOz5x_BM/edit?usp=sharing"",""ภูเก็ต!N698"")+IMPORTRANGE(""https://docs.google.com/spreadsheets/d/1woKwKjgoL"&amp;"ssDvPcPeVyezB5izizAn4X1JDrys69n6xI/edit?usp=sharing"",""ยะลา!N698"")+IMPORTRANGE(""https://docs.google.com/spreadsheets/d/1qfrKjzMhm2HJfxQ-qVlJlJQ25Hne1d0khsySbZyGtPA/edit?usp=sharing"",""ระนอง!N698"")+IMPORTRANGE(""https://docs.google.com/spreadsheets/d/"&amp;"1IbSCnFOKpZsnFogBHJnL_isstZVaOMnFiIN0fGTPZZw/edit?usp=sharing"",""สงขลา!N698"")+IMPORTRANGE(""https://docs.google.com/spreadsheets/d/1q9nWasZJ-K8bFGvbE9n0qSRuKGA4Toe3Y89cKCiVtCU/edit?usp=sharing"",""สตูล!N698"")+IMPORTRANGE(""https://docs.google.com/sprea"&amp;"dsheets/d/18T20gbkS_WBjdscyTOV05cvq_JqvqQ17C81mpxf7Ncs/edit?usp=sharing"",""สุราษฎร์ธานี!N698"")"),0)</f>
        <v>0</v>
      </c>
      <c r="O698" s="47">
        <f t="shared" ca="1" si="474"/>
        <v>0</v>
      </c>
      <c r="P698" s="47">
        <f t="shared" ca="1" si="475"/>
        <v>0</v>
      </c>
      <c r="Q698" s="47">
        <f ca="1">IFERROR(__xludf.DUMMYFUNCTION("IMPORTRANGE(""https://docs.google.com/spreadsheets/d/1kKUcYdkIfrgTSj8iHHHB2MD2FAtwyyocFgqGQn6ADyI/edit?usp=sharing"",""กระบี่!Q698"")+IMPORTRANGE(""https://docs.google.com/spreadsheets/d/1GwtLaSlNZkLk7iDqcyZz22giiy40b_usZZBXYciEN1U/edit?usp=sharing"",""ชุ"&amp;"มพร!Q698"")+IMPORTRANGE(""https://docs.google.com/spreadsheets/d/16pAz3pOhQEZBhvFNMa5KGgZS6iKWpsKX0pg6tQmwFpo/edit?usp=sharing"",""ตรัง!Q698"")+IMPORTRANGE(""https://docs.google.com/spreadsheets/d/1Dj4jcHCTV9JXKCaMoheSXS52JE63kDKyG7bPXnFogHk/edit?usp=shar"&amp;"ing"",""นครศรีธรรมราช!Q698"")+IMPORTRANGE(""https://docs.google.com/spreadsheets/d/1iodCdmuK2GR3jzUwk8tpccY2JHQQA-87DLOtJP-ooyU/edit?usp=sharing"",""นราธิวาส!Q698"")+IMPORTRANGE(""https://docs.google.com/spreadsheets/d/1SDNX3JhDdYRuIOsj0Wh2M-Qa_eaXl0NbWmh"&amp;"AOTbfQAs/edit?usp=sharing"",""ปัตตานี!Q698"")+IMPORTRANGE(""https://docs.google.com/spreadsheets/d/16JDLGguT8s5DsGCND1KcwHP_AWR_zDMTqLHPLJUKhaU/edit?usp=sharing"",""พังงา!Q698"")+IMPORTRANGE(""https://docs.google.com/spreadsheets/d/17ht0gPKzzT3PObBL1XJkeR"&amp;"mntBXI7wGjpLV7QorqlTk/edit?usp=sharing"",""พัทลุง!Q698"")+IMPORTRANGE(""https://docs.google.com/spreadsheets/d/1rd4qoM1q_hsgaolqNGfrim9gbsoLxQsda4-vOz5x_BM/edit?usp=sharing"",""ภูเก็ต!Q698"")+IMPORTRANGE(""https://docs.google.com/spreadsheets/d/1woKwKjgoL"&amp;"ssDvPcPeVyezB5izizAn4X1JDrys69n6xI/edit?usp=sharing"",""ยะลา!Q698"")+IMPORTRANGE(""https://docs.google.com/spreadsheets/d/1qfrKjzMhm2HJfxQ-qVlJlJQ25Hne1d0khsySbZyGtPA/edit?usp=sharing"",""ระนอง!Q698"")+IMPORTRANGE(""https://docs.google.com/spreadsheets/d/"&amp;"1IbSCnFOKpZsnFogBHJnL_isstZVaOMnFiIN0fGTPZZw/edit?usp=sharing"",""สงขลา!Q698"")+IMPORTRANGE(""https://docs.google.com/spreadsheets/d/1q9nWasZJ-K8bFGvbE9n0qSRuKGA4Toe3Y89cKCiVtCU/edit?usp=sharing"",""สตูล!Q698"")+IMPORTRANGE(""https://docs.google.com/sprea"&amp;"dsheets/d/18T20gbkS_WBjdscyTOV05cvq_JqvqQ17C81mpxf7Ncs/edit?usp=sharing"",""สุราษฎร์ธานี!Q698"")"),0)</f>
        <v>0</v>
      </c>
      <c r="R698" s="47">
        <f ca="1">IFERROR(__xludf.DUMMYFUNCTION("IMPORTRANGE(""https://docs.google.com/spreadsheets/d/1kKUcYdkIfrgTSj8iHHHB2MD2FAtwyyocFgqGQn6ADyI/edit?usp=sharing"",""กระบี่!R698"")+IMPORTRANGE(""https://docs.google.com/spreadsheets/d/1GwtLaSlNZkLk7iDqcyZz22giiy40b_usZZBXYciEN1U/edit?usp=sharing"",""ชุ"&amp;"มพร!R698"")+IMPORTRANGE(""https://docs.google.com/spreadsheets/d/16pAz3pOhQEZBhvFNMa5KGgZS6iKWpsKX0pg6tQmwFpo/edit?usp=sharing"",""ตรัง!R698"")+IMPORTRANGE(""https://docs.google.com/spreadsheets/d/1Dj4jcHCTV9JXKCaMoheSXS52JE63kDKyG7bPXnFogHk/edit?usp=shar"&amp;"ing"",""นครศรีธรรมราช!R698"")+IMPORTRANGE(""https://docs.google.com/spreadsheets/d/1iodCdmuK2GR3jzUwk8tpccY2JHQQA-87DLOtJP-ooyU/edit?usp=sharing"",""นราธิวาส!R698"")+IMPORTRANGE(""https://docs.google.com/spreadsheets/d/1SDNX3JhDdYRuIOsj0Wh2M-Qa_eaXl0NbWmh"&amp;"AOTbfQAs/edit?usp=sharing"",""ปัตตานี!R698"")+IMPORTRANGE(""https://docs.google.com/spreadsheets/d/16JDLGguT8s5DsGCND1KcwHP_AWR_zDMTqLHPLJUKhaU/edit?usp=sharing"",""พังงา!R698"")+IMPORTRANGE(""https://docs.google.com/spreadsheets/d/17ht0gPKzzT3PObBL1XJkeR"&amp;"mntBXI7wGjpLV7QorqlTk/edit?usp=sharing"",""พัทลุง!R698"")+IMPORTRANGE(""https://docs.google.com/spreadsheets/d/1rd4qoM1q_hsgaolqNGfrim9gbsoLxQsda4-vOz5x_BM/edit?usp=sharing"",""ภูเก็ต!R698"")+IMPORTRANGE(""https://docs.google.com/spreadsheets/d/1woKwKjgoL"&amp;"ssDvPcPeVyezB5izizAn4X1JDrys69n6xI/edit?usp=sharing"",""ยะลา!R698"")+IMPORTRANGE(""https://docs.google.com/spreadsheets/d/1qfrKjzMhm2HJfxQ-qVlJlJQ25Hne1d0khsySbZyGtPA/edit?usp=sharing"",""ระนอง!R698"")+IMPORTRANGE(""https://docs.google.com/spreadsheets/d/"&amp;"1IbSCnFOKpZsnFogBHJnL_isstZVaOMnFiIN0fGTPZZw/edit?usp=sharing"",""สงขลา!R698"")+IMPORTRANGE(""https://docs.google.com/spreadsheets/d/1q9nWasZJ-K8bFGvbE9n0qSRuKGA4Toe3Y89cKCiVtCU/edit?usp=sharing"",""สตูล!R698"")+IMPORTRANGE(""https://docs.google.com/sprea"&amp;"dsheets/d/18T20gbkS_WBjdscyTOV05cvq_JqvqQ17C81mpxf7Ncs/edit?usp=sharing"",""สุราษฎร์ธานี!R698"")"),0)</f>
        <v>0</v>
      </c>
      <c r="S698" s="47">
        <f ca="1">IFERROR(__xludf.DUMMYFUNCTION("IMPORTRANGE(""https://docs.google.com/spreadsheets/d/1kKUcYdkIfrgTSj8iHHHB2MD2FAtwyyocFgqGQn6ADyI/edit?usp=sharing"",""กระบี่!S698"")+IMPORTRANGE(""https://docs.google.com/spreadsheets/d/1GwtLaSlNZkLk7iDqcyZz22giiy40b_usZZBXYciEN1U/edit?usp=sharing"",""ชุ"&amp;"มพร!S698"")+IMPORTRANGE(""https://docs.google.com/spreadsheets/d/16pAz3pOhQEZBhvFNMa5KGgZS6iKWpsKX0pg6tQmwFpo/edit?usp=sharing"",""ตรัง!S698"")+IMPORTRANGE(""https://docs.google.com/spreadsheets/d/1Dj4jcHCTV9JXKCaMoheSXS52JE63kDKyG7bPXnFogHk/edit?usp=shar"&amp;"ing"",""นครศรีธรรมราช!S698"")+IMPORTRANGE(""https://docs.google.com/spreadsheets/d/1iodCdmuK2GR3jzUwk8tpccY2JHQQA-87DLOtJP-ooyU/edit?usp=sharing"",""นราธิวาส!S698"")+IMPORTRANGE(""https://docs.google.com/spreadsheets/d/1SDNX3JhDdYRuIOsj0Wh2M-Qa_eaXl0NbWmh"&amp;"AOTbfQAs/edit?usp=sharing"",""ปัตตานี!S698"")+IMPORTRANGE(""https://docs.google.com/spreadsheets/d/16JDLGguT8s5DsGCND1KcwHP_AWR_zDMTqLHPLJUKhaU/edit?usp=sharing"",""พังงา!S698"")+IMPORTRANGE(""https://docs.google.com/spreadsheets/d/17ht0gPKzzT3PObBL1XJkeR"&amp;"mntBXI7wGjpLV7QorqlTk/edit?usp=sharing"",""พัทลุง!S698"")+IMPORTRANGE(""https://docs.google.com/spreadsheets/d/1rd4qoM1q_hsgaolqNGfrim9gbsoLxQsda4-vOz5x_BM/edit?usp=sharing"",""ภูเก็ต!S698"")+IMPORTRANGE(""https://docs.google.com/spreadsheets/d/1woKwKjgoL"&amp;"ssDvPcPeVyezB5izizAn4X1JDrys69n6xI/edit?usp=sharing"",""ยะลา!S698"")+IMPORTRANGE(""https://docs.google.com/spreadsheets/d/1qfrKjzMhm2HJfxQ-qVlJlJQ25Hne1d0khsySbZyGtPA/edit?usp=sharing"",""ระนอง!S698"")+IMPORTRANGE(""https://docs.google.com/spreadsheets/d/"&amp;"1IbSCnFOKpZsnFogBHJnL_isstZVaOMnFiIN0fGTPZZw/edit?usp=sharing"",""สงขลา!S698"")+IMPORTRANGE(""https://docs.google.com/spreadsheets/d/1q9nWasZJ-K8bFGvbE9n0qSRuKGA4Toe3Y89cKCiVtCU/edit?usp=sharing"",""สตูล!S698"")+IMPORTRANGE(""https://docs.google.com/sprea"&amp;"dsheets/d/18T20gbkS_WBjdscyTOV05cvq_JqvqQ17C81mpxf7Ncs/edit?usp=sharing"",""สุราษฎร์ธานี!S698"")"),0)</f>
        <v>0</v>
      </c>
      <c r="T698" s="47">
        <f t="shared" ca="1" si="477"/>
        <v>0</v>
      </c>
      <c r="U698" s="47">
        <f t="shared" ca="1" si="478"/>
        <v>0</v>
      </c>
    </row>
    <row r="699" spans="1:21" ht="19.5" x14ac:dyDescent="0.3">
      <c r="A699" s="138"/>
      <c r="B699" s="139"/>
      <c r="C699" s="188" t="s">
        <v>18</v>
      </c>
      <c r="D699" s="140" t="s">
        <v>38</v>
      </c>
      <c r="E699" s="141"/>
      <c r="F699" s="141"/>
      <c r="G699" s="141"/>
      <c r="H699" s="189"/>
      <c r="I699" s="135"/>
      <c r="J699" s="135"/>
      <c r="K699" s="136"/>
      <c r="L699" s="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kKUcYdkIfrgTSj8iHHHB2MD2FAtwyyocFgqGQn6ADyI/edit?usp=sharing"",""กระบี่!I700"")+IMPORTRANGE(""https://docs.google.com/spreadsheets/d/1GwtLaSlNZkLk7iDqcyZz22giiy40b_usZZBXYciEN1U/edit?usp=sharing"",""ชุ"&amp;"มพร!I700"")+IMPORTRANGE(""https://docs.google.com/spreadsheets/d/16pAz3pOhQEZBhvFNMa5KGgZS6iKWpsKX0pg6tQmwFpo/edit?usp=sharing"",""ตรัง!I700"")+IMPORTRANGE(""https://docs.google.com/spreadsheets/d/1Dj4jcHCTV9JXKCaMoheSXS52JE63kDKyG7bPXnFogHk/edit?usp=shar"&amp;"ing"",""นครศรีธรรมราช!I700"")+IMPORTRANGE(""https://docs.google.com/spreadsheets/d/1iodCdmuK2GR3jzUwk8tpccY2JHQQA-87DLOtJP-ooyU/edit?usp=sharing"",""นราธิวาส!I700"")+IMPORTRANGE(""https://docs.google.com/spreadsheets/d/1SDNX3JhDdYRuIOsj0Wh2M-Qa_eaXl0NbWmh"&amp;"AOTbfQAs/edit?usp=sharing"",""ปัตตานี!I700"")+IMPORTRANGE(""https://docs.google.com/spreadsheets/d/16JDLGguT8s5DsGCND1KcwHP_AWR_zDMTqLHPLJUKhaU/edit?usp=sharing"",""พังงา!I700"")+IMPORTRANGE(""https://docs.google.com/spreadsheets/d/17ht0gPKzzT3PObBL1XJkeR"&amp;"mntBXI7wGjpLV7QorqlTk/edit?usp=sharing"",""พัทลุง!I700"")+IMPORTRANGE(""https://docs.google.com/spreadsheets/d/1rd4qoM1q_hsgaolqNGfrim9gbsoLxQsda4-vOz5x_BM/edit?usp=sharing"",""ภูเก็ต!I700"")+IMPORTRANGE(""https://docs.google.com/spreadsheets/d/1woKwKjgoL"&amp;"ssDvPcPeVyezB5izizAn4X1JDrys69n6xI/edit?usp=sharing"",""ยะลา!I700"")+IMPORTRANGE(""https://docs.google.com/spreadsheets/d/1qfrKjzMhm2HJfxQ-qVlJlJQ25Hne1d0khsySbZyGtPA/edit?usp=sharing"",""ระนอง!I700"")+IMPORTRANGE(""https://docs.google.com/spreadsheets/d/"&amp;"1IbSCnFOKpZsnFogBHJnL_isstZVaOMnFiIN0fGTPZZw/edit?usp=sharing"",""สงขลา!I700"")+IMPORTRANGE(""https://docs.google.com/spreadsheets/d/1q9nWasZJ-K8bFGvbE9n0qSRuKGA4Toe3Y89cKCiVtCU/edit?usp=sharing"",""สตูล!I700"")+IMPORTRANGE(""https://docs.google.com/sprea"&amp;"dsheets/d/18T20gbkS_WBjdscyTOV05cvq_JqvqQ17C81mpxf7Ncs/edit?usp=sharing"",""สุราษฎร์ธานี!I700"")"),0)</f>
        <v>0</v>
      </c>
      <c r="J700" s="152">
        <f ca="1">IFERROR(__xludf.DUMMYFUNCTION("IMPORTRANGE(""https://docs.google.com/spreadsheets/d/1kKUcYdkIfrgTSj8iHHHB2MD2FAtwyyocFgqGQn6ADyI/edit?usp=sharing"",""กระบี่!J700"")+IMPORTRANGE(""https://docs.google.com/spreadsheets/d/1GwtLaSlNZkLk7iDqcyZz22giiy40b_usZZBXYciEN1U/edit?usp=sharing"",""ชุ"&amp;"มพร!J700"")+IMPORTRANGE(""https://docs.google.com/spreadsheets/d/16pAz3pOhQEZBhvFNMa5KGgZS6iKWpsKX0pg6tQmwFpo/edit?usp=sharing"",""ตรัง!J700"")+IMPORTRANGE(""https://docs.google.com/spreadsheets/d/1Dj4jcHCTV9JXKCaMoheSXS52JE63kDKyG7bPXnFogHk/edit?usp=shar"&amp;"ing"",""นครศรีธรรมราช!J700"")+IMPORTRANGE(""https://docs.google.com/spreadsheets/d/1iodCdmuK2GR3jzUwk8tpccY2JHQQA-87DLOtJP-ooyU/edit?usp=sharing"",""นราธิวาส!J700"")+IMPORTRANGE(""https://docs.google.com/spreadsheets/d/1SDNX3JhDdYRuIOsj0Wh2M-Qa_eaXl0NbWmh"&amp;"AOTbfQAs/edit?usp=sharing"",""ปัตตานี!J700"")+IMPORTRANGE(""https://docs.google.com/spreadsheets/d/16JDLGguT8s5DsGCND1KcwHP_AWR_zDMTqLHPLJUKhaU/edit?usp=sharing"",""พังงา!J700"")+IMPORTRANGE(""https://docs.google.com/spreadsheets/d/17ht0gPKzzT3PObBL1XJkeR"&amp;"mntBXI7wGjpLV7QorqlTk/edit?usp=sharing"",""พัทลุง!J700"")+IMPORTRANGE(""https://docs.google.com/spreadsheets/d/1rd4qoM1q_hsgaolqNGfrim9gbsoLxQsda4-vOz5x_BM/edit?usp=sharing"",""ภูเก็ต!J700"")+IMPORTRANGE(""https://docs.google.com/spreadsheets/d/1woKwKjgoL"&amp;"ssDvPcPeVyezB5izizAn4X1JDrys69n6xI/edit?usp=sharing"",""ยะลา!J700"")+IMPORTRANGE(""https://docs.google.com/spreadsheets/d/1qfrKjzMhm2HJfxQ-qVlJlJQ25Hne1d0khsySbZyGtPA/edit?usp=sharing"",""ระนอง!J700"")+IMPORTRANGE(""https://docs.google.com/spreadsheets/d/"&amp;"1IbSCnFOKpZsnFogBHJnL_isstZVaOMnFiIN0fGTPZZw/edit?usp=sharing"",""สงขลา!J700"")+IMPORTRANGE(""https://docs.google.com/spreadsheets/d/1q9nWasZJ-K8bFGvbE9n0qSRuKGA4Toe3Y89cKCiVtCU/edit?usp=sharing"",""สตูล!J700"")+IMPORTRANGE(""https://docs.google.com/sprea"&amp;"dsheets/d/18T20gbkS_WBjdscyTOV05cvq_JqvqQ17C81mpxf7Ncs/edit?usp=sharing"",""สุราษฎร์ธานี!J700"")"),0)</f>
        <v>0</v>
      </c>
      <c r="K700" s="153">
        <f t="shared" ref="K700:K710" ca="1" si="487">IF(I700&gt;0,J700*100/I700,0)</f>
        <v>0</v>
      </c>
      <c r="L700" s="136"/>
      <c r="M700" s="136"/>
      <c r="N700" s="136"/>
      <c r="O700" s="136"/>
      <c r="P700" s="136"/>
      <c r="Q700" s="136"/>
      <c r="R700" s="136"/>
      <c r="S700" s="13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t="shared" ref="I701:J701" ca="1" si="488">I703+I705</f>
        <v>113</v>
      </c>
      <c r="J701" s="147">
        <f t="shared" ca="1" si="488"/>
        <v>2</v>
      </c>
      <c r="K701" s="132">
        <f t="shared" ca="1" si="487"/>
        <v>1.7699115044247788</v>
      </c>
      <c r="L701" s="136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0.21</v>
      </c>
      <c r="K702" s="132">
        <f t="shared" si="487"/>
        <v>0</v>
      </c>
      <c r="L702" s="136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kKUcYdkIfrgTSj8iHHHB2MD2FAtwyyocFgqGQn6ADyI/edit?usp=sharing"",""กระบี่!I703"")+IMPORTRANGE(""https://docs.google.com/spreadsheets/d/1GwtLaSlNZkLk7iDqcyZz22giiy40b_usZZBXYciEN1U/edit?usp=sharing"",""ชุ"&amp;"มพร!I703"")+IMPORTRANGE(""https://docs.google.com/spreadsheets/d/16pAz3pOhQEZBhvFNMa5KGgZS6iKWpsKX0pg6tQmwFpo/edit?usp=sharing"",""ตรัง!I703"")+IMPORTRANGE(""https://docs.google.com/spreadsheets/d/1Dj4jcHCTV9JXKCaMoheSXS52JE63kDKyG7bPXnFogHk/edit?usp=shar"&amp;"ing"",""นครศรีธรรมราช!I703"")+IMPORTRANGE(""https://docs.google.com/spreadsheets/d/1iodCdmuK2GR3jzUwk8tpccY2JHQQA-87DLOtJP-ooyU/edit?usp=sharing"",""นราธิวาส!I703"")+IMPORTRANGE(""https://docs.google.com/spreadsheets/d/1SDNX3JhDdYRuIOsj0Wh2M-Qa_eaXl0NbWmh"&amp;"AOTbfQAs/edit?usp=sharing"",""ปัตตานี!I703"")+IMPORTRANGE(""https://docs.google.com/spreadsheets/d/16JDLGguT8s5DsGCND1KcwHP_AWR_zDMTqLHPLJUKhaU/edit?usp=sharing"",""พังงา!I703"")+IMPORTRANGE(""https://docs.google.com/spreadsheets/d/17ht0gPKzzT3PObBL1XJkeR"&amp;"mntBXI7wGjpLV7QorqlTk/edit?usp=sharing"",""พัทลุง!I703"")+IMPORTRANGE(""https://docs.google.com/spreadsheets/d/1rd4qoM1q_hsgaolqNGfrim9gbsoLxQsda4-vOz5x_BM/edit?usp=sharing"",""ภูเก็ต!I703"")+IMPORTRANGE(""https://docs.google.com/spreadsheets/d/1woKwKjgoL"&amp;"ssDvPcPeVyezB5izizAn4X1JDrys69n6xI/edit?usp=sharing"",""ยะลา!I703"")+IMPORTRANGE(""https://docs.google.com/spreadsheets/d/1qfrKjzMhm2HJfxQ-qVlJlJQ25Hne1d0khsySbZyGtPA/edit?usp=sharing"",""ระนอง!I703"")+IMPORTRANGE(""https://docs.google.com/spreadsheets/d/"&amp;"1IbSCnFOKpZsnFogBHJnL_isstZVaOMnFiIN0fGTPZZw/edit?usp=sharing"",""สงขลา!I703"")+IMPORTRANGE(""https://docs.google.com/spreadsheets/d/1q9nWasZJ-K8bFGvbE9n0qSRuKGA4Toe3Y89cKCiVtCU/edit?usp=sharing"",""สตูล!I703"")+IMPORTRANGE(""https://docs.google.com/sprea"&amp;"dsheets/d/18T20gbkS_WBjdscyTOV05cvq_JqvqQ17C81mpxf7Ncs/edit?usp=sharing"",""สุราษฎร์ธานี!I703"")"),76)</f>
        <v>76</v>
      </c>
      <c r="J703" s="152">
        <f ca="1">IFERROR(__xludf.DUMMYFUNCTION("IMPORTRANGE(""https://docs.google.com/spreadsheets/d/1kKUcYdkIfrgTSj8iHHHB2MD2FAtwyyocFgqGQn6ADyI/edit?usp=sharing"",""กระบี่!J703"")+IMPORTRANGE(""https://docs.google.com/spreadsheets/d/1GwtLaSlNZkLk7iDqcyZz22giiy40b_usZZBXYciEN1U/edit?usp=sharing"",""ชุ"&amp;"มพร!J703"")+IMPORTRANGE(""https://docs.google.com/spreadsheets/d/16pAz3pOhQEZBhvFNMa5KGgZS6iKWpsKX0pg6tQmwFpo/edit?usp=sharing"",""ตรัง!J703"")+IMPORTRANGE(""https://docs.google.com/spreadsheets/d/1Dj4jcHCTV9JXKCaMoheSXS52JE63kDKyG7bPXnFogHk/edit?usp=shar"&amp;"ing"",""นครศรีธรรมราช!J703"")+IMPORTRANGE(""https://docs.google.com/spreadsheets/d/1iodCdmuK2GR3jzUwk8tpccY2JHQQA-87DLOtJP-ooyU/edit?usp=sharing"",""นราธิวาส!J703"")+IMPORTRANGE(""https://docs.google.com/spreadsheets/d/1SDNX3JhDdYRuIOsj0Wh2M-Qa_eaXl0NbWmh"&amp;"AOTbfQAs/edit?usp=sharing"",""ปัตตานี!J703"")+IMPORTRANGE(""https://docs.google.com/spreadsheets/d/16JDLGguT8s5DsGCND1KcwHP_AWR_zDMTqLHPLJUKhaU/edit?usp=sharing"",""พังงา!J703"")+IMPORTRANGE(""https://docs.google.com/spreadsheets/d/17ht0gPKzzT3PObBL1XJkeR"&amp;"mntBXI7wGjpLV7QorqlTk/edit?usp=sharing"",""พัทลุง!J703"")+IMPORTRANGE(""https://docs.google.com/spreadsheets/d/1rd4qoM1q_hsgaolqNGfrim9gbsoLxQsda4-vOz5x_BM/edit?usp=sharing"",""ภูเก็ต!J703"")+IMPORTRANGE(""https://docs.google.com/spreadsheets/d/1woKwKjgoL"&amp;"ssDvPcPeVyezB5izizAn4X1JDrys69n6xI/edit?usp=sharing"",""ยะลา!J703"")+IMPORTRANGE(""https://docs.google.com/spreadsheets/d/1qfrKjzMhm2HJfxQ-qVlJlJQ25Hne1d0khsySbZyGtPA/edit?usp=sharing"",""ระนอง!J703"")+IMPORTRANGE(""https://docs.google.com/spreadsheets/d/"&amp;"1IbSCnFOKpZsnFogBHJnL_isstZVaOMnFiIN0fGTPZZw/edit?usp=sharing"",""สงขลา!J703"")+IMPORTRANGE(""https://docs.google.com/spreadsheets/d/1q9nWasZJ-K8bFGvbE9n0qSRuKGA4Toe3Y89cKCiVtCU/edit?usp=sharing"",""สตูล!J703"")+IMPORTRANGE(""https://docs.google.com/sprea"&amp;"dsheets/d/18T20gbkS_WBjdscyTOV05cvq_JqvqQ17C81mpxf7Ncs/edit?usp=sharing"",""สุราษฎร์ธานี!J703"")"),2)</f>
        <v>2</v>
      </c>
      <c r="K703" s="47">
        <f t="shared" ca="1" si="487"/>
        <v>2.6315789473684212</v>
      </c>
      <c r="L703" s="136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kKUcYdkIfrgTSj8iHHHB2MD2FAtwyyocFgqGQn6ADyI/edit?usp=sharing"",""กระบี่!J704"")+IMPORTRANGE(""https://docs.google.com/spreadsheets/d/1GwtLaSlNZkLk7iDqcyZz22giiy40b_usZZBXYciEN1U/edit?usp=sharing"",""ชุ"&amp;"มพร!J704"")+IMPORTRANGE(""https://docs.google.com/spreadsheets/d/16pAz3pOhQEZBhvFNMa5KGgZS6iKWpsKX0pg6tQmwFpo/edit?usp=sharing"",""ตรัง!J704"")+IMPORTRANGE(""https://docs.google.com/spreadsheets/d/1Dj4jcHCTV9JXKCaMoheSXS52JE63kDKyG7bPXnFogHk/edit?usp=shar"&amp;"ing"",""นครศรีธรรมราช!J704"")+IMPORTRANGE(""https://docs.google.com/spreadsheets/d/1iodCdmuK2GR3jzUwk8tpccY2JHQQA-87DLOtJP-ooyU/edit?usp=sharing"",""นราธิวาส!J704"")+IMPORTRANGE(""https://docs.google.com/spreadsheets/d/1SDNX3JhDdYRuIOsj0Wh2M-Qa_eaXl0NbWmh"&amp;"AOTbfQAs/edit?usp=sharing"",""ปัตตานี!J704"")+IMPORTRANGE(""https://docs.google.com/spreadsheets/d/16JDLGguT8s5DsGCND1KcwHP_AWR_zDMTqLHPLJUKhaU/edit?usp=sharing"",""พังงา!J704"")+IMPORTRANGE(""https://docs.google.com/spreadsheets/d/17ht0gPKzzT3PObBL1XJkeR"&amp;"mntBXI7wGjpLV7QorqlTk/edit?usp=sharing"",""พัทลุง!J704"")+IMPORTRANGE(""https://docs.google.com/spreadsheets/d/1rd4qoM1q_hsgaolqNGfrim9gbsoLxQsda4-vOz5x_BM/edit?usp=sharing"",""ภูเก็ต!J704"")+IMPORTRANGE(""https://docs.google.com/spreadsheets/d/1woKwKjgoL"&amp;"ssDvPcPeVyezB5izizAn4X1JDrys69n6xI/edit?usp=sharing"",""ยะลา!J704"")+IMPORTRANGE(""https://docs.google.com/spreadsheets/d/1qfrKjzMhm2HJfxQ-qVlJlJQ25Hne1d0khsySbZyGtPA/edit?usp=sharing"",""ระนอง!J704"")+IMPORTRANGE(""https://docs.google.com/spreadsheets/d/"&amp;"1IbSCnFOKpZsnFogBHJnL_isstZVaOMnFiIN0fGTPZZw/edit?usp=sharing"",""สงขลา!J704"")+IMPORTRANGE(""https://docs.google.com/spreadsheets/d/1q9nWasZJ-K8bFGvbE9n0qSRuKGA4Toe3Y89cKCiVtCU/edit?usp=sharing"",""สตูล!J704"")+IMPORTRANGE(""https://docs.google.com/sprea"&amp;"dsheets/d/18T20gbkS_WBjdscyTOV05cvq_JqvqQ17C81mpxf7Ncs/edit?usp=sharing"",""สุราษฎร์ธานี!J704"")"),0.21)</f>
        <v>0.21</v>
      </c>
      <c r="K704" s="47">
        <f t="shared" si="487"/>
        <v>0</v>
      </c>
      <c r="L704" s="136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kKUcYdkIfrgTSj8iHHHB2MD2FAtwyyocFgqGQn6ADyI/edit?usp=sharing"",""กระบี่!I705"")+IMPORTRANGE(""https://docs.google.com/spreadsheets/d/1GwtLaSlNZkLk7iDqcyZz22giiy40b_usZZBXYciEN1U/edit?usp=sharing"",""ชุ"&amp;"มพร!I705"")+IMPORTRANGE(""https://docs.google.com/spreadsheets/d/16pAz3pOhQEZBhvFNMa5KGgZS6iKWpsKX0pg6tQmwFpo/edit?usp=sharing"",""ตรัง!I705"")+IMPORTRANGE(""https://docs.google.com/spreadsheets/d/1Dj4jcHCTV9JXKCaMoheSXS52JE63kDKyG7bPXnFogHk/edit?usp=shar"&amp;"ing"",""นครศรีธรรมราช!I705"")+IMPORTRANGE(""https://docs.google.com/spreadsheets/d/1iodCdmuK2GR3jzUwk8tpccY2JHQQA-87DLOtJP-ooyU/edit?usp=sharing"",""นราธิวาส!I705"")+IMPORTRANGE(""https://docs.google.com/spreadsheets/d/1SDNX3JhDdYRuIOsj0Wh2M-Qa_eaXl0NbWmh"&amp;"AOTbfQAs/edit?usp=sharing"",""ปัตตานี!I705"")+IMPORTRANGE(""https://docs.google.com/spreadsheets/d/16JDLGguT8s5DsGCND1KcwHP_AWR_zDMTqLHPLJUKhaU/edit?usp=sharing"",""พังงา!I705"")+IMPORTRANGE(""https://docs.google.com/spreadsheets/d/17ht0gPKzzT3PObBL1XJkeR"&amp;"mntBXI7wGjpLV7QorqlTk/edit?usp=sharing"",""พัทลุง!I705"")+IMPORTRANGE(""https://docs.google.com/spreadsheets/d/1rd4qoM1q_hsgaolqNGfrim9gbsoLxQsda4-vOz5x_BM/edit?usp=sharing"",""ภูเก็ต!I705"")+IMPORTRANGE(""https://docs.google.com/spreadsheets/d/1woKwKjgoL"&amp;"ssDvPcPeVyezB5izizAn4X1JDrys69n6xI/edit?usp=sharing"",""ยะลา!I705"")+IMPORTRANGE(""https://docs.google.com/spreadsheets/d/1qfrKjzMhm2HJfxQ-qVlJlJQ25Hne1d0khsySbZyGtPA/edit?usp=sharing"",""ระนอง!I705"")+IMPORTRANGE(""https://docs.google.com/spreadsheets/d/"&amp;"1IbSCnFOKpZsnFogBHJnL_isstZVaOMnFiIN0fGTPZZw/edit?usp=sharing"",""สงขลา!I705"")+IMPORTRANGE(""https://docs.google.com/spreadsheets/d/1q9nWasZJ-K8bFGvbE9n0qSRuKGA4Toe3Y89cKCiVtCU/edit?usp=sharing"",""สตูล!I705"")+IMPORTRANGE(""https://docs.google.com/sprea"&amp;"dsheets/d/18T20gbkS_WBjdscyTOV05cvq_JqvqQ17C81mpxf7Ncs/edit?usp=sharing"",""สุราษฎร์ธานี!I705"")"),37)</f>
        <v>37</v>
      </c>
      <c r="J705" s="152">
        <f ca="1">IFERROR(__xludf.DUMMYFUNCTION("IMPORTRANGE(""https://docs.google.com/spreadsheets/d/1kKUcYdkIfrgTSj8iHHHB2MD2FAtwyyocFgqGQn6ADyI/edit?usp=sharing"",""กระบี่!J705"")+IMPORTRANGE(""https://docs.google.com/spreadsheets/d/1GwtLaSlNZkLk7iDqcyZz22giiy40b_usZZBXYciEN1U/edit?usp=sharing"",""ชุ"&amp;"มพร!J705"")+IMPORTRANGE(""https://docs.google.com/spreadsheets/d/16pAz3pOhQEZBhvFNMa5KGgZS6iKWpsKX0pg6tQmwFpo/edit?usp=sharing"",""ตรัง!J705"")+IMPORTRANGE(""https://docs.google.com/spreadsheets/d/1Dj4jcHCTV9JXKCaMoheSXS52JE63kDKyG7bPXnFogHk/edit?usp=shar"&amp;"ing"",""นครศรีธรรมราช!J705"")+IMPORTRANGE(""https://docs.google.com/spreadsheets/d/1iodCdmuK2GR3jzUwk8tpccY2JHQQA-87DLOtJP-ooyU/edit?usp=sharing"",""นราธิวาส!J705"")+IMPORTRANGE(""https://docs.google.com/spreadsheets/d/1SDNX3JhDdYRuIOsj0Wh2M-Qa_eaXl0NbWmh"&amp;"AOTbfQAs/edit?usp=sharing"",""ปัตตานี!J705"")+IMPORTRANGE(""https://docs.google.com/spreadsheets/d/16JDLGguT8s5DsGCND1KcwHP_AWR_zDMTqLHPLJUKhaU/edit?usp=sharing"",""พังงา!J705"")+IMPORTRANGE(""https://docs.google.com/spreadsheets/d/17ht0gPKzzT3PObBL1XJkeR"&amp;"mntBXI7wGjpLV7QorqlTk/edit?usp=sharing"",""พัทลุง!J705"")+IMPORTRANGE(""https://docs.google.com/spreadsheets/d/1rd4qoM1q_hsgaolqNGfrim9gbsoLxQsda4-vOz5x_BM/edit?usp=sharing"",""ภูเก็ต!J705"")+IMPORTRANGE(""https://docs.google.com/spreadsheets/d/1woKwKjgoL"&amp;"ssDvPcPeVyezB5izizAn4X1JDrys69n6xI/edit?usp=sharing"",""ยะลา!J705"")+IMPORTRANGE(""https://docs.google.com/spreadsheets/d/1qfrKjzMhm2HJfxQ-qVlJlJQ25Hne1d0khsySbZyGtPA/edit?usp=sharing"",""ระนอง!J705"")+IMPORTRANGE(""https://docs.google.com/spreadsheets/d/"&amp;"1IbSCnFOKpZsnFogBHJnL_isstZVaOMnFiIN0fGTPZZw/edit?usp=sharing"",""สงขลา!J705"")+IMPORTRANGE(""https://docs.google.com/spreadsheets/d/1q9nWasZJ-K8bFGvbE9n0qSRuKGA4Toe3Y89cKCiVtCU/edit?usp=sharing"",""สตูล!J705"")+IMPORTRANGE(""https://docs.google.com/sprea"&amp;"dsheets/d/18T20gbkS_WBjdscyTOV05cvq_JqvqQ17C81mpxf7Ncs/edit?usp=sharing"",""สุราษฎร์ธานี!J705"")"),0)</f>
        <v>0</v>
      </c>
      <c r="K705" s="153">
        <f t="shared" ca="1" si="487"/>
        <v>0</v>
      </c>
      <c r="L705" s="136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kKUcYdkIfrgTSj8iHHHB2MD2FAtwyyocFgqGQn6ADyI/edit?usp=sharing"",""กระบี่!J706"")+IMPORTRANGE(""https://docs.google.com/spreadsheets/d/1GwtLaSlNZkLk7iDqcyZz22giiy40b_usZZBXYciEN1U/edit?usp=sharing"",""ชุ"&amp;"มพร!J706"")+IMPORTRANGE(""https://docs.google.com/spreadsheets/d/16pAz3pOhQEZBhvFNMa5KGgZS6iKWpsKX0pg6tQmwFpo/edit?usp=sharing"",""ตรัง!J706"")+IMPORTRANGE(""https://docs.google.com/spreadsheets/d/1Dj4jcHCTV9JXKCaMoheSXS52JE63kDKyG7bPXnFogHk/edit?usp=shar"&amp;"ing"",""นครศรีธรรมราช!J706"")+IMPORTRANGE(""https://docs.google.com/spreadsheets/d/1iodCdmuK2GR3jzUwk8tpccY2JHQQA-87DLOtJP-ooyU/edit?usp=sharing"",""นราธิวาส!J706"")+IMPORTRANGE(""https://docs.google.com/spreadsheets/d/1SDNX3JhDdYRuIOsj0Wh2M-Qa_eaXl0NbWmh"&amp;"AOTbfQAs/edit?usp=sharing"",""ปัตตานี!J706"")+IMPORTRANGE(""https://docs.google.com/spreadsheets/d/16JDLGguT8s5DsGCND1KcwHP_AWR_zDMTqLHPLJUKhaU/edit?usp=sharing"",""พังงา!J706"")+IMPORTRANGE(""https://docs.google.com/spreadsheets/d/17ht0gPKzzT3PObBL1XJkeR"&amp;"mntBXI7wGjpLV7QorqlTk/edit?usp=sharing"",""พัทลุง!J706"")+IMPORTRANGE(""https://docs.google.com/spreadsheets/d/1rd4qoM1q_hsgaolqNGfrim9gbsoLxQsda4-vOz5x_BM/edit?usp=sharing"",""ภูเก็ต!J706"")+IMPORTRANGE(""https://docs.google.com/spreadsheets/d/1woKwKjgoL"&amp;"ssDvPcPeVyezB5izizAn4X1JDrys69n6xI/edit?usp=sharing"",""ยะลา!J706"")+IMPORTRANGE(""https://docs.google.com/spreadsheets/d/1qfrKjzMhm2HJfxQ-qVlJlJQ25Hne1d0khsySbZyGtPA/edit?usp=sharing"",""ระนอง!J706"")+IMPORTRANGE(""https://docs.google.com/spreadsheets/d/"&amp;"1IbSCnFOKpZsnFogBHJnL_isstZVaOMnFiIN0fGTPZZw/edit?usp=sharing"",""สงขลา!J706"")+IMPORTRANGE(""https://docs.google.com/spreadsheets/d/1q9nWasZJ-K8bFGvbE9n0qSRuKGA4Toe3Y89cKCiVtCU/edit?usp=sharing"",""สตูล!J706"")+IMPORTRANGE(""https://docs.google.com/sprea"&amp;"dsheets/d/18T20gbkS_WBjdscyTOV05cvq_JqvqQ17C81mpxf7Ncs/edit?usp=sharing"",""สุราษฎร์ธานี!J706"")"),0)</f>
        <v>0</v>
      </c>
      <c r="K706" s="47">
        <f t="shared" si="487"/>
        <v>0</v>
      </c>
      <c r="L706" s="136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kKUcYdkIfrgTSj8iHHHB2MD2FAtwyyocFgqGQn6ADyI/edit?usp=sharing"",""กระบี่!I707"")+IMPORTRANGE(""https://docs.google.com/spreadsheets/d/1GwtLaSlNZkLk7iDqcyZz22giiy40b_usZZBXYciEN1U/edit?usp=sharing"",""ชุ"&amp;"มพร!I707"")+IMPORTRANGE(""https://docs.google.com/spreadsheets/d/16pAz3pOhQEZBhvFNMa5KGgZS6iKWpsKX0pg6tQmwFpo/edit?usp=sharing"",""ตรัง!I707"")+IMPORTRANGE(""https://docs.google.com/spreadsheets/d/1Dj4jcHCTV9JXKCaMoheSXS52JE63kDKyG7bPXnFogHk/edit?usp=shar"&amp;"ing"",""นครศรีธรรมราช!I707"")+IMPORTRANGE(""https://docs.google.com/spreadsheets/d/1iodCdmuK2GR3jzUwk8tpccY2JHQQA-87DLOtJP-ooyU/edit?usp=sharing"",""นราธิวาส!I707"")+IMPORTRANGE(""https://docs.google.com/spreadsheets/d/1SDNX3JhDdYRuIOsj0Wh2M-Qa_eaXl0NbWmh"&amp;"AOTbfQAs/edit?usp=sharing"",""ปัตตานี!I707"")+IMPORTRANGE(""https://docs.google.com/spreadsheets/d/16JDLGguT8s5DsGCND1KcwHP_AWR_zDMTqLHPLJUKhaU/edit?usp=sharing"",""พังงา!I707"")+IMPORTRANGE(""https://docs.google.com/spreadsheets/d/17ht0gPKzzT3PObBL1XJkeR"&amp;"mntBXI7wGjpLV7QorqlTk/edit?usp=sharing"",""พัทลุง!I707"")+IMPORTRANGE(""https://docs.google.com/spreadsheets/d/1rd4qoM1q_hsgaolqNGfrim9gbsoLxQsda4-vOz5x_BM/edit?usp=sharing"",""ภูเก็ต!I707"")+IMPORTRANGE(""https://docs.google.com/spreadsheets/d/1woKwKjgoL"&amp;"ssDvPcPeVyezB5izizAn4X1JDrys69n6xI/edit?usp=sharing"",""ยะลา!I707"")+IMPORTRANGE(""https://docs.google.com/spreadsheets/d/1qfrKjzMhm2HJfxQ-qVlJlJQ25Hne1d0khsySbZyGtPA/edit?usp=sharing"",""ระนอง!I707"")+IMPORTRANGE(""https://docs.google.com/spreadsheets/d/"&amp;"1IbSCnFOKpZsnFogBHJnL_isstZVaOMnFiIN0fGTPZZw/edit?usp=sharing"",""สงขลา!I707"")+IMPORTRANGE(""https://docs.google.com/spreadsheets/d/1q9nWasZJ-K8bFGvbE9n0qSRuKGA4Toe3Y89cKCiVtCU/edit?usp=sharing"",""สตูล!I707"")+IMPORTRANGE(""https://docs.google.com/sprea"&amp;"dsheets/d/18T20gbkS_WBjdscyTOV05cvq_JqvqQ17C81mpxf7Ncs/edit?usp=sharing"",""สุราษฎร์ธานี!I707"")"),76)</f>
        <v>76</v>
      </c>
      <c r="J707" s="152">
        <f ca="1">IFERROR(__xludf.DUMMYFUNCTION("IMPORTRANGE(""https://docs.google.com/spreadsheets/d/1kKUcYdkIfrgTSj8iHHHB2MD2FAtwyyocFgqGQn6ADyI/edit?usp=sharing"",""กระบี่!J707"")+IMPORTRANGE(""https://docs.google.com/spreadsheets/d/1GwtLaSlNZkLk7iDqcyZz22giiy40b_usZZBXYciEN1U/edit?usp=sharing"",""ชุ"&amp;"มพร!J707"")+IMPORTRANGE(""https://docs.google.com/spreadsheets/d/16pAz3pOhQEZBhvFNMa5KGgZS6iKWpsKX0pg6tQmwFpo/edit?usp=sharing"",""ตรัง!J707"")+IMPORTRANGE(""https://docs.google.com/spreadsheets/d/1Dj4jcHCTV9JXKCaMoheSXS52JE63kDKyG7bPXnFogHk/edit?usp=shar"&amp;"ing"",""นครศรีธรรมราช!J707"")+IMPORTRANGE(""https://docs.google.com/spreadsheets/d/1iodCdmuK2GR3jzUwk8tpccY2JHQQA-87DLOtJP-ooyU/edit?usp=sharing"",""นราธิวาส!J707"")+IMPORTRANGE(""https://docs.google.com/spreadsheets/d/1SDNX3JhDdYRuIOsj0Wh2M-Qa_eaXl0NbWmh"&amp;"AOTbfQAs/edit?usp=sharing"",""ปัตตานี!J707"")+IMPORTRANGE(""https://docs.google.com/spreadsheets/d/16JDLGguT8s5DsGCND1KcwHP_AWR_zDMTqLHPLJUKhaU/edit?usp=sharing"",""พังงา!J707"")+IMPORTRANGE(""https://docs.google.com/spreadsheets/d/17ht0gPKzzT3PObBL1XJkeR"&amp;"mntBXI7wGjpLV7QorqlTk/edit?usp=sharing"",""พัทลุง!J707"")+IMPORTRANGE(""https://docs.google.com/spreadsheets/d/1rd4qoM1q_hsgaolqNGfrim9gbsoLxQsda4-vOz5x_BM/edit?usp=sharing"",""ภูเก็ต!J707"")+IMPORTRANGE(""https://docs.google.com/spreadsheets/d/1woKwKjgoL"&amp;"ssDvPcPeVyezB5izizAn4X1JDrys69n6xI/edit?usp=sharing"",""ยะลา!J707"")+IMPORTRANGE(""https://docs.google.com/spreadsheets/d/1qfrKjzMhm2HJfxQ-qVlJlJQ25Hne1d0khsySbZyGtPA/edit?usp=sharing"",""ระนอง!J707"")+IMPORTRANGE(""https://docs.google.com/spreadsheets/d/"&amp;"1IbSCnFOKpZsnFogBHJnL_isstZVaOMnFiIN0fGTPZZw/edit?usp=sharing"",""สงขลา!J707"")+IMPORTRANGE(""https://docs.google.com/spreadsheets/d/1q9nWasZJ-K8bFGvbE9n0qSRuKGA4Toe3Y89cKCiVtCU/edit?usp=sharing"",""สตูล!J707"")+IMPORTRANGE(""https://docs.google.com/sprea"&amp;"dsheets/d/18T20gbkS_WBjdscyTOV05cvq_JqvqQ17C81mpxf7Ncs/edit?usp=sharing"",""สุราษฎร์ธานี!J707"")"),2)</f>
        <v>2</v>
      </c>
      <c r="K707" s="47">
        <f t="shared" ca="1" si="487"/>
        <v>2.6315789473684212</v>
      </c>
      <c r="L707" s="136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kKUcYdkIfrgTSj8iHHHB2MD2FAtwyyocFgqGQn6ADyI/edit?usp=sharing"",""กระบี่!J708"")+IMPORTRANGE(""https://docs.google.com/spreadsheets/d/1GwtLaSlNZkLk7iDqcyZz22giiy40b_usZZBXYciEN1U/edit?usp=sharing"",""ชุ"&amp;"มพร!J708"")+IMPORTRANGE(""https://docs.google.com/spreadsheets/d/16pAz3pOhQEZBhvFNMa5KGgZS6iKWpsKX0pg6tQmwFpo/edit?usp=sharing"",""ตรัง!J708"")+IMPORTRANGE(""https://docs.google.com/spreadsheets/d/1Dj4jcHCTV9JXKCaMoheSXS52JE63kDKyG7bPXnFogHk/edit?usp=shar"&amp;"ing"",""นครศรีธรรมราช!J708"")+IMPORTRANGE(""https://docs.google.com/spreadsheets/d/1iodCdmuK2GR3jzUwk8tpccY2JHQQA-87DLOtJP-ooyU/edit?usp=sharing"",""นราธิวาส!J708"")+IMPORTRANGE(""https://docs.google.com/spreadsheets/d/1SDNX3JhDdYRuIOsj0Wh2M-Qa_eaXl0NbWmh"&amp;"AOTbfQAs/edit?usp=sharing"",""ปัตตานี!J708"")+IMPORTRANGE(""https://docs.google.com/spreadsheets/d/16JDLGguT8s5DsGCND1KcwHP_AWR_zDMTqLHPLJUKhaU/edit?usp=sharing"",""พังงา!J708"")+IMPORTRANGE(""https://docs.google.com/spreadsheets/d/17ht0gPKzzT3PObBL1XJkeR"&amp;"mntBXI7wGjpLV7QorqlTk/edit?usp=sharing"",""พัทลุง!J708"")+IMPORTRANGE(""https://docs.google.com/spreadsheets/d/1rd4qoM1q_hsgaolqNGfrim9gbsoLxQsda4-vOz5x_BM/edit?usp=sharing"",""ภูเก็ต!J708"")+IMPORTRANGE(""https://docs.google.com/spreadsheets/d/1woKwKjgoL"&amp;"ssDvPcPeVyezB5izizAn4X1JDrys69n6xI/edit?usp=sharing"",""ยะลา!J708"")+IMPORTRANGE(""https://docs.google.com/spreadsheets/d/1qfrKjzMhm2HJfxQ-qVlJlJQ25Hne1d0khsySbZyGtPA/edit?usp=sharing"",""ระนอง!J708"")+IMPORTRANGE(""https://docs.google.com/spreadsheets/d/"&amp;"1IbSCnFOKpZsnFogBHJnL_isstZVaOMnFiIN0fGTPZZw/edit?usp=sharing"",""สงขลา!J708"")+IMPORTRANGE(""https://docs.google.com/spreadsheets/d/1q9nWasZJ-K8bFGvbE9n0qSRuKGA4Toe3Y89cKCiVtCU/edit?usp=sharing"",""สตูล!J708"")+IMPORTRANGE(""https://docs.google.com/sprea"&amp;"dsheets/d/18T20gbkS_WBjdscyTOV05cvq_JqvqQ17C81mpxf7Ncs/edit?usp=sharing"",""สุราษฎร์ธานี!J708"")"),0.21)</f>
        <v>0.21</v>
      </c>
      <c r="K708" s="47">
        <f t="shared" si="487"/>
        <v>0</v>
      </c>
      <c r="L708" s="136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kKUcYdkIfrgTSj8iHHHB2MD2FAtwyyocFgqGQn6ADyI/edit?usp=sharing"",""กระบี่!I709"")+IMPORTRANGE(""https://docs.google.com/spreadsheets/d/1GwtLaSlNZkLk7iDqcyZz22giiy40b_usZZBXYciEN1U/edit?usp=sharing"",""ชุ"&amp;"มพร!I709"")+IMPORTRANGE(""https://docs.google.com/spreadsheets/d/16pAz3pOhQEZBhvFNMa5KGgZS6iKWpsKX0pg6tQmwFpo/edit?usp=sharing"",""ตรัง!I709"")+IMPORTRANGE(""https://docs.google.com/spreadsheets/d/1Dj4jcHCTV9JXKCaMoheSXS52JE63kDKyG7bPXnFogHk/edit?usp=shar"&amp;"ing"",""นครศรีธรรมราช!I709"")+IMPORTRANGE(""https://docs.google.com/spreadsheets/d/1iodCdmuK2GR3jzUwk8tpccY2JHQQA-87DLOtJP-ooyU/edit?usp=sharing"",""นราธิวาส!I709"")+IMPORTRANGE(""https://docs.google.com/spreadsheets/d/1SDNX3JhDdYRuIOsj0Wh2M-Qa_eaXl0NbWmh"&amp;"AOTbfQAs/edit?usp=sharing"",""ปัตตานี!I709"")+IMPORTRANGE(""https://docs.google.com/spreadsheets/d/16JDLGguT8s5DsGCND1KcwHP_AWR_zDMTqLHPLJUKhaU/edit?usp=sharing"",""พังงา!I709"")+IMPORTRANGE(""https://docs.google.com/spreadsheets/d/17ht0gPKzzT3PObBL1XJkeR"&amp;"mntBXI7wGjpLV7QorqlTk/edit?usp=sharing"",""พัทลุง!I709"")+IMPORTRANGE(""https://docs.google.com/spreadsheets/d/1rd4qoM1q_hsgaolqNGfrim9gbsoLxQsda4-vOz5x_BM/edit?usp=sharing"",""ภูเก็ต!I709"")+IMPORTRANGE(""https://docs.google.com/spreadsheets/d/1woKwKjgoL"&amp;"ssDvPcPeVyezB5izizAn4X1JDrys69n6xI/edit?usp=sharing"",""ยะลา!I709"")+IMPORTRANGE(""https://docs.google.com/spreadsheets/d/1qfrKjzMhm2HJfxQ-qVlJlJQ25Hne1d0khsySbZyGtPA/edit?usp=sharing"",""ระนอง!I709"")+IMPORTRANGE(""https://docs.google.com/spreadsheets/d/"&amp;"1IbSCnFOKpZsnFogBHJnL_isstZVaOMnFiIN0fGTPZZw/edit?usp=sharing"",""สงขลา!I709"")+IMPORTRANGE(""https://docs.google.com/spreadsheets/d/1q9nWasZJ-K8bFGvbE9n0qSRuKGA4Toe3Y89cKCiVtCU/edit?usp=sharing"",""สตูล!I709"")+IMPORTRANGE(""https://docs.google.com/sprea"&amp;"dsheets/d/18T20gbkS_WBjdscyTOV05cvq_JqvqQ17C81mpxf7Ncs/edit?usp=sharing"",""สุราษฎร์ธานี!I709"")"),37)</f>
        <v>37</v>
      </c>
      <c r="J709" s="152">
        <f ca="1">IFERROR(__xludf.DUMMYFUNCTION("IMPORTRANGE(""https://docs.google.com/spreadsheets/d/1kKUcYdkIfrgTSj8iHHHB2MD2FAtwyyocFgqGQn6ADyI/edit?usp=sharing"",""กระบี่!J709"")+IMPORTRANGE(""https://docs.google.com/spreadsheets/d/1GwtLaSlNZkLk7iDqcyZz22giiy40b_usZZBXYciEN1U/edit?usp=sharing"",""ชุ"&amp;"มพร!J709"")+IMPORTRANGE(""https://docs.google.com/spreadsheets/d/16pAz3pOhQEZBhvFNMa5KGgZS6iKWpsKX0pg6tQmwFpo/edit?usp=sharing"",""ตรัง!J709"")+IMPORTRANGE(""https://docs.google.com/spreadsheets/d/1Dj4jcHCTV9JXKCaMoheSXS52JE63kDKyG7bPXnFogHk/edit?usp=shar"&amp;"ing"",""นครศรีธรรมราช!J709"")+IMPORTRANGE(""https://docs.google.com/spreadsheets/d/1iodCdmuK2GR3jzUwk8tpccY2JHQQA-87DLOtJP-ooyU/edit?usp=sharing"",""นราธิวาส!J709"")+IMPORTRANGE(""https://docs.google.com/spreadsheets/d/1SDNX3JhDdYRuIOsj0Wh2M-Qa_eaXl0NbWmh"&amp;"AOTbfQAs/edit?usp=sharing"",""ปัตตานี!J709"")+IMPORTRANGE(""https://docs.google.com/spreadsheets/d/16JDLGguT8s5DsGCND1KcwHP_AWR_zDMTqLHPLJUKhaU/edit?usp=sharing"",""พังงา!J709"")+IMPORTRANGE(""https://docs.google.com/spreadsheets/d/17ht0gPKzzT3PObBL1XJkeR"&amp;"mntBXI7wGjpLV7QorqlTk/edit?usp=sharing"",""พัทลุง!J709"")+IMPORTRANGE(""https://docs.google.com/spreadsheets/d/1rd4qoM1q_hsgaolqNGfrim9gbsoLxQsda4-vOz5x_BM/edit?usp=sharing"",""ภูเก็ต!J709"")+IMPORTRANGE(""https://docs.google.com/spreadsheets/d/1woKwKjgoL"&amp;"ssDvPcPeVyezB5izizAn4X1JDrys69n6xI/edit?usp=sharing"",""ยะลา!J709"")+IMPORTRANGE(""https://docs.google.com/spreadsheets/d/1qfrKjzMhm2HJfxQ-qVlJlJQ25Hne1d0khsySbZyGtPA/edit?usp=sharing"",""ระนอง!J709"")+IMPORTRANGE(""https://docs.google.com/spreadsheets/d/"&amp;"1IbSCnFOKpZsnFogBHJnL_isstZVaOMnFiIN0fGTPZZw/edit?usp=sharing"",""สงขลา!J709"")+IMPORTRANGE(""https://docs.google.com/spreadsheets/d/1q9nWasZJ-K8bFGvbE9n0qSRuKGA4Toe3Y89cKCiVtCU/edit?usp=sharing"",""สตูล!J709"")+IMPORTRANGE(""https://docs.google.com/sprea"&amp;"dsheets/d/18T20gbkS_WBjdscyTOV05cvq_JqvqQ17C81mpxf7Ncs/edit?usp=sharing"",""สุราษฎร์ธานี!J709"")"),33)</f>
        <v>33</v>
      </c>
      <c r="K709" s="47">
        <f t="shared" ca="1" si="487"/>
        <v>89.189189189189193</v>
      </c>
      <c r="L709" s="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kKUcYdkIfrgTSj8iHHHB2MD2FAtwyyocFgqGQn6ADyI/edit?usp=sharing"",""กระบี่!J710"")+IMPORTRANGE(""https://docs.google.com/spreadsheets/d/1GwtLaSlNZkLk7iDqcyZz22giiy40b_usZZBXYciEN1U/edit?usp=sharing"",""ชุ"&amp;"มพร!J710"")+IMPORTRANGE(""https://docs.google.com/spreadsheets/d/16pAz3pOhQEZBhvFNMa5KGgZS6iKWpsKX0pg6tQmwFpo/edit?usp=sharing"",""ตรัง!J710"")+IMPORTRANGE(""https://docs.google.com/spreadsheets/d/1Dj4jcHCTV9JXKCaMoheSXS52JE63kDKyG7bPXnFogHk/edit?usp=shar"&amp;"ing"",""นครศรีธรรมราช!J710"")+IMPORTRANGE(""https://docs.google.com/spreadsheets/d/1iodCdmuK2GR3jzUwk8tpccY2JHQQA-87DLOtJP-ooyU/edit?usp=sharing"",""นราธิวาส!J710"")+IMPORTRANGE(""https://docs.google.com/spreadsheets/d/1SDNX3JhDdYRuIOsj0Wh2M-Qa_eaXl0NbWmh"&amp;"AOTbfQAs/edit?usp=sharing"",""ปัตตานี!J710"")+IMPORTRANGE(""https://docs.google.com/spreadsheets/d/16JDLGguT8s5DsGCND1KcwHP_AWR_zDMTqLHPLJUKhaU/edit?usp=sharing"",""พังงา!J710"")+IMPORTRANGE(""https://docs.google.com/spreadsheets/d/17ht0gPKzzT3PObBL1XJkeR"&amp;"mntBXI7wGjpLV7QorqlTk/edit?usp=sharing"",""พัทลุง!J710"")+IMPORTRANGE(""https://docs.google.com/spreadsheets/d/1rd4qoM1q_hsgaolqNGfrim9gbsoLxQsda4-vOz5x_BM/edit?usp=sharing"",""ภูเก็ต!J710"")+IMPORTRANGE(""https://docs.google.com/spreadsheets/d/1woKwKjgoL"&amp;"ssDvPcPeVyezB5izizAn4X1JDrys69n6xI/edit?usp=sharing"",""ยะลา!J710"")+IMPORTRANGE(""https://docs.google.com/spreadsheets/d/1qfrKjzMhm2HJfxQ-qVlJlJQ25Hne1d0khsySbZyGtPA/edit?usp=sharing"",""ระนอง!J710"")+IMPORTRANGE(""https://docs.google.com/spreadsheets/d/"&amp;"1IbSCnFOKpZsnFogBHJnL_isstZVaOMnFiIN0fGTPZZw/edit?usp=sharing"",""สงขลา!J710"")+IMPORTRANGE(""https://docs.google.com/spreadsheets/d/1q9nWasZJ-K8bFGvbE9n0qSRuKGA4Toe3Y89cKCiVtCU/edit?usp=sharing"",""สตูล!J710"")+IMPORTRANGE(""https://docs.google.com/sprea"&amp;"dsheets/d/18T20gbkS_WBjdscyTOV05cvq_JqvqQ17C81mpxf7Ncs/edit?usp=sharing"",""สุราษฎร์ธานี!J710"")"),0)</f>
        <v>0</v>
      </c>
      <c r="K710" s="47">
        <f t="shared" si="487"/>
        <v>0</v>
      </c>
      <c r="L710" s="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336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56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46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56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46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33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132">
        <f t="shared" ref="L714:N714" ca="1" si="489">L715+L716</f>
        <v>0</v>
      </c>
      <c r="M714" s="132">
        <f t="shared" ca="1" si="489"/>
        <v>0</v>
      </c>
      <c r="N714" s="132">
        <f t="shared" ca="1" si="489"/>
        <v>0</v>
      </c>
      <c r="O714" s="132">
        <f t="shared" ref="O714:O722" ca="1" si="490">IF(L714&gt;0,N714*100/L714,0)</f>
        <v>0</v>
      </c>
      <c r="P714" s="132">
        <f t="shared" ref="P714:P722" ca="1" si="491">IF(M714&gt;0,N714*100/M714,0)</f>
        <v>0</v>
      </c>
      <c r="Q714" s="132">
        <f t="shared" ref="Q714:S714" ca="1" si="492">Q715+Q716</f>
        <v>0</v>
      </c>
      <c r="R714" s="132">
        <f t="shared" ca="1" si="492"/>
        <v>0</v>
      </c>
      <c r="S714" s="132">
        <f t="shared" ca="1" si="492"/>
        <v>0</v>
      </c>
      <c r="T714" s="132">
        <f t="shared" ref="T714:T722" ca="1" si="493">IF(Q714&gt;0,S714*100/Q714,0)</f>
        <v>0</v>
      </c>
      <c r="U714" s="132">
        <f t="shared" ref="U714:U722" ca="1" si="494"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49">
        <f t="shared" ref="L715:N715" ca="1" si="495">L718+L721</f>
        <v>0</v>
      </c>
      <c r="M715" s="49">
        <f t="shared" ca="1" si="495"/>
        <v>0</v>
      </c>
      <c r="N715" s="49">
        <f t="shared" ca="1" si="495"/>
        <v>0</v>
      </c>
      <c r="O715" s="49">
        <f t="shared" ca="1" si="490"/>
        <v>0</v>
      </c>
      <c r="P715" s="49">
        <f t="shared" ca="1" si="491"/>
        <v>0</v>
      </c>
      <c r="Q715" s="49">
        <f t="shared" ref="Q715:S715" ca="1" si="496">Q718+Q721</f>
        <v>0</v>
      </c>
      <c r="R715" s="49">
        <f t="shared" ca="1" si="496"/>
        <v>0</v>
      </c>
      <c r="S715" s="49">
        <f t="shared" ca="1" si="496"/>
        <v>0</v>
      </c>
      <c r="T715" s="49">
        <f t="shared" ca="1" si="493"/>
        <v>0</v>
      </c>
      <c r="U715" s="49">
        <f t="shared" ca="1" si="494"/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47">
        <f t="shared" ref="L716:N716" ca="1" si="497">L719+L722</f>
        <v>0</v>
      </c>
      <c r="M716" s="47">
        <f t="shared" ca="1" si="497"/>
        <v>0</v>
      </c>
      <c r="N716" s="47">
        <f t="shared" ca="1" si="497"/>
        <v>0</v>
      </c>
      <c r="O716" s="47">
        <f t="shared" ca="1" si="490"/>
        <v>0</v>
      </c>
      <c r="P716" s="47">
        <f t="shared" ca="1" si="491"/>
        <v>0</v>
      </c>
      <c r="Q716" s="47">
        <f t="shared" ref="Q716:S716" ca="1" si="498">Q719+Q722</f>
        <v>0</v>
      </c>
      <c r="R716" s="47">
        <f t="shared" ca="1" si="498"/>
        <v>0</v>
      </c>
      <c r="S716" s="47">
        <f t="shared" ca="1" si="498"/>
        <v>0</v>
      </c>
      <c r="T716" s="47">
        <f t="shared" ca="1" si="493"/>
        <v>0</v>
      </c>
      <c r="U716" s="47">
        <f t="shared" ca="1" si="494"/>
        <v>0</v>
      </c>
    </row>
    <row r="717" spans="1:21" ht="19.5" hidden="1" x14ac:dyDescent="0.3">
      <c r="A717" s="128"/>
      <c r="B717" s="159"/>
      <c r="C717" s="159"/>
      <c r="D717" s="491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47">
        <f t="shared" ref="L717:N717" ca="1" si="499">L718+L719</f>
        <v>0</v>
      </c>
      <c r="M717" s="47">
        <f t="shared" ca="1" si="499"/>
        <v>0</v>
      </c>
      <c r="N717" s="47">
        <f t="shared" ca="1" si="499"/>
        <v>0</v>
      </c>
      <c r="O717" s="47">
        <f t="shared" ca="1" si="490"/>
        <v>0</v>
      </c>
      <c r="P717" s="47">
        <f t="shared" ca="1" si="491"/>
        <v>0</v>
      </c>
      <c r="Q717" s="47">
        <f t="shared" ref="Q717:S717" ca="1" si="500">Q718+Q719</f>
        <v>0</v>
      </c>
      <c r="R717" s="47">
        <f t="shared" ca="1" si="500"/>
        <v>0</v>
      </c>
      <c r="S717" s="47">
        <f t="shared" ca="1" si="500"/>
        <v>0</v>
      </c>
      <c r="T717" s="47">
        <f t="shared" ca="1" si="493"/>
        <v>0</v>
      </c>
      <c r="U717" s="47">
        <f t="shared" ca="1" si="494"/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49">
        <f ca="1">IFERROR(__xludf.DUMMYFUNCTION("IMPORTRANGE(""https://docs.google.com/spreadsheets/d/1kKUcYdkIfrgTSj8iHHHB2MD2FAtwyyocFgqGQn6ADyI/edit?usp=sharing"",""กระบี่!L718"")+IMPORTRANGE(""https://docs.google.com/spreadsheets/d/1GwtLaSlNZkLk7iDqcyZz22giiy40b_usZZBXYciEN1U/edit?usp=sharing"",""ชุ"&amp;"มพร!L718"")+IMPORTRANGE(""https://docs.google.com/spreadsheets/d/16pAz3pOhQEZBhvFNMa5KGgZS6iKWpsKX0pg6tQmwFpo/edit?usp=sharing"",""ตรัง!L718"")+IMPORTRANGE(""https://docs.google.com/spreadsheets/d/1Dj4jcHCTV9JXKCaMoheSXS52JE63kDKyG7bPXnFogHk/edit?usp=shar"&amp;"ing"",""นครศรีธรรมราช!L718"")+IMPORTRANGE(""https://docs.google.com/spreadsheets/d/1iodCdmuK2GR3jzUwk8tpccY2JHQQA-87DLOtJP-ooyU/edit?usp=sharing"",""นราธิวาส!L718"")+IMPORTRANGE(""https://docs.google.com/spreadsheets/d/1SDNX3JhDdYRuIOsj0Wh2M-Qa_eaXl0NbWmh"&amp;"AOTbfQAs/edit?usp=sharing"",""ปัตตานี!L718"")+IMPORTRANGE(""https://docs.google.com/spreadsheets/d/16JDLGguT8s5DsGCND1KcwHP_AWR_zDMTqLHPLJUKhaU/edit?usp=sharing"",""พังงา!L718"")+IMPORTRANGE(""https://docs.google.com/spreadsheets/d/17ht0gPKzzT3PObBL1XJkeR"&amp;"mntBXI7wGjpLV7QorqlTk/edit?usp=sharing"",""พัทลุง!L718"")+IMPORTRANGE(""https://docs.google.com/spreadsheets/d/1rd4qoM1q_hsgaolqNGfrim9gbsoLxQsda4-vOz5x_BM/edit?usp=sharing"",""ภูเก็ต!L718"")+IMPORTRANGE(""https://docs.google.com/spreadsheets/d/1woKwKjgoL"&amp;"ssDvPcPeVyezB5izizAn4X1JDrys69n6xI/edit?usp=sharing"",""ยะลา!L718"")+IMPORTRANGE(""https://docs.google.com/spreadsheets/d/1qfrKjzMhm2HJfxQ-qVlJlJQ25Hne1d0khsySbZyGtPA/edit?usp=sharing"",""ระนอง!L718"")+IMPORTRANGE(""https://docs.google.com/spreadsheets/d/"&amp;"1IbSCnFOKpZsnFogBHJnL_isstZVaOMnFiIN0fGTPZZw/edit?usp=sharing"",""สงขลา!L718"")+IMPORTRANGE(""https://docs.google.com/spreadsheets/d/1q9nWasZJ-K8bFGvbE9n0qSRuKGA4Toe3Y89cKCiVtCU/edit?usp=sharing"",""สตูล!L718"")+IMPORTRANGE(""https://docs.google.com/sprea"&amp;"dsheets/d/18T20gbkS_WBjdscyTOV05cvq_JqvqQ17C81mpxf7Ncs/edit?usp=sharing"",""สุราษฎร์ธานี!L718"")"),0)</f>
        <v>0</v>
      </c>
      <c r="M718" s="49">
        <f ca="1">IFERROR(__xludf.DUMMYFUNCTION("IMPORTRANGE(""https://docs.google.com/spreadsheets/d/1kKUcYdkIfrgTSj8iHHHB2MD2FAtwyyocFgqGQn6ADyI/edit?usp=sharing"",""กระบี่!M718"")+IMPORTRANGE(""https://docs.google.com/spreadsheets/d/1GwtLaSlNZkLk7iDqcyZz22giiy40b_usZZBXYciEN1U/edit?usp=sharing"",""ชุ"&amp;"มพร!M718"")+IMPORTRANGE(""https://docs.google.com/spreadsheets/d/16pAz3pOhQEZBhvFNMa5KGgZS6iKWpsKX0pg6tQmwFpo/edit?usp=sharing"",""ตรัง!M718"")+IMPORTRANGE(""https://docs.google.com/spreadsheets/d/1Dj4jcHCTV9JXKCaMoheSXS52JE63kDKyG7bPXnFogHk/edit?usp=shar"&amp;"ing"",""นครศรีธรรมราช!M718"")+IMPORTRANGE(""https://docs.google.com/spreadsheets/d/1iodCdmuK2GR3jzUwk8tpccY2JHQQA-87DLOtJP-ooyU/edit?usp=sharing"",""นราธิวาส!M718"")+IMPORTRANGE(""https://docs.google.com/spreadsheets/d/1SDNX3JhDdYRuIOsj0Wh2M-Qa_eaXl0NbWmh"&amp;"AOTbfQAs/edit?usp=sharing"",""ปัตตานี!M718"")+IMPORTRANGE(""https://docs.google.com/spreadsheets/d/16JDLGguT8s5DsGCND1KcwHP_AWR_zDMTqLHPLJUKhaU/edit?usp=sharing"",""พังงา!M718"")+IMPORTRANGE(""https://docs.google.com/spreadsheets/d/17ht0gPKzzT3PObBL1XJkeR"&amp;"mntBXI7wGjpLV7QorqlTk/edit?usp=sharing"",""พัทลุง!M718"")+IMPORTRANGE(""https://docs.google.com/spreadsheets/d/1rd4qoM1q_hsgaolqNGfrim9gbsoLxQsda4-vOz5x_BM/edit?usp=sharing"",""ภูเก็ต!M718"")+IMPORTRANGE(""https://docs.google.com/spreadsheets/d/1woKwKjgoL"&amp;"ssDvPcPeVyezB5izizAn4X1JDrys69n6xI/edit?usp=sharing"",""ยะลา!M718"")+IMPORTRANGE(""https://docs.google.com/spreadsheets/d/1qfrKjzMhm2HJfxQ-qVlJlJQ25Hne1d0khsySbZyGtPA/edit?usp=sharing"",""ระนอง!M718"")+IMPORTRANGE(""https://docs.google.com/spreadsheets/d/"&amp;"1IbSCnFOKpZsnFogBHJnL_isstZVaOMnFiIN0fGTPZZw/edit?usp=sharing"",""สงขลา!M718"")+IMPORTRANGE(""https://docs.google.com/spreadsheets/d/1q9nWasZJ-K8bFGvbE9n0qSRuKGA4Toe3Y89cKCiVtCU/edit?usp=sharing"",""สตูล!M718"")+IMPORTRANGE(""https://docs.google.com/sprea"&amp;"dsheets/d/18T20gbkS_WBjdscyTOV05cvq_JqvqQ17C81mpxf7Ncs/edit?usp=sharing"",""สุราษฎร์ธานี!M718"")"),0)</f>
        <v>0</v>
      </c>
      <c r="N718" s="49">
        <f ca="1">IFERROR(__xludf.DUMMYFUNCTION("IMPORTRANGE(""https://docs.google.com/spreadsheets/d/1kKUcYdkIfrgTSj8iHHHB2MD2FAtwyyocFgqGQn6ADyI/edit?usp=sharing"",""กระบี่!N718"")+IMPORTRANGE(""https://docs.google.com/spreadsheets/d/1GwtLaSlNZkLk7iDqcyZz22giiy40b_usZZBXYciEN1U/edit?usp=sharing"",""ชุ"&amp;"มพร!N718"")+IMPORTRANGE(""https://docs.google.com/spreadsheets/d/16pAz3pOhQEZBhvFNMa5KGgZS6iKWpsKX0pg6tQmwFpo/edit?usp=sharing"",""ตรัง!N718"")+IMPORTRANGE(""https://docs.google.com/spreadsheets/d/1Dj4jcHCTV9JXKCaMoheSXS52JE63kDKyG7bPXnFogHk/edit?usp=shar"&amp;"ing"",""นครศรีธรรมราช!N718"")+IMPORTRANGE(""https://docs.google.com/spreadsheets/d/1iodCdmuK2GR3jzUwk8tpccY2JHQQA-87DLOtJP-ooyU/edit?usp=sharing"",""นราธิวาส!N718"")+IMPORTRANGE(""https://docs.google.com/spreadsheets/d/1SDNX3JhDdYRuIOsj0Wh2M-Qa_eaXl0NbWmh"&amp;"AOTbfQAs/edit?usp=sharing"",""ปัตตานี!N718"")+IMPORTRANGE(""https://docs.google.com/spreadsheets/d/16JDLGguT8s5DsGCND1KcwHP_AWR_zDMTqLHPLJUKhaU/edit?usp=sharing"",""พังงา!N718"")+IMPORTRANGE(""https://docs.google.com/spreadsheets/d/17ht0gPKzzT3PObBL1XJkeR"&amp;"mntBXI7wGjpLV7QorqlTk/edit?usp=sharing"",""พัทลุง!N718"")+IMPORTRANGE(""https://docs.google.com/spreadsheets/d/1rd4qoM1q_hsgaolqNGfrim9gbsoLxQsda4-vOz5x_BM/edit?usp=sharing"",""ภูเก็ต!N718"")+IMPORTRANGE(""https://docs.google.com/spreadsheets/d/1woKwKjgoL"&amp;"ssDvPcPeVyezB5izizAn4X1JDrys69n6xI/edit?usp=sharing"",""ยะลา!N718"")+IMPORTRANGE(""https://docs.google.com/spreadsheets/d/1qfrKjzMhm2HJfxQ-qVlJlJQ25Hne1d0khsySbZyGtPA/edit?usp=sharing"",""ระนอง!N718"")+IMPORTRANGE(""https://docs.google.com/spreadsheets/d/"&amp;"1IbSCnFOKpZsnFogBHJnL_isstZVaOMnFiIN0fGTPZZw/edit?usp=sharing"",""สงขลา!N718"")+IMPORTRANGE(""https://docs.google.com/spreadsheets/d/1q9nWasZJ-K8bFGvbE9n0qSRuKGA4Toe3Y89cKCiVtCU/edit?usp=sharing"",""สตูล!N718"")+IMPORTRANGE(""https://docs.google.com/sprea"&amp;"dsheets/d/18T20gbkS_WBjdscyTOV05cvq_JqvqQ17C81mpxf7Ncs/edit?usp=sharing"",""สุราษฎร์ธานี!N718"")"),0)</f>
        <v>0</v>
      </c>
      <c r="O718" s="49">
        <f t="shared" ca="1" si="490"/>
        <v>0</v>
      </c>
      <c r="P718" s="49">
        <f t="shared" ca="1" si="491"/>
        <v>0</v>
      </c>
      <c r="Q718" s="49">
        <f ca="1">IFERROR(__xludf.DUMMYFUNCTION("IMPORTRANGE(""https://docs.google.com/spreadsheets/d/1kKUcYdkIfrgTSj8iHHHB2MD2FAtwyyocFgqGQn6ADyI/edit?usp=sharing"",""กระบี่!Q718"")+IMPORTRANGE(""https://docs.google.com/spreadsheets/d/1GwtLaSlNZkLk7iDqcyZz22giiy40b_usZZBXYciEN1U/edit?usp=sharing"",""ชุ"&amp;"มพร!Q718"")+IMPORTRANGE(""https://docs.google.com/spreadsheets/d/16pAz3pOhQEZBhvFNMa5KGgZS6iKWpsKX0pg6tQmwFpo/edit?usp=sharing"",""ตรัง!Q718"")+IMPORTRANGE(""https://docs.google.com/spreadsheets/d/1Dj4jcHCTV9JXKCaMoheSXS52JE63kDKyG7bPXnFogHk/edit?usp=shar"&amp;"ing"",""นครศรีธรรมราช!Q718"")+IMPORTRANGE(""https://docs.google.com/spreadsheets/d/1iodCdmuK2GR3jzUwk8tpccY2JHQQA-87DLOtJP-ooyU/edit?usp=sharing"",""นราธิวาส!Q718"")+IMPORTRANGE(""https://docs.google.com/spreadsheets/d/1SDNX3JhDdYRuIOsj0Wh2M-Qa_eaXl0NbWmh"&amp;"AOTbfQAs/edit?usp=sharing"",""ปัตตานี!Q718"")+IMPORTRANGE(""https://docs.google.com/spreadsheets/d/16JDLGguT8s5DsGCND1KcwHP_AWR_zDMTqLHPLJUKhaU/edit?usp=sharing"",""พังงา!Q718"")+IMPORTRANGE(""https://docs.google.com/spreadsheets/d/17ht0gPKzzT3PObBL1XJkeR"&amp;"mntBXI7wGjpLV7QorqlTk/edit?usp=sharing"",""พัทลุง!Q718"")+IMPORTRANGE(""https://docs.google.com/spreadsheets/d/1rd4qoM1q_hsgaolqNGfrim9gbsoLxQsda4-vOz5x_BM/edit?usp=sharing"",""ภูเก็ต!Q718"")+IMPORTRANGE(""https://docs.google.com/spreadsheets/d/1woKwKjgoL"&amp;"ssDvPcPeVyezB5izizAn4X1JDrys69n6xI/edit?usp=sharing"",""ยะลา!Q718"")+IMPORTRANGE(""https://docs.google.com/spreadsheets/d/1qfrKjzMhm2HJfxQ-qVlJlJQ25Hne1d0khsySbZyGtPA/edit?usp=sharing"",""ระนอง!Q718"")+IMPORTRANGE(""https://docs.google.com/spreadsheets/d/"&amp;"1IbSCnFOKpZsnFogBHJnL_isstZVaOMnFiIN0fGTPZZw/edit?usp=sharing"",""สงขลา!Q718"")+IMPORTRANGE(""https://docs.google.com/spreadsheets/d/1q9nWasZJ-K8bFGvbE9n0qSRuKGA4Toe3Y89cKCiVtCU/edit?usp=sharing"",""สตูล!Q718"")+IMPORTRANGE(""https://docs.google.com/sprea"&amp;"dsheets/d/18T20gbkS_WBjdscyTOV05cvq_JqvqQ17C81mpxf7Ncs/edit?usp=sharing"",""สุราษฎร์ธานี!Q718"")"),0)</f>
        <v>0</v>
      </c>
      <c r="R718" s="49">
        <f ca="1">IFERROR(__xludf.DUMMYFUNCTION("IMPORTRANGE(""https://docs.google.com/spreadsheets/d/1kKUcYdkIfrgTSj8iHHHB2MD2FAtwyyocFgqGQn6ADyI/edit?usp=sharing"",""กระบี่!R718"")+IMPORTRANGE(""https://docs.google.com/spreadsheets/d/1GwtLaSlNZkLk7iDqcyZz22giiy40b_usZZBXYciEN1U/edit?usp=sharing"",""ชุ"&amp;"มพร!R718"")+IMPORTRANGE(""https://docs.google.com/spreadsheets/d/16pAz3pOhQEZBhvFNMa5KGgZS6iKWpsKX0pg6tQmwFpo/edit?usp=sharing"",""ตรัง!R718"")+IMPORTRANGE(""https://docs.google.com/spreadsheets/d/1Dj4jcHCTV9JXKCaMoheSXS52JE63kDKyG7bPXnFogHk/edit?usp=shar"&amp;"ing"",""นครศรีธรรมราช!R718"")+IMPORTRANGE(""https://docs.google.com/spreadsheets/d/1iodCdmuK2GR3jzUwk8tpccY2JHQQA-87DLOtJP-ooyU/edit?usp=sharing"",""นราธิวาส!R718"")+IMPORTRANGE(""https://docs.google.com/spreadsheets/d/1SDNX3JhDdYRuIOsj0Wh2M-Qa_eaXl0NbWmh"&amp;"AOTbfQAs/edit?usp=sharing"",""ปัตตานี!R718"")+IMPORTRANGE(""https://docs.google.com/spreadsheets/d/16JDLGguT8s5DsGCND1KcwHP_AWR_zDMTqLHPLJUKhaU/edit?usp=sharing"",""พังงา!R718"")+IMPORTRANGE(""https://docs.google.com/spreadsheets/d/17ht0gPKzzT3PObBL1XJkeR"&amp;"mntBXI7wGjpLV7QorqlTk/edit?usp=sharing"",""พัทลุง!R718"")+IMPORTRANGE(""https://docs.google.com/spreadsheets/d/1rd4qoM1q_hsgaolqNGfrim9gbsoLxQsda4-vOz5x_BM/edit?usp=sharing"",""ภูเก็ต!R718"")+IMPORTRANGE(""https://docs.google.com/spreadsheets/d/1woKwKjgoL"&amp;"ssDvPcPeVyezB5izizAn4X1JDrys69n6xI/edit?usp=sharing"",""ยะลา!R718"")+IMPORTRANGE(""https://docs.google.com/spreadsheets/d/1qfrKjzMhm2HJfxQ-qVlJlJQ25Hne1d0khsySbZyGtPA/edit?usp=sharing"",""ระนอง!R718"")+IMPORTRANGE(""https://docs.google.com/spreadsheets/d/"&amp;"1IbSCnFOKpZsnFogBHJnL_isstZVaOMnFiIN0fGTPZZw/edit?usp=sharing"",""สงขลา!R718"")+IMPORTRANGE(""https://docs.google.com/spreadsheets/d/1q9nWasZJ-K8bFGvbE9n0qSRuKGA4Toe3Y89cKCiVtCU/edit?usp=sharing"",""สตูล!R718"")+IMPORTRANGE(""https://docs.google.com/sprea"&amp;"dsheets/d/18T20gbkS_WBjdscyTOV05cvq_JqvqQ17C81mpxf7Ncs/edit?usp=sharing"",""สุราษฎร์ธานี!R718"")"),0)</f>
        <v>0</v>
      </c>
      <c r="S718" s="49">
        <f ca="1">IFERROR(__xludf.DUMMYFUNCTION("IMPORTRANGE(""https://docs.google.com/spreadsheets/d/1kKUcYdkIfrgTSj8iHHHB2MD2FAtwyyocFgqGQn6ADyI/edit?usp=sharing"",""กระบี่!S718"")+IMPORTRANGE(""https://docs.google.com/spreadsheets/d/1GwtLaSlNZkLk7iDqcyZz22giiy40b_usZZBXYciEN1U/edit?usp=sharing"",""ชุ"&amp;"มพร!S718"")+IMPORTRANGE(""https://docs.google.com/spreadsheets/d/16pAz3pOhQEZBhvFNMa5KGgZS6iKWpsKX0pg6tQmwFpo/edit?usp=sharing"",""ตรัง!S718"")+IMPORTRANGE(""https://docs.google.com/spreadsheets/d/1Dj4jcHCTV9JXKCaMoheSXS52JE63kDKyG7bPXnFogHk/edit?usp=shar"&amp;"ing"",""นครศรีธรรมราช!S718"")+IMPORTRANGE(""https://docs.google.com/spreadsheets/d/1iodCdmuK2GR3jzUwk8tpccY2JHQQA-87DLOtJP-ooyU/edit?usp=sharing"",""นราธิวาส!S718"")+IMPORTRANGE(""https://docs.google.com/spreadsheets/d/1SDNX3JhDdYRuIOsj0Wh2M-Qa_eaXl0NbWmh"&amp;"AOTbfQAs/edit?usp=sharing"",""ปัตตานี!S718"")+IMPORTRANGE(""https://docs.google.com/spreadsheets/d/16JDLGguT8s5DsGCND1KcwHP_AWR_zDMTqLHPLJUKhaU/edit?usp=sharing"",""พังงา!S718"")+IMPORTRANGE(""https://docs.google.com/spreadsheets/d/17ht0gPKzzT3PObBL1XJkeR"&amp;"mntBXI7wGjpLV7QorqlTk/edit?usp=sharing"",""พัทลุง!S718"")+IMPORTRANGE(""https://docs.google.com/spreadsheets/d/1rd4qoM1q_hsgaolqNGfrim9gbsoLxQsda4-vOz5x_BM/edit?usp=sharing"",""ภูเก็ต!S718"")+IMPORTRANGE(""https://docs.google.com/spreadsheets/d/1woKwKjgoL"&amp;"ssDvPcPeVyezB5izizAn4X1JDrys69n6xI/edit?usp=sharing"",""ยะลา!S718"")+IMPORTRANGE(""https://docs.google.com/spreadsheets/d/1qfrKjzMhm2HJfxQ-qVlJlJQ25Hne1d0khsySbZyGtPA/edit?usp=sharing"",""ระนอง!S718"")+IMPORTRANGE(""https://docs.google.com/spreadsheets/d/"&amp;"1IbSCnFOKpZsnFogBHJnL_isstZVaOMnFiIN0fGTPZZw/edit?usp=sharing"",""สงขลา!S718"")+IMPORTRANGE(""https://docs.google.com/spreadsheets/d/1q9nWasZJ-K8bFGvbE9n0qSRuKGA4Toe3Y89cKCiVtCU/edit?usp=sharing"",""สตูล!S718"")+IMPORTRANGE(""https://docs.google.com/sprea"&amp;"dsheets/d/18T20gbkS_WBjdscyTOV05cvq_JqvqQ17C81mpxf7Ncs/edit?usp=sharing"",""สุราษฎร์ธานี!S718"")"),0)</f>
        <v>0</v>
      </c>
      <c r="T718" s="49">
        <f t="shared" ca="1" si="493"/>
        <v>0</v>
      </c>
      <c r="U718" s="49">
        <f t="shared" ca="1" si="494"/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47">
        <f ca="1">IFERROR(__xludf.DUMMYFUNCTION("IMPORTRANGE(""https://docs.google.com/spreadsheets/d/1kKUcYdkIfrgTSj8iHHHB2MD2FAtwyyocFgqGQn6ADyI/edit?usp=sharing"",""กระบี่!L719"")+IMPORTRANGE(""https://docs.google.com/spreadsheets/d/1GwtLaSlNZkLk7iDqcyZz22giiy40b_usZZBXYciEN1U/edit?usp=sharing"",""ชุ"&amp;"มพร!L719"")+IMPORTRANGE(""https://docs.google.com/spreadsheets/d/16pAz3pOhQEZBhvFNMa5KGgZS6iKWpsKX0pg6tQmwFpo/edit?usp=sharing"",""ตรัง!L719"")+IMPORTRANGE(""https://docs.google.com/spreadsheets/d/1Dj4jcHCTV9JXKCaMoheSXS52JE63kDKyG7bPXnFogHk/edit?usp=shar"&amp;"ing"",""นครศรีธรรมราช!L719"")+IMPORTRANGE(""https://docs.google.com/spreadsheets/d/1iodCdmuK2GR3jzUwk8tpccY2JHQQA-87DLOtJP-ooyU/edit?usp=sharing"",""นราธิวาส!L719"")+IMPORTRANGE(""https://docs.google.com/spreadsheets/d/1SDNX3JhDdYRuIOsj0Wh2M-Qa_eaXl0NbWmh"&amp;"AOTbfQAs/edit?usp=sharing"",""ปัตตานี!L719"")+IMPORTRANGE(""https://docs.google.com/spreadsheets/d/16JDLGguT8s5DsGCND1KcwHP_AWR_zDMTqLHPLJUKhaU/edit?usp=sharing"",""พังงา!L719"")+IMPORTRANGE(""https://docs.google.com/spreadsheets/d/17ht0gPKzzT3PObBL1XJkeR"&amp;"mntBXI7wGjpLV7QorqlTk/edit?usp=sharing"",""พัทลุง!L719"")+IMPORTRANGE(""https://docs.google.com/spreadsheets/d/1rd4qoM1q_hsgaolqNGfrim9gbsoLxQsda4-vOz5x_BM/edit?usp=sharing"",""ภูเก็ต!L719"")+IMPORTRANGE(""https://docs.google.com/spreadsheets/d/1woKwKjgoL"&amp;"ssDvPcPeVyezB5izizAn4X1JDrys69n6xI/edit?usp=sharing"",""ยะลา!L719"")+IMPORTRANGE(""https://docs.google.com/spreadsheets/d/1qfrKjzMhm2HJfxQ-qVlJlJQ25Hne1d0khsySbZyGtPA/edit?usp=sharing"",""ระนอง!L719"")+IMPORTRANGE(""https://docs.google.com/spreadsheets/d/"&amp;"1IbSCnFOKpZsnFogBHJnL_isstZVaOMnFiIN0fGTPZZw/edit?usp=sharing"",""สงขลา!L719"")+IMPORTRANGE(""https://docs.google.com/spreadsheets/d/1q9nWasZJ-K8bFGvbE9n0qSRuKGA4Toe3Y89cKCiVtCU/edit?usp=sharing"",""สตูล!L719"")+IMPORTRANGE(""https://docs.google.com/sprea"&amp;"dsheets/d/18T20gbkS_WBjdscyTOV05cvq_JqvqQ17C81mpxf7Ncs/edit?usp=sharing"",""สุราษฎร์ธานี!L719"")"),0)</f>
        <v>0</v>
      </c>
      <c r="M719" s="47">
        <f ca="1">IFERROR(__xludf.DUMMYFUNCTION("IMPORTRANGE(""https://docs.google.com/spreadsheets/d/1kKUcYdkIfrgTSj8iHHHB2MD2FAtwyyocFgqGQn6ADyI/edit?usp=sharing"",""กระบี่!M719"")+IMPORTRANGE(""https://docs.google.com/spreadsheets/d/1GwtLaSlNZkLk7iDqcyZz22giiy40b_usZZBXYciEN1U/edit?usp=sharing"",""ชุ"&amp;"มพร!M719"")+IMPORTRANGE(""https://docs.google.com/spreadsheets/d/16pAz3pOhQEZBhvFNMa5KGgZS6iKWpsKX0pg6tQmwFpo/edit?usp=sharing"",""ตรัง!M719"")+IMPORTRANGE(""https://docs.google.com/spreadsheets/d/1Dj4jcHCTV9JXKCaMoheSXS52JE63kDKyG7bPXnFogHk/edit?usp=shar"&amp;"ing"",""นครศรีธรรมราช!M719"")+IMPORTRANGE(""https://docs.google.com/spreadsheets/d/1iodCdmuK2GR3jzUwk8tpccY2JHQQA-87DLOtJP-ooyU/edit?usp=sharing"",""นราธิวาส!M719"")+IMPORTRANGE(""https://docs.google.com/spreadsheets/d/1SDNX3JhDdYRuIOsj0Wh2M-Qa_eaXl0NbWmh"&amp;"AOTbfQAs/edit?usp=sharing"",""ปัตตานี!M719"")+IMPORTRANGE(""https://docs.google.com/spreadsheets/d/16JDLGguT8s5DsGCND1KcwHP_AWR_zDMTqLHPLJUKhaU/edit?usp=sharing"",""พังงา!M719"")+IMPORTRANGE(""https://docs.google.com/spreadsheets/d/17ht0gPKzzT3PObBL1XJkeR"&amp;"mntBXI7wGjpLV7QorqlTk/edit?usp=sharing"",""พัทลุง!M719"")+IMPORTRANGE(""https://docs.google.com/spreadsheets/d/1rd4qoM1q_hsgaolqNGfrim9gbsoLxQsda4-vOz5x_BM/edit?usp=sharing"",""ภูเก็ต!M719"")+IMPORTRANGE(""https://docs.google.com/spreadsheets/d/1woKwKjgoL"&amp;"ssDvPcPeVyezB5izizAn4X1JDrys69n6xI/edit?usp=sharing"",""ยะลา!M719"")+IMPORTRANGE(""https://docs.google.com/spreadsheets/d/1qfrKjzMhm2HJfxQ-qVlJlJQ25Hne1d0khsySbZyGtPA/edit?usp=sharing"",""ระนอง!M719"")+IMPORTRANGE(""https://docs.google.com/spreadsheets/d/"&amp;"1IbSCnFOKpZsnFogBHJnL_isstZVaOMnFiIN0fGTPZZw/edit?usp=sharing"",""สงขลา!M719"")+IMPORTRANGE(""https://docs.google.com/spreadsheets/d/1q9nWasZJ-K8bFGvbE9n0qSRuKGA4Toe3Y89cKCiVtCU/edit?usp=sharing"",""สตูล!M719"")+IMPORTRANGE(""https://docs.google.com/sprea"&amp;"dsheets/d/18T20gbkS_WBjdscyTOV05cvq_JqvqQ17C81mpxf7Ncs/edit?usp=sharing"",""สุราษฎร์ธานี!M719"")"),0)</f>
        <v>0</v>
      </c>
      <c r="N719" s="47">
        <f ca="1">IFERROR(__xludf.DUMMYFUNCTION("IMPORTRANGE(""https://docs.google.com/spreadsheets/d/1kKUcYdkIfrgTSj8iHHHB2MD2FAtwyyocFgqGQn6ADyI/edit?usp=sharing"",""กระบี่!N719"")+IMPORTRANGE(""https://docs.google.com/spreadsheets/d/1GwtLaSlNZkLk7iDqcyZz22giiy40b_usZZBXYciEN1U/edit?usp=sharing"",""ชุ"&amp;"มพร!N719"")+IMPORTRANGE(""https://docs.google.com/spreadsheets/d/16pAz3pOhQEZBhvFNMa5KGgZS6iKWpsKX0pg6tQmwFpo/edit?usp=sharing"",""ตรัง!N719"")+IMPORTRANGE(""https://docs.google.com/spreadsheets/d/1Dj4jcHCTV9JXKCaMoheSXS52JE63kDKyG7bPXnFogHk/edit?usp=shar"&amp;"ing"",""นครศรีธรรมราช!N719"")+IMPORTRANGE(""https://docs.google.com/spreadsheets/d/1iodCdmuK2GR3jzUwk8tpccY2JHQQA-87DLOtJP-ooyU/edit?usp=sharing"",""นราธิวาส!N719"")+IMPORTRANGE(""https://docs.google.com/spreadsheets/d/1SDNX3JhDdYRuIOsj0Wh2M-Qa_eaXl0NbWmh"&amp;"AOTbfQAs/edit?usp=sharing"",""ปัตตานี!N719"")+IMPORTRANGE(""https://docs.google.com/spreadsheets/d/16JDLGguT8s5DsGCND1KcwHP_AWR_zDMTqLHPLJUKhaU/edit?usp=sharing"",""พังงา!N719"")+IMPORTRANGE(""https://docs.google.com/spreadsheets/d/17ht0gPKzzT3PObBL1XJkeR"&amp;"mntBXI7wGjpLV7QorqlTk/edit?usp=sharing"",""พัทลุง!N719"")+IMPORTRANGE(""https://docs.google.com/spreadsheets/d/1rd4qoM1q_hsgaolqNGfrim9gbsoLxQsda4-vOz5x_BM/edit?usp=sharing"",""ภูเก็ต!N719"")+IMPORTRANGE(""https://docs.google.com/spreadsheets/d/1woKwKjgoL"&amp;"ssDvPcPeVyezB5izizAn4X1JDrys69n6xI/edit?usp=sharing"",""ยะลา!N719"")+IMPORTRANGE(""https://docs.google.com/spreadsheets/d/1qfrKjzMhm2HJfxQ-qVlJlJQ25Hne1d0khsySbZyGtPA/edit?usp=sharing"",""ระนอง!N719"")+IMPORTRANGE(""https://docs.google.com/spreadsheets/d/"&amp;"1IbSCnFOKpZsnFogBHJnL_isstZVaOMnFiIN0fGTPZZw/edit?usp=sharing"",""สงขลา!N719"")+IMPORTRANGE(""https://docs.google.com/spreadsheets/d/1q9nWasZJ-K8bFGvbE9n0qSRuKGA4Toe3Y89cKCiVtCU/edit?usp=sharing"",""สตูล!N719"")+IMPORTRANGE(""https://docs.google.com/sprea"&amp;"dsheets/d/18T20gbkS_WBjdscyTOV05cvq_JqvqQ17C81mpxf7Ncs/edit?usp=sharing"",""สุราษฎร์ธานี!N719"")"),0)</f>
        <v>0</v>
      </c>
      <c r="O719" s="47">
        <f t="shared" ca="1" si="490"/>
        <v>0</v>
      </c>
      <c r="P719" s="47">
        <f t="shared" ca="1" si="491"/>
        <v>0</v>
      </c>
      <c r="Q719" s="47">
        <f ca="1">IFERROR(__xludf.DUMMYFUNCTION("IMPORTRANGE(""https://docs.google.com/spreadsheets/d/1kKUcYdkIfrgTSj8iHHHB2MD2FAtwyyocFgqGQn6ADyI/edit?usp=sharing"",""กระบี่!Q719"")+IMPORTRANGE(""https://docs.google.com/spreadsheets/d/1GwtLaSlNZkLk7iDqcyZz22giiy40b_usZZBXYciEN1U/edit?usp=sharing"",""ชุ"&amp;"มพร!Q719"")+IMPORTRANGE(""https://docs.google.com/spreadsheets/d/16pAz3pOhQEZBhvFNMa5KGgZS6iKWpsKX0pg6tQmwFpo/edit?usp=sharing"",""ตรัง!Q719"")+IMPORTRANGE(""https://docs.google.com/spreadsheets/d/1Dj4jcHCTV9JXKCaMoheSXS52JE63kDKyG7bPXnFogHk/edit?usp=shar"&amp;"ing"",""นครศรีธรรมราช!Q719"")+IMPORTRANGE(""https://docs.google.com/spreadsheets/d/1iodCdmuK2GR3jzUwk8tpccY2JHQQA-87DLOtJP-ooyU/edit?usp=sharing"",""นราธิวาส!Q719"")+IMPORTRANGE(""https://docs.google.com/spreadsheets/d/1SDNX3JhDdYRuIOsj0Wh2M-Qa_eaXl0NbWmh"&amp;"AOTbfQAs/edit?usp=sharing"",""ปัตตานี!Q719"")+IMPORTRANGE(""https://docs.google.com/spreadsheets/d/16JDLGguT8s5DsGCND1KcwHP_AWR_zDMTqLHPLJUKhaU/edit?usp=sharing"",""พังงา!Q719"")+IMPORTRANGE(""https://docs.google.com/spreadsheets/d/17ht0gPKzzT3PObBL1XJkeR"&amp;"mntBXI7wGjpLV7QorqlTk/edit?usp=sharing"",""พัทลุง!Q719"")+IMPORTRANGE(""https://docs.google.com/spreadsheets/d/1rd4qoM1q_hsgaolqNGfrim9gbsoLxQsda4-vOz5x_BM/edit?usp=sharing"",""ภูเก็ต!Q719"")+IMPORTRANGE(""https://docs.google.com/spreadsheets/d/1woKwKjgoL"&amp;"ssDvPcPeVyezB5izizAn4X1JDrys69n6xI/edit?usp=sharing"",""ยะลา!Q719"")+IMPORTRANGE(""https://docs.google.com/spreadsheets/d/1qfrKjzMhm2HJfxQ-qVlJlJQ25Hne1d0khsySbZyGtPA/edit?usp=sharing"",""ระนอง!Q719"")+IMPORTRANGE(""https://docs.google.com/spreadsheets/d/"&amp;"1IbSCnFOKpZsnFogBHJnL_isstZVaOMnFiIN0fGTPZZw/edit?usp=sharing"",""สงขลา!Q719"")+IMPORTRANGE(""https://docs.google.com/spreadsheets/d/1q9nWasZJ-K8bFGvbE9n0qSRuKGA4Toe3Y89cKCiVtCU/edit?usp=sharing"",""สตูล!Q719"")+IMPORTRANGE(""https://docs.google.com/sprea"&amp;"dsheets/d/18T20gbkS_WBjdscyTOV05cvq_JqvqQ17C81mpxf7Ncs/edit?usp=sharing"",""สุราษฎร์ธานี!Q719"")"),0)</f>
        <v>0</v>
      </c>
      <c r="R719" s="47">
        <f ca="1">IFERROR(__xludf.DUMMYFUNCTION("IMPORTRANGE(""https://docs.google.com/spreadsheets/d/1kKUcYdkIfrgTSj8iHHHB2MD2FAtwyyocFgqGQn6ADyI/edit?usp=sharing"",""กระบี่!R719"")+IMPORTRANGE(""https://docs.google.com/spreadsheets/d/1GwtLaSlNZkLk7iDqcyZz22giiy40b_usZZBXYciEN1U/edit?usp=sharing"",""ชุ"&amp;"มพร!R719"")+IMPORTRANGE(""https://docs.google.com/spreadsheets/d/16pAz3pOhQEZBhvFNMa5KGgZS6iKWpsKX0pg6tQmwFpo/edit?usp=sharing"",""ตรัง!R719"")+IMPORTRANGE(""https://docs.google.com/spreadsheets/d/1Dj4jcHCTV9JXKCaMoheSXS52JE63kDKyG7bPXnFogHk/edit?usp=shar"&amp;"ing"",""นครศรีธรรมราช!R719"")+IMPORTRANGE(""https://docs.google.com/spreadsheets/d/1iodCdmuK2GR3jzUwk8tpccY2JHQQA-87DLOtJP-ooyU/edit?usp=sharing"",""นราธิวาส!R719"")+IMPORTRANGE(""https://docs.google.com/spreadsheets/d/1SDNX3JhDdYRuIOsj0Wh2M-Qa_eaXl0NbWmh"&amp;"AOTbfQAs/edit?usp=sharing"",""ปัตตานี!R719"")+IMPORTRANGE(""https://docs.google.com/spreadsheets/d/16JDLGguT8s5DsGCND1KcwHP_AWR_zDMTqLHPLJUKhaU/edit?usp=sharing"",""พังงา!R719"")+IMPORTRANGE(""https://docs.google.com/spreadsheets/d/17ht0gPKzzT3PObBL1XJkeR"&amp;"mntBXI7wGjpLV7QorqlTk/edit?usp=sharing"",""พัทลุง!R719"")+IMPORTRANGE(""https://docs.google.com/spreadsheets/d/1rd4qoM1q_hsgaolqNGfrim9gbsoLxQsda4-vOz5x_BM/edit?usp=sharing"",""ภูเก็ต!R719"")+IMPORTRANGE(""https://docs.google.com/spreadsheets/d/1woKwKjgoL"&amp;"ssDvPcPeVyezB5izizAn4X1JDrys69n6xI/edit?usp=sharing"",""ยะลา!R719"")+IMPORTRANGE(""https://docs.google.com/spreadsheets/d/1qfrKjzMhm2HJfxQ-qVlJlJQ25Hne1d0khsySbZyGtPA/edit?usp=sharing"",""ระนอง!R719"")+IMPORTRANGE(""https://docs.google.com/spreadsheets/d/"&amp;"1IbSCnFOKpZsnFogBHJnL_isstZVaOMnFiIN0fGTPZZw/edit?usp=sharing"",""สงขลา!R719"")+IMPORTRANGE(""https://docs.google.com/spreadsheets/d/1q9nWasZJ-K8bFGvbE9n0qSRuKGA4Toe3Y89cKCiVtCU/edit?usp=sharing"",""สตูล!R719"")+IMPORTRANGE(""https://docs.google.com/sprea"&amp;"dsheets/d/18T20gbkS_WBjdscyTOV05cvq_JqvqQ17C81mpxf7Ncs/edit?usp=sharing"",""สุราษฎร์ธานี!R719"")"),0)</f>
        <v>0</v>
      </c>
      <c r="S719" s="47">
        <f ca="1">IFERROR(__xludf.DUMMYFUNCTION("IMPORTRANGE(""https://docs.google.com/spreadsheets/d/1kKUcYdkIfrgTSj8iHHHB2MD2FAtwyyocFgqGQn6ADyI/edit?usp=sharing"",""กระบี่!S719"")+IMPORTRANGE(""https://docs.google.com/spreadsheets/d/1GwtLaSlNZkLk7iDqcyZz22giiy40b_usZZBXYciEN1U/edit?usp=sharing"",""ชุ"&amp;"มพร!S719"")+IMPORTRANGE(""https://docs.google.com/spreadsheets/d/16pAz3pOhQEZBhvFNMa5KGgZS6iKWpsKX0pg6tQmwFpo/edit?usp=sharing"",""ตรัง!S719"")+IMPORTRANGE(""https://docs.google.com/spreadsheets/d/1Dj4jcHCTV9JXKCaMoheSXS52JE63kDKyG7bPXnFogHk/edit?usp=shar"&amp;"ing"",""นครศรีธรรมราช!S719"")+IMPORTRANGE(""https://docs.google.com/spreadsheets/d/1iodCdmuK2GR3jzUwk8tpccY2JHQQA-87DLOtJP-ooyU/edit?usp=sharing"",""นราธิวาส!S719"")+IMPORTRANGE(""https://docs.google.com/spreadsheets/d/1SDNX3JhDdYRuIOsj0Wh2M-Qa_eaXl0NbWmh"&amp;"AOTbfQAs/edit?usp=sharing"",""ปัตตานี!S719"")+IMPORTRANGE(""https://docs.google.com/spreadsheets/d/16JDLGguT8s5DsGCND1KcwHP_AWR_zDMTqLHPLJUKhaU/edit?usp=sharing"",""พังงา!S719"")+IMPORTRANGE(""https://docs.google.com/spreadsheets/d/17ht0gPKzzT3PObBL1XJkeR"&amp;"mntBXI7wGjpLV7QorqlTk/edit?usp=sharing"",""พัทลุง!S719"")+IMPORTRANGE(""https://docs.google.com/spreadsheets/d/1rd4qoM1q_hsgaolqNGfrim9gbsoLxQsda4-vOz5x_BM/edit?usp=sharing"",""ภูเก็ต!S719"")+IMPORTRANGE(""https://docs.google.com/spreadsheets/d/1woKwKjgoL"&amp;"ssDvPcPeVyezB5izizAn4X1JDrys69n6xI/edit?usp=sharing"",""ยะลา!S719"")+IMPORTRANGE(""https://docs.google.com/spreadsheets/d/1qfrKjzMhm2HJfxQ-qVlJlJQ25Hne1d0khsySbZyGtPA/edit?usp=sharing"",""ระนอง!S719"")+IMPORTRANGE(""https://docs.google.com/spreadsheets/d/"&amp;"1IbSCnFOKpZsnFogBHJnL_isstZVaOMnFiIN0fGTPZZw/edit?usp=sharing"",""สงขลา!S719"")+IMPORTRANGE(""https://docs.google.com/spreadsheets/d/1q9nWasZJ-K8bFGvbE9n0qSRuKGA4Toe3Y89cKCiVtCU/edit?usp=sharing"",""สตูล!S719"")+IMPORTRANGE(""https://docs.google.com/sprea"&amp;"dsheets/d/18T20gbkS_WBjdscyTOV05cvq_JqvqQ17C81mpxf7Ncs/edit?usp=sharing"",""สุราษฎร์ธานี!S719"")"),0)</f>
        <v>0</v>
      </c>
      <c r="T719" s="47">
        <f t="shared" ca="1" si="493"/>
        <v>0</v>
      </c>
      <c r="U719" s="47">
        <f t="shared" ca="1" si="494"/>
        <v>0</v>
      </c>
    </row>
    <row r="720" spans="1:21" ht="19.5" hidden="1" x14ac:dyDescent="0.3">
      <c r="A720" s="128"/>
      <c r="B720" s="159"/>
      <c r="C720" s="159"/>
      <c r="D720" s="491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47">
        <f t="shared" ref="L720:N720" ca="1" si="501">L721+L722</f>
        <v>0</v>
      </c>
      <c r="M720" s="47">
        <f t="shared" ca="1" si="501"/>
        <v>0</v>
      </c>
      <c r="N720" s="47">
        <f t="shared" ca="1" si="501"/>
        <v>0</v>
      </c>
      <c r="O720" s="47">
        <f t="shared" ca="1" si="490"/>
        <v>0</v>
      </c>
      <c r="P720" s="47">
        <f t="shared" ca="1" si="491"/>
        <v>0</v>
      </c>
      <c r="Q720" s="47">
        <f t="shared" ref="Q720:S720" ca="1" si="502">Q721+Q722</f>
        <v>0</v>
      </c>
      <c r="R720" s="47">
        <f t="shared" ca="1" si="502"/>
        <v>0</v>
      </c>
      <c r="S720" s="47">
        <f t="shared" ca="1" si="502"/>
        <v>0</v>
      </c>
      <c r="T720" s="47">
        <f t="shared" ca="1" si="493"/>
        <v>0</v>
      </c>
      <c r="U720" s="47">
        <f t="shared" ca="1" si="494"/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49">
        <f ca="1">IFERROR(__xludf.DUMMYFUNCTION("IMPORTRANGE(""https://docs.google.com/spreadsheets/d/1kKUcYdkIfrgTSj8iHHHB2MD2FAtwyyocFgqGQn6ADyI/edit?usp=sharing"",""กระบี่!L721"")+IMPORTRANGE(""https://docs.google.com/spreadsheets/d/1GwtLaSlNZkLk7iDqcyZz22giiy40b_usZZBXYciEN1U/edit?usp=sharing"",""ชุ"&amp;"มพร!L721"")+IMPORTRANGE(""https://docs.google.com/spreadsheets/d/16pAz3pOhQEZBhvFNMa5KGgZS6iKWpsKX0pg6tQmwFpo/edit?usp=sharing"",""ตรัง!L721"")+IMPORTRANGE(""https://docs.google.com/spreadsheets/d/1Dj4jcHCTV9JXKCaMoheSXS52JE63kDKyG7bPXnFogHk/edit?usp=shar"&amp;"ing"",""นครศรีธรรมราช!L721"")+IMPORTRANGE(""https://docs.google.com/spreadsheets/d/1iodCdmuK2GR3jzUwk8tpccY2JHQQA-87DLOtJP-ooyU/edit?usp=sharing"",""นราธิวาส!L721"")+IMPORTRANGE(""https://docs.google.com/spreadsheets/d/1SDNX3JhDdYRuIOsj0Wh2M-Qa_eaXl0NbWmh"&amp;"AOTbfQAs/edit?usp=sharing"",""ปัตตานี!L721"")+IMPORTRANGE(""https://docs.google.com/spreadsheets/d/16JDLGguT8s5DsGCND1KcwHP_AWR_zDMTqLHPLJUKhaU/edit?usp=sharing"",""พังงา!L721"")+IMPORTRANGE(""https://docs.google.com/spreadsheets/d/17ht0gPKzzT3PObBL1XJkeR"&amp;"mntBXI7wGjpLV7QorqlTk/edit?usp=sharing"",""พัทลุง!L721"")+IMPORTRANGE(""https://docs.google.com/spreadsheets/d/1rd4qoM1q_hsgaolqNGfrim9gbsoLxQsda4-vOz5x_BM/edit?usp=sharing"",""ภูเก็ต!L721"")+IMPORTRANGE(""https://docs.google.com/spreadsheets/d/1woKwKjgoL"&amp;"ssDvPcPeVyezB5izizAn4X1JDrys69n6xI/edit?usp=sharing"",""ยะลา!L721"")+IMPORTRANGE(""https://docs.google.com/spreadsheets/d/1qfrKjzMhm2HJfxQ-qVlJlJQ25Hne1d0khsySbZyGtPA/edit?usp=sharing"",""ระนอง!L721"")+IMPORTRANGE(""https://docs.google.com/spreadsheets/d/"&amp;"1IbSCnFOKpZsnFogBHJnL_isstZVaOMnFiIN0fGTPZZw/edit?usp=sharing"",""สงขลา!L721"")+IMPORTRANGE(""https://docs.google.com/spreadsheets/d/1q9nWasZJ-K8bFGvbE9n0qSRuKGA4Toe3Y89cKCiVtCU/edit?usp=sharing"",""สตูล!L721"")+IMPORTRANGE(""https://docs.google.com/sprea"&amp;"dsheets/d/18T20gbkS_WBjdscyTOV05cvq_JqvqQ17C81mpxf7Ncs/edit?usp=sharing"",""สุราษฎร์ธานี!L721"")"),0)</f>
        <v>0</v>
      </c>
      <c r="M721" s="49">
        <f ca="1">IFERROR(__xludf.DUMMYFUNCTION("IMPORTRANGE(""https://docs.google.com/spreadsheets/d/1kKUcYdkIfrgTSj8iHHHB2MD2FAtwyyocFgqGQn6ADyI/edit?usp=sharing"",""กระบี่!M721"")+IMPORTRANGE(""https://docs.google.com/spreadsheets/d/1GwtLaSlNZkLk7iDqcyZz22giiy40b_usZZBXYciEN1U/edit?usp=sharing"",""ชุ"&amp;"มพร!M721"")+IMPORTRANGE(""https://docs.google.com/spreadsheets/d/16pAz3pOhQEZBhvFNMa5KGgZS6iKWpsKX0pg6tQmwFpo/edit?usp=sharing"",""ตรัง!M721"")+IMPORTRANGE(""https://docs.google.com/spreadsheets/d/1Dj4jcHCTV9JXKCaMoheSXS52JE63kDKyG7bPXnFogHk/edit?usp=shar"&amp;"ing"",""นครศรีธรรมราช!M721"")+IMPORTRANGE(""https://docs.google.com/spreadsheets/d/1iodCdmuK2GR3jzUwk8tpccY2JHQQA-87DLOtJP-ooyU/edit?usp=sharing"",""นราธิวาส!M721"")+IMPORTRANGE(""https://docs.google.com/spreadsheets/d/1SDNX3JhDdYRuIOsj0Wh2M-Qa_eaXl0NbWmh"&amp;"AOTbfQAs/edit?usp=sharing"",""ปัตตานี!M721"")+IMPORTRANGE(""https://docs.google.com/spreadsheets/d/16JDLGguT8s5DsGCND1KcwHP_AWR_zDMTqLHPLJUKhaU/edit?usp=sharing"",""พังงา!M721"")+IMPORTRANGE(""https://docs.google.com/spreadsheets/d/17ht0gPKzzT3PObBL1XJkeR"&amp;"mntBXI7wGjpLV7QorqlTk/edit?usp=sharing"",""พัทลุง!M721"")+IMPORTRANGE(""https://docs.google.com/spreadsheets/d/1rd4qoM1q_hsgaolqNGfrim9gbsoLxQsda4-vOz5x_BM/edit?usp=sharing"",""ภูเก็ต!M721"")+IMPORTRANGE(""https://docs.google.com/spreadsheets/d/1woKwKjgoL"&amp;"ssDvPcPeVyezB5izizAn4X1JDrys69n6xI/edit?usp=sharing"",""ยะลา!M721"")+IMPORTRANGE(""https://docs.google.com/spreadsheets/d/1qfrKjzMhm2HJfxQ-qVlJlJQ25Hne1d0khsySbZyGtPA/edit?usp=sharing"",""ระนอง!M721"")+IMPORTRANGE(""https://docs.google.com/spreadsheets/d/"&amp;"1IbSCnFOKpZsnFogBHJnL_isstZVaOMnFiIN0fGTPZZw/edit?usp=sharing"",""สงขลา!M721"")+IMPORTRANGE(""https://docs.google.com/spreadsheets/d/1q9nWasZJ-K8bFGvbE9n0qSRuKGA4Toe3Y89cKCiVtCU/edit?usp=sharing"",""สตูล!M721"")+IMPORTRANGE(""https://docs.google.com/sprea"&amp;"dsheets/d/18T20gbkS_WBjdscyTOV05cvq_JqvqQ17C81mpxf7Ncs/edit?usp=sharing"",""สุราษฎร์ธานี!M721"")"),0)</f>
        <v>0</v>
      </c>
      <c r="N721" s="49">
        <f ca="1">IFERROR(__xludf.DUMMYFUNCTION("IMPORTRANGE(""https://docs.google.com/spreadsheets/d/1kKUcYdkIfrgTSj8iHHHB2MD2FAtwyyocFgqGQn6ADyI/edit?usp=sharing"",""กระบี่!N721"")+IMPORTRANGE(""https://docs.google.com/spreadsheets/d/1GwtLaSlNZkLk7iDqcyZz22giiy40b_usZZBXYciEN1U/edit?usp=sharing"",""ชุ"&amp;"มพร!N721"")+IMPORTRANGE(""https://docs.google.com/spreadsheets/d/16pAz3pOhQEZBhvFNMa5KGgZS6iKWpsKX0pg6tQmwFpo/edit?usp=sharing"",""ตรัง!N721"")+IMPORTRANGE(""https://docs.google.com/spreadsheets/d/1Dj4jcHCTV9JXKCaMoheSXS52JE63kDKyG7bPXnFogHk/edit?usp=shar"&amp;"ing"",""นครศรีธรรมราช!N721"")+IMPORTRANGE(""https://docs.google.com/spreadsheets/d/1iodCdmuK2GR3jzUwk8tpccY2JHQQA-87DLOtJP-ooyU/edit?usp=sharing"",""นราธิวาส!N721"")+IMPORTRANGE(""https://docs.google.com/spreadsheets/d/1SDNX3JhDdYRuIOsj0Wh2M-Qa_eaXl0NbWmh"&amp;"AOTbfQAs/edit?usp=sharing"",""ปัตตานี!N721"")+IMPORTRANGE(""https://docs.google.com/spreadsheets/d/16JDLGguT8s5DsGCND1KcwHP_AWR_zDMTqLHPLJUKhaU/edit?usp=sharing"",""พังงา!N721"")+IMPORTRANGE(""https://docs.google.com/spreadsheets/d/17ht0gPKzzT3PObBL1XJkeR"&amp;"mntBXI7wGjpLV7QorqlTk/edit?usp=sharing"",""พัทลุง!N721"")+IMPORTRANGE(""https://docs.google.com/spreadsheets/d/1rd4qoM1q_hsgaolqNGfrim9gbsoLxQsda4-vOz5x_BM/edit?usp=sharing"",""ภูเก็ต!N721"")+IMPORTRANGE(""https://docs.google.com/spreadsheets/d/1woKwKjgoL"&amp;"ssDvPcPeVyezB5izizAn4X1JDrys69n6xI/edit?usp=sharing"",""ยะลา!N721"")+IMPORTRANGE(""https://docs.google.com/spreadsheets/d/1qfrKjzMhm2HJfxQ-qVlJlJQ25Hne1d0khsySbZyGtPA/edit?usp=sharing"",""ระนอง!N721"")+IMPORTRANGE(""https://docs.google.com/spreadsheets/d/"&amp;"1IbSCnFOKpZsnFogBHJnL_isstZVaOMnFiIN0fGTPZZw/edit?usp=sharing"",""สงขลา!N721"")+IMPORTRANGE(""https://docs.google.com/spreadsheets/d/1q9nWasZJ-K8bFGvbE9n0qSRuKGA4Toe3Y89cKCiVtCU/edit?usp=sharing"",""สตูล!N721"")+IMPORTRANGE(""https://docs.google.com/sprea"&amp;"dsheets/d/18T20gbkS_WBjdscyTOV05cvq_JqvqQ17C81mpxf7Ncs/edit?usp=sharing"",""สุราษฎร์ธานี!N721"")"),0)</f>
        <v>0</v>
      </c>
      <c r="O721" s="49">
        <f t="shared" ca="1" si="490"/>
        <v>0</v>
      </c>
      <c r="P721" s="49">
        <f t="shared" ca="1" si="491"/>
        <v>0</v>
      </c>
      <c r="Q721" s="49">
        <f ca="1">IFERROR(__xludf.DUMMYFUNCTION("IMPORTRANGE(""https://docs.google.com/spreadsheets/d/1kKUcYdkIfrgTSj8iHHHB2MD2FAtwyyocFgqGQn6ADyI/edit?usp=sharing"",""กระบี่!Q721"")+IMPORTRANGE(""https://docs.google.com/spreadsheets/d/1GwtLaSlNZkLk7iDqcyZz22giiy40b_usZZBXYciEN1U/edit?usp=sharing"",""ชุ"&amp;"มพร!Q721"")+IMPORTRANGE(""https://docs.google.com/spreadsheets/d/16pAz3pOhQEZBhvFNMa5KGgZS6iKWpsKX0pg6tQmwFpo/edit?usp=sharing"",""ตรัง!Q721"")+IMPORTRANGE(""https://docs.google.com/spreadsheets/d/1Dj4jcHCTV9JXKCaMoheSXS52JE63kDKyG7bPXnFogHk/edit?usp=shar"&amp;"ing"",""นครศรีธรรมราช!Q721"")+IMPORTRANGE(""https://docs.google.com/spreadsheets/d/1iodCdmuK2GR3jzUwk8tpccY2JHQQA-87DLOtJP-ooyU/edit?usp=sharing"",""นราธิวาส!Q721"")+IMPORTRANGE(""https://docs.google.com/spreadsheets/d/1SDNX3JhDdYRuIOsj0Wh2M-Qa_eaXl0NbWmh"&amp;"AOTbfQAs/edit?usp=sharing"",""ปัตตานี!Q721"")+IMPORTRANGE(""https://docs.google.com/spreadsheets/d/16JDLGguT8s5DsGCND1KcwHP_AWR_zDMTqLHPLJUKhaU/edit?usp=sharing"",""พังงา!Q721"")+IMPORTRANGE(""https://docs.google.com/spreadsheets/d/17ht0gPKzzT3PObBL1XJkeR"&amp;"mntBXI7wGjpLV7QorqlTk/edit?usp=sharing"",""พัทลุง!Q721"")+IMPORTRANGE(""https://docs.google.com/spreadsheets/d/1rd4qoM1q_hsgaolqNGfrim9gbsoLxQsda4-vOz5x_BM/edit?usp=sharing"",""ภูเก็ต!Q721"")+IMPORTRANGE(""https://docs.google.com/spreadsheets/d/1woKwKjgoL"&amp;"ssDvPcPeVyezB5izizAn4X1JDrys69n6xI/edit?usp=sharing"",""ยะลา!Q721"")+IMPORTRANGE(""https://docs.google.com/spreadsheets/d/1qfrKjzMhm2HJfxQ-qVlJlJQ25Hne1d0khsySbZyGtPA/edit?usp=sharing"",""ระนอง!Q721"")+IMPORTRANGE(""https://docs.google.com/spreadsheets/d/"&amp;"1IbSCnFOKpZsnFogBHJnL_isstZVaOMnFiIN0fGTPZZw/edit?usp=sharing"",""สงขลา!Q721"")+IMPORTRANGE(""https://docs.google.com/spreadsheets/d/1q9nWasZJ-K8bFGvbE9n0qSRuKGA4Toe3Y89cKCiVtCU/edit?usp=sharing"",""สตูล!Q721"")+IMPORTRANGE(""https://docs.google.com/sprea"&amp;"dsheets/d/18T20gbkS_WBjdscyTOV05cvq_JqvqQ17C81mpxf7Ncs/edit?usp=sharing"",""สุราษฎร์ธานี!Q721"")"),0)</f>
        <v>0</v>
      </c>
      <c r="R721" s="49">
        <f ca="1">IFERROR(__xludf.DUMMYFUNCTION("IMPORTRANGE(""https://docs.google.com/spreadsheets/d/1kKUcYdkIfrgTSj8iHHHB2MD2FAtwyyocFgqGQn6ADyI/edit?usp=sharing"",""กระบี่!R721"")+IMPORTRANGE(""https://docs.google.com/spreadsheets/d/1GwtLaSlNZkLk7iDqcyZz22giiy40b_usZZBXYciEN1U/edit?usp=sharing"",""ชุ"&amp;"มพร!R721"")+IMPORTRANGE(""https://docs.google.com/spreadsheets/d/16pAz3pOhQEZBhvFNMa5KGgZS6iKWpsKX0pg6tQmwFpo/edit?usp=sharing"",""ตรัง!R721"")+IMPORTRANGE(""https://docs.google.com/spreadsheets/d/1Dj4jcHCTV9JXKCaMoheSXS52JE63kDKyG7bPXnFogHk/edit?usp=shar"&amp;"ing"",""นครศรีธรรมราช!R721"")+IMPORTRANGE(""https://docs.google.com/spreadsheets/d/1iodCdmuK2GR3jzUwk8tpccY2JHQQA-87DLOtJP-ooyU/edit?usp=sharing"",""นราธิวาส!R721"")+IMPORTRANGE(""https://docs.google.com/spreadsheets/d/1SDNX3JhDdYRuIOsj0Wh2M-Qa_eaXl0NbWmh"&amp;"AOTbfQAs/edit?usp=sharing"",""ปัตตานี!R721"")+IMPORTRANGE(""https://docs.google.com/spreadsheets/d/16JDLGguT8s5DsGCND1KcwHP_AWR_zDMTqLHPLJUKhaU/edit?usp=sharing"",""พังงา!R721"")+IMPORTRANGE(""https://docs.google.com/spreadsheets/d/17ht0gPKzzT3PObBL1XJkeR"&amp;"mntBXI7wGjpLV7QorqlTk/edit?usp=sharing"",""พัทลุง!R721"")+IMPORTRANGE(""https://docs.google.com/spreadsheets/d/1rd4qoM1q_hsgaolqNGfrim9gbsoLxQsda4-vOz5x_BM/edit?usp=sharing"",""ภูเก็ต!R721"")+IMPORTRANGE(""https://docs.google.com/spreadsheets/d/1woKwKjgoL"&amp;"ssDvPcPeVyezB5izizAn4X1JDrys69n6xI/edit?usp=sharing"",""ยะลา!R721"")+IMPORTRANGE(""https://docs.google.com/spreadsheets/d/1qfrKjzMhm2HJfxQ-qVlJlJQ25Hne1d0khsySbZyGtPA/edit?usp=sharing"",""ระนอง!R721"")+IMPORTRANGE(""https://docs.google.com/spreadsheets/d/"&amp;"1IbSCnFOKpZsnFogBHJnL_isstZVaOMnFiIN0fGTPZZw/edit?usp=sharing"",""สงขลา!R721"")+IMPORTRANGE(""https://docs.google.com/spreadsheets/d/1q9nWasZJ-K8bFGvbE9n0qSRuKGA4Toe3Y89cKCiVtCU/edit?usp=sharing"",""สตูล!R721"")+IMPORTRANGE(""https://docs.google.com/sprea"&amp;"dsheets/d/18T20gbkS_WBjdscyTOV05cvq_JqvqQ17C81mpxf7Ncs/edit?usp=sharing"",""สุราษฎร์ธานี!R721"")"),0)</f>
        <v>0</v>
      </c>
      <c r="S721" s="49">
        <f ca="1">IFERROR(__xludf.DUMMYFUNCTION("IMPORTRANGE(""https://docs.google.com/spreadsheets/d/1kKUcYdkIfrgTSj8iHHHB2MD2FAtwyyocFgqGQn6ADyI/edit?usp=sharing"",""กระบี่!S721"")+IMPORTRANGE(""https://docs.google.com/spreadsheets/d/1GwtLaSlNZkLk7iDqcyZz22giiy40b_usZZBXYciEN1U/edit?usp=sharing"",""ชุ"&amp;"มพร!S721"")+IMPORTRANGE(""https://docs.google.com/spreadsheets/d/16pAz3pOhQEZBhvFNMa5KGgZS6iKWpsKX0pg6tQmwFpo/edit?usp=sharing"",""ตรัง!S721"")+IMPORTRANGE(""https://docs.google.com/spreadsheets/d/1Dj4jcHCTV9JXKCaMoheSXS52JE63kDKyG7bPXnFogHk/edit?usp=shar"&amp;"ing"",""นครศรีธรรมราช!S721"")+IMPORTRANGE(""https://docs.google.com/spreadsheets/d/1iodCdmuK2GR3jzUwk8tpccY2JHQQA-87DLOtJP-ooyU/edit?usp=sharing"",""นราธิวาส!S721"")+IMPORTRANGE(""https://docs.google.com/spreadsheets/d/1SDNX3JhDdYRuIOsj0Wh2M-Qa_eaXl0NbWmh"&amp;"AOTbfQAs/edit?usp=sharing"",""ปัตตานี!S721"")+IMPORTRANGE(""https://docs.google.com/spreadsheets/d/16JDLGguT8s5DsGCND1KcwHP_AWR_zDMTqLHPLJUKhaU/edit?usp=sharing"",""พังงา!S721"")+IMPORTRANGE(""https://docs.google.com/spreadsheets/d/17ht0gPKzzT3PObBL1XJkeR"&amp;"mntBXI7wGjpLV7QorqlTk/edit?usp=sharing"",""พัทลุง!S721"")+IMPORTRANGE(""https://docs.google.com/spreadsheets/d/1rd4qoM1q_hsgaolqNGfrim9gbsoLxQsda4-vOz5x_BM/edit?usp=sharing"",""ภูเก็ต!S721"")+IMPORTRANGE(""https://docs.google.com/spreadsheets/d/1woKwKjgoL"&amp;"ssDvPcPeVyezB5izizAn4X1JDrys69n6xI/edit?usp=sharing"",""ยะลา!S721"")+IMPORTRANGE(""https://docs.google.com/spreadsheets/d/1qfrKjzMhm2HJfxQ-qVlJlJQ25Hne1d0khsySbZyGtPA/edit?usp=sharing"",""ระนอง!S721"")+IMPORTRANGE(""https://docs.google.com/spreadsheets/d/"&amp;"1IbSCnFOKpZsnFogBHJnL_isstZVaOMnFiIN0fGTPZZw/edit?usp=sharing"",""สงขลา!S721"")+IMPORTRANGE(""https://docs.google.com/spreadsheets/d/1q9nWasZJ-K8bFGvbE9n0qSRuKGA4Toe3Y89cKCiVtCU/edit?usp=sharing"",""สตูล!S721"")+IMPORTRANGE(""https://docs.google.com/sprea"&amp;"dsheets/d/18T20gbkS_WBjdscyTOV05cvq_JqvqQ17C81mpxf7Ncs/edit?usp=sharing"",""สุราษฎร์ธานี!S721"")"),0)</f>
        <v>0</v>
      </c>
      <c r="T721" s="49">
        <f t="shared" ca="1" si="493"/>
        <v>0</v>
      </c>
      <c r="U721" s="49">
        <f t="shared" ca="1" si="494"/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47">
        <f ca="1">IFERROR(__xludf.DUMMYFUNCTION("IMPORTRANGE(""https://docs.google.com/spreadsheets/d/1kKUcYdkIfrgTSj8iHHHB2MD2FAtwyyocFgqGQn6ADyI/edit?usp=sharing"",""กระบี่!L722"")+IMPORTRANGE(""https://docs.google.com/spreadsheets/d/1GwtLaSlNZkLk7iDqcyZz22giiy40b_usZZBXYciEN1U/edit?usp=sharing"",""ชุ"&amp;"มพร!L722"")+IMPORTRANGE(""https://docs.google.com/spreadsheets/d/16pAz3pOhQEZBhvFNMa5KGgZS6iKWpsKX0pg6tQmwFpo/edit?usp=sharing"",""ตรัง!L722"")+IMPORTRANGE(""https://docs.google.com/spreadsheets/d/1Dj4jcHCTV9JXKCaMoheSXS52JE63kDKyG7bPXnFogHk/edit?usp=shar"&amp;"ing"",""นครศรีธรรมราช!L722"")+IMPORTRANGE(""https://docs.google.com/spreadsheets/d/1iodCdmuK2GR3jzUwk8tpccY2JHQQA-87DLOtJP-ooyU/edit?usp=sharing"",""นราธิวาส!L722"")+IMPORTRANGE(""https://docs.google.com/spreadsheets/d/1SDNX3JhDdYRuIOsj0Wh2M-Qa_eaXl0NbWmh"&amp;"AOTbfQAs/edit?usp=sharing"",""ปัตตานี!L722"")+IMPORTRANGE(""https://docs.google.com/spreadsheets/d/16JDLGguT8s5DsGCND1KcwHP_AWR_zDMTqLHPLJUKhaU/edit?usp=sharing"",""พังงา!L722"")+IMPORTRANGE(""https://docs.google.com/spreadsheets/d/17ht0gPKzzT3PObBL1XJkeR"&amp;"mntBXI7wGjpLV7QorqlTk/edit?usp=sharing"",""พัทลุง!L722"")+IMPORTRANGE(""https://docs.google.com/spreadsheets/d/1rd4qoM1q_hsgaolqNGfrim9gbsoLxQsda4-vOz5x_BM/edit?usp=sharing"",""ภูเก็ต!L722"")+IMPORTRANGE(""https://docs.google.com/spreadsheets/d/1woKwKjgoL"&amp;"ssDvPcPeVyezB5izizAn4X1JDrys69n6xI/edit?usp=sharing"",""ยะลา!L722"")+IMPORTRANGE(""https://docs.google.com/spreadsheets/d/1qfrKjzMhm2HJfxQ-qVlJlJQ25Hne1d0khsySbZyGtPA/edit?usp=sharing"",""ระนอง!L722"")+IMPORTRANGE(""https://docs.google.com/spreadsheets/d/"&amp;"1IbSCnFOKpZsnFogBHJnL_isstZVaOMnFiIN0fGTPZZw/edit?usp=sharing"",""สงขลา!L722"")+IMPORTRANGE(""https://docs.google.com/spreadsheets/d/1q9nWasZJ-K8bFGvbE9n0qSRuKGA4Toe3Y89cKCiVtCU/edit?usp=sharing"",""สตูล!L722"")+IMPORTRANGE(""https://docs.google.com/sprea"&amp;"dsheets/d/18T20gbkS_WBjdscyTOV05cvq_JqvqQ17C81mpxf7Ncs/edit?usp=sharing"",""สุราษฎร์ธานี!L722"")"),0)</f>
        <v>0</v>
      </c>
      <c r="M722" s="47">
        <f ca="1">IFERROR(__xludf.DUMMYFUNCTION("IMPORTRANGE(""https://docs.google.com/spreadsheets/d/1kKUcYdkIfrgTSj8iHHHB2MD2FAtwyyocFgqGQn6ADyI/edit?usp=sharing"",""กระบี่!M722"")+IMPORTRANGE(""https://docs.google.com/spreadsheets/d/1GwtLaSlNZkLk7iDqcyZz22giiy40b_usZZBXYciEN1U/edit?usp=sharing"",""ชุ"&amp;"มพร!M722"")+IMPORTRANGE(""https://docs.google.com/spreadsheets/d/16pAz3pOhQEZBhvFNMa5KGgZS6iKWpsKX0pg6tQmwFpo/edit?usp=sharing"",""ตรัง!M722"")+IMPORTRANGE(""https://docs.google.com/spreadsheets/d/1Dj4jcHCTV9JXKCaMoheSXS52JE63kDKyG7bPXnFogHk/edit?usp=shar"&amp;"ing"",""นครศรีธรรมราช!M722"")+IMPORTRANGE(""https://docs.google.com/spreadsheets/d/1iodCdmuK2GR3jzUwk8tpccY2JHQQA-87DLOtJP-ooyU/edit?usp=sharing"",""นราธิวาส!M722"")+IMPORTRANGE(""https://docs.google.com/spreadsheets/d/1SDNX3JhDdYRuIOsj0Wh2M-Qa_eaXl0NbWmh"&amp;"AOTbfQAs/edit?usp=sharing"",""ปัตตานี!M722"")+IMPORTRANGE(""https://docs.google.com/spreadsheets/d/16JDLGguT8s5DsGCND1KcwHP_AWR_zDMTqLHPLJUKhaU/edit?usp=sharing"",""พังงา!M722"")+IMPORTRANGE(""https://docs.google.com/spreadsheets/d/17ht0gPKzzT3PObBL1XJkeR"&amp;"mntBXI7wGjpLV7QorqlTk/edit?usp=sharing"",""พัทลุง!M722"")+IMPORTRANGE(""https://docs.google.com/spreadsheets/d/1rd4qoM1q_hsgaolqNGfrim9gbsoLxQsda4-vOz5x_BM/edit?usp=sharing"",""ภูเก็ต!M722"")+IMPORTRANGE(""https://docs.google.com/spreadsheets/d/1woKwKjgoL"&amp;"ssDvPcPeVyezB5izizAn4X1JDrys69n6xI/edit?usp=sharing"",""ยะลา!M722"")+IMPORTRANGE(""https://docs.google.com/spreadsheets/d/1qfrKjzMhm2HJfxQ-qVlJlJQ25Hne1d0khsySbZyGtPA/edit?usp=sharing"",""ระนอง!M722"")+IMPORTRANGE(""https://docs.google.com/spreadsheets/d/"&amp;"1IbSCnFOKpZsnFogBHJnL_isstZVaOMnFiIN0fGTPZZw/edit?usp=sharing"",""สงขลา!M722"")+IMPORTRANGE(""https://docs.google.com/spreadsheets/d/1q9nWasZJ-K8bFGvbE9n0qSRuKGA4Toe3Y89cKCiVtCU/edit?usp=sharing"",""สตูล!M722"")+IMPORTRANGE(""https://docs.google.com/sprea"&amp;"dsheets/d/18T20gbkS_WBjdscyTOV05cvq_JqvqQ17C81mpxf7Ncs/edit?usp=sharing"",""สุราษฎร์ธานี!M722"")"),0)</f>
        <v>0</v>
      </c>
      <c r="N722" s="47">
        <f ca="1">IFERROR(__xludf.DUMMYFUNCTION("IMPORTRANGE(""https://docs.google.com/spreadsheets/d/1kKUcYdkIfrgTSj8iHHHB2MD2FAtwyyocFgqGQn6ADyI/edit?usp=sharing"",""กระบี่!N722"")+IMPORTRANGE(""https://docs.google.com/spreadsheets/d/1GwtLaSlNZkLk7iDqcyZz22giiy40b_usZZBXYciEN1U/edit?usp=sharing"",""ชุ"&amp;"มพร!N722"")+IMPORTRANGE(""https://docs.google.com/spreadsheets/d/16pAz3pOhQEZBhvFNMa5KGgZS6iKWpsKX0pg6tQmwFpo/edit?usp=sharing"",""ตรัง!N722"")+IMPORTRANGE(""https://docs.google.com/spreadsheets/d/1Dj4jcHCTV9JXKCaMoheSXS52JE63kDKyG7bPXnFogHk/edit?usp=shar"&amp;"ing"",""นครศรีธรรมราช!N722"")+IMPORTRANGE(""https://docs.google.com/spreadsheets/d/1iodCdmuK2GR3jzUwk8tpccY2JHQQA-87DLOtJP-ooyU/edit?usp=sharing"",""นราธิวาส!N722"")+IMPORTRANGE(""https://docs.google.com/spreadsheets/d/1SDNX3JhDdYRuIOsj0Wh2M-Qa_eaXl0NbWmh"&amp;"AOTbfQAs/edit?usp=sharing"",""ปัตตานี!N722"")+IMPORTRANGE(""https://docs.google.com/spreadsheets/d/16JDLGguT8s5DsGCND1KcwHP_AWR_zDMTqLHPLJUKhaU/edit?usp=sharing"",""พังงา!N722"")+IMPORTRANGE(""https://docs.google.com/spreadsheets/d/17ht0gPKzzT3PObBL1XJkeR"&amp;"mntBXI7wGjpLV7QorqlTk/edit?usp=sharing"",""พัทลุง!N722"")+IMPORTRANGE(""https://docs.google.com/spreadsheets/d/1rd4qoM1q_hsgaolqNGfrim9gbsoLxQsda4-vOz5x_BM/edit?usp=sharing"",""ภูเก็ต!N722"")+IMPORTRANGE(""https://docs.google.com/spreadsheets/d/1woKwKjgoL"&amp;"ssDvPcPeVyezB5izizAn4X1JDrys69n6xI/edit?usp=sharing"",""ยะลา!N722"")+IMPORTRANGE(""https://docs.google.com/spreadsheets/d/1qfrKjzMhm2HJfxQ-qVlJlJQ25Hne1d0khsySbZyGtPA/edit?usp=sharing"",""ระนอง!N722"")+IMPORTRANGE(""https://docs.google.com/spreadsheets/d/"&amp;"1IbSCnFOKpZsnFogBHJnL_isstZVaOMnFiIN0fGTPZZw/edit?usp=sharing"",""สงขลา!N722"")+IMPORTRANGE(""https://docs.google.com/spreadsheets/d/1q9nWasZJ-K8bFGvbE9n0qSRuKGA4Toe3Y89cKCiVtCU/edit?usp=sharing"",""สตูล!N722"")+IMPORTRANGE(""https://docs.google.com/sprea"&amp;"dsheets/d/18T20gbkS_WBjdscyTOV05cvq_JqvqQ17C81mpxf7Ncs/edit?usp=sharing"",""สุราษฎร์ธานี!N722"")"),0)</f>
        <v>0</v>
      </c>
      <c r="O722" s="47">
        <f t="shared" ca="1" si="490"/>
        <v>0</v>
      </c>
      <c r="P722" s="47">
        <f t="shared" ca="1" si="491"/>
        <v>0</v>
      </c>
      <c r="Q722" s="47">
        <f ca="1">IFERROR(__xludf.DUMMYFUNCTION("IMPORTRANGE(""https://docs.google.com/spreadsheets/d/1kKUcYdkIfrgTSj8iHHHB2MD2FAtwyyocFgqGQn6ADyI/edit?usp=sharing"",""กระบี่!Q722"")+IMPORTRANGE(""https://docs.google.com/spreadsheets/d/1GwtLaSlNZkLk7iDqcyZz22giiy40b_usZZBXYciEN1U/edit?usp=sharing"",""ชุ"&amp;"มพร!Q722"")+IMPORTRANGE(""https://docs.google.com/spreadsheets/d/16pAz3pOhQEZBhvFNMa5KGgZS6iKWpsKX0pg6tQmwFpo/edit?usp=sharing"",""ตรัง!Q722"")+IMPORTRANGE(""https://docs.google.com/spreadsheets/d/1Dj4jcHCTV9JXKCaMoheSXS52JE63kDKyG7bPXnFogHk/edit?usp=shar"&amp;"ing"",""นครศรีธรรมราช!Q722"")+IMPORTRANGE(""https://docs.google.com/spreadsheets/d/1iodCdmuK2GR3jzUwk8tpccY2JHQQA-87DLOtJP-ooyU/edit?usp=sharing"",""นราธิวาส!Q722"")+IMPORTRANGE(""https://docs.google.com/spreadsheets/d/1SDNX3JhDdYRuIOsj0Wh2M-Qa_eaXl0NbWmh"&amp;"AOTbfQAs/edit?usp=sharing"",""ปัตตานี!Q722"")+IMPORTRANGE(""https://docs.google.com/spreadsheets/d/16JDLGguT8s5DsGCND1KcwHP_AWR_zDMTqLHPLJUKhaU/edit?usp=sharing"",""พังงา!Q722"")+IMPORTRANGE(""https://docs.google.com/spreadsheets/d/17ht0gPKzzT3PObBL1XJkeR"&amp;"mntBXI7wGjpLV7QorqlTk/edit?usp=sharing"",""พัทลุง!Q722"")+IMPORTRANGE(""https://docs.google.com/spreadsheets/d/1rd4qoM1q_hsgaolqNGfrim9gbsoLxQsda4-vOz5x_BM/edit?usp=sharing"",""ภูเก็ต!Q722"")+IMPORTRANGE(""https://docs.google.com/spreadsheets/d/1woKwKjgoL"&amp;"ssDvPcPeVyezB5izizAn4X1JDrys69n6xI/edit?usp=sharing"",""ยะลา!Q722"")+IMPORTRANGE(""https://docs.google.com/spreadsheets/d/1qfrKjzMhm2HJfxQ-qVlJlJQ25Hne1d0khsySbZyGtPA/edit?usp=sharing"",""ระนอง!Q722"")+IMPORTRANGE(""https://docs.google.com/spreadsheets/d/"&amp;"1IbSCnFOKpZsnFogBHJnL_isstZVaOMnFiIN0fGTPZZw/edit?usp=sharing"",""สงขลา!Q722"")+IMPORTRANGE(""https://docs.google.com/spreadsheets/d/1q9nWasZJ-K8bFGvbE9n0qSRuKGA4Toe3Y89cKCiVtCU/edit?usp=sharing"",""สตูล!Q722"")+IMPORTRANGE(""https://docs.google.com/sprea"&amp;"dsheets/d/18T20gbkS_WBjdscyTOV05cvq_JqvqQ17C81mpxf7Ncs/edit?usp=sharing"",""สุราษฎร์ธานี!Q722"")"),0)</f>
        <v>0</v>
      </c>
      <c r="R722" s="47">
        <f ca="1">IFERROR(__xludf.DUMMYFUNCTION("IMPORTRANGE(""https://docs.google.com/spreadsheets/d/1kKUcYdkIfrgTSj8iHHHB2MD2FAtwyyocFgqGQn6ADyI/edit?usp=sharing"",""กระบี่!R722"")+IMPORTRANGE(""https://docs.google.com/spreadsheets/d/1GwtLaSlNZkLk7iDqcyZz22giiy40b_usZZBXYciEN1U/edit?usp=sharing"",""ชุ"&amp;"มพร!R722"")+IMPORTRANGE(""https://docs.google.com/spreadsheets/d/16pAz3pOhQEZBhvFNMa5KGgZS6iKWpsKX0pg6tQmwFpo/edit?usp=sharing"",""ตรัง!R722"")+IMPORTRANGE(""https://docs.google.com/spreadsheets/d/1Dj4jcHCTV9JXKCaMoheSXS52JE63kDKyG7bPXnFogHk/edit?usp=shar"&amp;"ing"",""นครศรีธรรมราช!R722"")+IMPORTRANGE(""https://docs.google.com/spreadsheets/d/1iodCdmuK2GR3jzUwk8tpccY2JHQQA-87DLOtJP-ooyU/edit?usp=sharing"",""นราธิวาส!R722"")+IMPORTRANGE(""https://docs.google.com/spreadsheets/d/1SDNX3JhDdYRuIOsj0Wh2M-Qa_eaXl0NbWmh"&amp;"AOTbfQAs/edit?usp=sharing"",""ปัตตานี!R722"")+IMPORTRANGE(""https://docs.google.com/spreadsheets/d/16JDLGguT8s5DsGCND1KcwHP_AWR_zDMTqLHPLJUKhaU/edit?usp=sharing"",""พังงา!R722"")+IMPORTRANGE(""https://docs.google.com/spreadsheets/d/17ht0gPKzzT3PObBL1XJkeR"&amp;"mntBXI7wGjpLV7QorqlTk/edit?usp=sharing"",""พัทลุง!R722"")+IMPORTRANGE(""https://docs.google.com/spreadsheets/d/1rd4qoM1q_hsgaolqNGfrim9gbsoLxQsda4-vOz5x_BM/edit?usp=sharing"",""ภูเก็ต!R722"")+IMPORTRANGE(""https://docs.google.com/spreadsheets/d/1woKwKjgoL"&amp;"ssDvPcPeVyezB5izizAn4X1JDrys69n6xI/edit?usp=sharing"",""ยะลา!R722"")+IMPORTRANGE(""https://docs.google.com/spreadsheets/d/1qfrKjzMhm2HJfxQ-qVlJlJQ25Hne1d0khsySbZyGtPA/edit?usp=sharing"",""ระนอง!R722"")+IMPORTRANGE(""https://docs.google.com/spreadsheets/d/"&amp;"1IbSCnFOKpZsnFogBHJnL_isstZVaOMnFiIN0fGTPZZw/edit?usp=sharing"",""สงขลา!R722"")+IMPORTRANGE(""https://docs.google.com/spreadsheets/d/1q9nWasZJ-K8bFGvbE9n0qSRuKGA4Toe3Y89cKCiVtCU/edit?usp=sharing"",""สตูล!R722"")+IMPORTRANGE(""https://docs.google.com/sprea"&amp;"dsheets/d/18T20gbkS_WBjdscyTOV05cvq_JqvqQ17C81mpxf7Ncs/edit?usp=sharing"",""สุราษฎร์ธานี!R722"")"),0)</f>
        <v>0</v>
      </c>
      <c r="S722" s="47">
        <f ca="1">IFERROR(__xludf.DUMMYFUNCTION("IMPORTRANGE(""https://docs.google.com/spreadsheets/d/1kKUcYdkIfrgTSj8iHHHB2MD2FAtwyyocFgqGQn6ADyI/edit?usp=sharing"",""กระบี่!S722"")+IMPORTRANGE(""https://docs.google.com/spreadsheets/d/1GwtLaSlNZkLk7iDqcyZz22giiy40b_usZZBXYciEN1U/edit?usp=sharing"",""ชุ"&amp;"มพร!S722"")+IMPORTRANGE(""https://docs.google.com/spreadsheets/d/16pAz3pOhQEZBhvFNMa5KGgZS6iKWpsKX0pg6tQmwFpo/edit?usp=sharing"",""ตรัง!S722"")+IMPORTRANGE(""https://docs.google.com/spreadsheets/d/1Dj4jcHCTV9JXKCaMoheSXS52JE63kDKyG7bPXnFogHk/edit?usp=shar"&amp;"ing"",""นครศรีธรรมราช!S722"")+IMPORTRANGE(""https://docs.google.com/spreadsheets/d/1iodCdmuK2GR3jzUwk8tpccY2JHQQA-87DLOtJP-ooyU/edit?usp=sharing"",""นราธิวาส!S722"")+IMPORTRANGE(""https://docs.google.com/spreadsheets/d/1SDNX3JhDdYRuIOsj0Wh2M-Qa_eaXl0NbWmh"&amp;"AOTbfQAs/edit?usp=sharing"",""ปัตตานี!S722"")+IMPORTRANGE(""https://docs.google.com/spreadsheets/d/16JDLGguT8s5DsGCND1KcwHP_AWR_zDMTqLHPLJUKhaU/edit?usp=sharing"",""พังงา!S722"")+IMPORTRANGE(""https://docs.google.com/spreadsheets/d/17ht0gPKzzT3PObBL1XJkeR"&amp;"mntBXI7wGjpLV7QorqlTk/edit?usp=sharing"",""พัทลุง!S722"")+IMPORTRANGE(""https://docs.google.com/spreadsheets/d/1rd4qoM1q_hsgaolqNGfrim9gbsoLxQsda4-vOz5x_BM/edit?usp=sharing"",""ภูเก็ต!S722"")+IMPORTRANGE(""https://docs.google.com/spreadsheets/d/1woKwKjgoL"&amp;"ssDvPcPeVyezB5izizAn4X1JDrys69n6xI/edit?usp=sharing"",""ยะลา!S722"")+IMPORTRANGE(""https://docs.google.com/spreadsheets/d/1qfrKjzMhm2HJfxQ-qVlJlJQ25Hne1d0khsySbZyGtPA/edit?usp=sharing"",""ระนอง!S722"")+IMPORTRANGE(""https://docs.google.com/spreadsheets/d/"&amp;"1IbSCnFOKpZsnFogBHJnL_isstZVaOMnFiIN0fGTPZZw/edit?usp=sharing"",""สงขลา!S722"")+IMPORTRANGE(""https://docs.google.com/spreadsheets/d/1q9nWasZJ-K8bFGvbE9n0qSRuKGA4Toe3Y89cKCiVtCU/edit?usp=sharing"",""สตูล!S722"")+IMPORTRANGE(""https://docs.google.com/sprea"&amp;"dsheets/d/18T20gbkS_WBjdscyTOV05cvq_JqvqQ17C81mpxf7Ncs/edit?usp=sharing"",""สุราษฎร์ธานี!S722"")"),0)</f>
        <v>0</v>
      </c>
      <c r="T722" s="47">
        <f t="shared" ca="1" si="493"/>
        <v>0</v>
      </c>
      <c r="U722" s="47">
        <f t="shared" ca="1" si="494"/>
        <v>0</v>
      </c>
    </row>
    <row r="723" spans="1:21" ht="19.5" hidden="1" x14ac:dyDescent="0.3">
      <c r="A723" s="138"/>
      <c r="B723" s="139"/>
      <c r="C723" s="345" t="s">
        <v>18</v>
      </c>
      <c r="D723" s="494" t="s">
        <v>38</v>
      </c>
      <c r="E723" s="141"/>
      <c r="F723" s="141"/>
      <c r="G723" s="142"/>
      <c r="H723" s="189"/>
      <c r="I723" s="135"/>
      <c r="J723" s="135"/>
      <c r="K723" s="136"/>
      <c r="L723" s="136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56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kKUcYdkIfrgTSj8iHHHB2MD2FAtwyyocFgqGQn6ADyI/edit?usp=sharing"",""กระบี่!I726"")+IMPORTRANGE(""https://docs.google.com/spreadsheets/d/1GwtLaSlNZkLk7iDqcyZz22giiy40b_usZZBXYciEN1U/edit?usp=sharing"",""ชุ"&amp;"มพร!I726"")+IMPORTRANGE(""https://docs.google.com/spreadsheets/d/16pAz3pOhQEZBhvFNMa5KGgZS6iKWpsKX0pg6tQmwFpo/edit?usp=sharing"",""ตรัง!I726"")+IMPORTRANGE(""https://docs.google.com/spreadsheets/d/1Dj4jcHCTV9JXKCaMoheSXS52JE63kDKyG7bPXnFogHk/edit?usp=shar"&amp;"ing"",""นครศรีธรรมราช!I726"")+IMPORTRANGE(""https://docs.google.com/spreadsheets/d/1iodCdmuK2GR3jzUwk8tpccY2JHQQA-87DLOtJP-ooyU/edit?usp=sharing"",""นราธิวาส!I726"")+IMPORTRANGE(""https://docs.google.com/spreadsheets/d/1SDNX3JhDdYRuIOsj0Wh2M-Qa_eaXl0NbWmh"&amp;"AOTbfQAs/edit?usp=sharing"",""ปัตตานี!I726"")+IMPORTRANGE(""https://docs.google.com/spreadsheets/d/16JDLGguT8s5DsGCND1KcwHP_AWR_zDMTqLHPLJUKhaU/edit?usp=sharing"",""พังงา!I726"")+IMPORTRANGE(""https://docs.google.com/spreadsheets/d/17ht0gPKzzT3PObBL1XJkeR"&amp;"mntBXI7wGjpLV7QorqlTk/edit?usp=sharing"",""พัทลุง!I726"")+IMPORTRANGE(""https://docs.google.com/spreadsheets/d/1rd4qoM1q_hsgaolqNGfrim9gbsoLxQsda4-vOz5x_BM/edit?usp=sharing"",""ภูเก็ต!I726"")+IMPORTRANGE(""https://docs.google.com/spreadsheets/d/1woKwKjgoL"&amp;"ssDvPcPeVyezB5izizAn4X1JDrys69n6xI/edit?usp=sharing"",""ยะลา!I726"")+IMPORTRANGE(""https://docs.google.com/spreadsheets/d/1qfrKjzMhm2HJfxQ-qVlJlJQ25Hne1d0khsySbZyGtPA/edit?usp=sharing"",""ระนอง!I726"")+IMPORTRANGE(""https://docs.google.com/spreadsheets/d/"&amp;"1IbSCnFOKpZsnFogBHJnL_isstZVaOMnFiIN0fGTPZZw/edit?usp=sharing"",""สงขลา!I726"")+IMPORTRANGE(""https://docs.google.com/spreadsheets/d/1q9nWasZJ-K8bFGvbE9n0qSRuKGA4Toe3Y89cKCiVtCU/edit?usp=sharing"",""สตูล!I726"")+IMPORTRANGE(""https://docs.google.com/sprea"&amp;"dsheets/d/18T20gbkS_WBjdscyTOV05cvq_JqvqQ17C81mpxf7Ncs/edit?usp=sharing"",""สุราษฎร์ธานี!I726"")"),284)</f>
        <v>284</v>
      </c>
      <c r="J726" s="483">
        <f ca="1">J742+J746+J749</f>
        <v>189</v>
      </c>
      <c r="K726" s="484">
        <f t="shared" ref="K726:K727" ca="1" si="503">IF(I726&gt;0,J726*100/I726,0)</f>
        <v>66.549295774647888</v>
      </c>
      <c r="L726" s="46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kKUcYdkIfrgTSj8iHHHB2MD2FAtwyyocFgqGQn6ADyI/edit?usp=sharing"",""กระบี่!I727"")+IMPORTRANGE(""https://docs.google.com/spreadsheets/d/1GwtLaSlNZkLk7iDqcyZz22giiy40b_usZZBXYciEN1U/edit?usp=sharing"",""ชุ"&amp;"มพร!I727"")+IMPORTRANGE(""https://docs.google.com/spreadsheets/d/16pAz3pOhQEZBhvFNMa5KGgZS6iKWpsKX0pg6tQmwFpo/edit?usp=sharing"",""ตรัง!I727"")+IMPORTRANGE(""https://docs.google.com/spreadsheets/d/1Dj4jcHCTV9JXKCaMoheSXS52JE63kDKyG7bPXnFogHk/edit?usp=shar"&amp;"ing"",""นครศรีธรรมราช!I727"")+IMPORTRANGE(""https://docs.google.com/spreadsheets/d/1iodCdmuK2GR3jzUwk8tpccY2JHQQA-87DLOtJP-ooyU/edit?usp=sharing"",""นราธิวาส!I727"")+IMPORTRANGE(""https://docs.google.com/spreadsheets/d/1SDNX3JhDdYRuIOsj0Wh2M-Qa_eaXl0NbWmh"&amp;"AOTbfQAs/edit?usp=sharing"",""ปัตตานี!I727"")+IMPORTRANGE(""https://docs.google.com/spreadsheets/d/16JDLGguT8s5DsGCND1KcwHP_AWR_zDMTqLHPLJUKhaU/edit?usp=sharing"",""พังงา!I727"")+IMPORTRANGE(""https://docs.google.com/spreadsheets/d/17ht0gPKzzT3PObBL1XJkeR"&amp;"mntBXI7wGjpLV7QorqlTk/edit?usp=sharing"",""พัทลุง!I727"")+IMPORTRANGE(""https://docs.google.com/spreadsheets/d/1rd4qoM1q_hsgaolqNGfrim9gbsoLxQsda4-vOz5x_BM/edit?usp=sharing"",""ภูเก็ต!I727"")+IMPORTRANGE(""https://docs.google.com/spreadsheets/d/1woKwKjgoL"&amp;"ssDvPcPeVyezB5izizAn4X1JDrys69n6xI/edit?usp=sharing"",""ยะลา!I727"")+IMPORTRANGE(""https://docs.google.com/spreadsheets/d/1qfrKjzMhm2HJfxQ-qVlJlJQ25Hne1d0khsySbZyGtPA/edit?usp=sharing"",""ระนอง!I727"")+IMPORTRANGE(""https://docs.google.com/spreadsheets/d/"&amp;"1IbSCnFOKpZsnFogBHJnL_isstZVaOMnFiIN0fGTPZZw/edit?usp=sharing"",""สงขลา!I727"")+IMPORTRANGE(""https://docs.google.com/spreadsheets/d/1q9nWasZJ-K8bFGvbE9n0qSRuKGA4Toe3Y89cKCiVtCU/edit?usp=sharing"",""สตูล!I727"")+IMPORTRANGE(""https://docs.google.com/sprea"&amp;"dsheets/d/18T20gbkS_WBjdscyTOV05cvq_JqvqQ17C81mpxf7Ncs/edit?usp=sharing"",""สุราษฎร์ธานี!I727"")"),2700)</f>
        <v>2700</v>
      </c>
      <c r="J727" s="483">
        <f ca="1">J752+J755</f>
        <v>0</v>
      </c>
      <c r="K727" s="484">
        <f t="shared" ca="1" si="503"/>
        <v>0</v>
      </c>
      <c r="L727" s="46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188" t="s">
        <v>18</v>
      </c>
      <c r="D728" s="532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132">
        <f t="shared" ref="L728:N728" ca="1" si="504">L729+L730</f>
        <v>0</v>
      </c>
      <c r="M728" s="132">
        <f t="shared" ca="1" si="504"/>
        <v>0</v>
      </c>
      <c r="N728" s="132">
        <f t="shared" ca="1" si="504"/>
        <v>0</v>
      </c>
      <c r="O728" s="132">
        <f t="shared" ref="O728:O736" ca="1" si="505">IF(L728&gt;0,N728*100/L728,0)</f>
        <v>0</v>
      </c>
      <c r="P728" s="132">
        <f t="shared" ref="P728:P736" ca="1" si="506">IF(M728&gt;0,N728*100/M728,0)</f>
        <v>0</v>
      </c>
      <c r="Q728" s="132">
        <f t="shared" ref="Q728:S728" ca="1" si="507">Q729+Q730</f>
        <v>2422324</v>
      </c>
      <c r="R728" s="132">
        <f t="shared" ca="1" si="507"/>
        <v>2479224</v>
      </c>
      <c r="S728" s="132">
        <f t="shared" ca="1" si="507"/>
        <v>718374.61</v>
      </c>
      <c r="T728" s="132">
        <f t="shared" ref="T728:T736" ca="1" si="508">IF(Q728&gt;0,S728*100/Q728,0)</f>
        <v>29.656421271473182</v>
      </c>
      <c r="U728" s="132">
        <f t="shared" ref="U728:U736" ca="1" si="509">IF(R728&gt;0,S728*100/R728,0)</f>
        <v>28.975784761683496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49">
        <f t="shared" ref="L729:N729" ca="1" si="510">L732+L735</f>
        <v>0</v>
      </c>
      <c r="M729" s="49">
        <f t="shared" ca="1" si="510"/>
        <v>0</v>
      </c>
      <c r="N729" s="49">
        <f t="shared" ca="1" si="510"/>
        <v>0</v>
      </c>
      <c r="O729" s="49">
        <f t="shared" ca="1" si="505"/>
        <v>0</v>
      </c>
      <c r="P729" s="49">
        <f t="shared" ca="1" si="506"/>
        <v>0</v>
      </c>
      <c r="Q729" s="49">
        <f t="shared" ref="Q729:S729" ca="1" si="511">Q732+Q735</f>
        <v>0</v>
      </c>
      <c r="R729" s="49">
        <f t="shared" ca="1" si="511"/>
        <v>0</v>
      </c>
      <c r="S729" s="49">
        <f t="shared" ca="1" si="511"/>
        <v>0</v>
      </c>
      <c r="T729" s="49">
        <f t="shared" ca="1" si="508"/>
        <v>0</v>
      </c>
      <c r="U729" s="49">
        <f t="shared" ca="1" si="509"/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47">
        <f t="shared" ref="L730:N730" ca="1" si="512">L733+L736</f>
        <v>0</v>
      </c>
      <c r="M730" s="47">
        <f t="shared" ca="1" si="512"/>
        <v>0</v>
      </c>
      <c r="N730" s="47">
        <f t="shared" ca="1" si="512"/>
        <v>0</v>
      </c>
      <c r="O730" s="47">
        <f t="shared" ca="1" si="505"/>
        <v>0</v>
      </c>
      <c r="P730" s="47">
        <f t="shared" ca="1" si="506"/>
        <v>0</v>
      </c>
      <c r="Q730" s="47">
        <f t="shared" ref="Q730:S730" ca="1" si="513">Q733+Q736</f>
        <v>2422324</v>
      </c>
      <c r="R730" s="47">
        <f t="shared" ca="1" si="513"/>
        <v>2479224</v>
      </c>
      <c r="S730" s="47">
        <f t="shared" ca="1" si="513"/>
        <v>718374.61</v>
      </c>
      <c r="T730" s="47">
        <f t="shared" ca="1" si="508"/>
        <v>29.656421271473182</v>
      </c>
      <c r="U730" s="47">
        <f t="shared" ca="1" si="509"/>
        <v>28.975784761683496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47">
        <f t="shared" ref="L731:N731" ca="1" si="514">L732+L733</f>
        <v>0</v>
      </c>
      <c r="M731" s="47">
        <f t="shared" ca="1" si="514"/>
        <v>0</v>
      </c>
      <c r="N731" s="47">
        <f t="shared" ca="1" si="514"/>
        <v>0</v>
      </c>
      <c r="O731" s="47">
        <f t="shared" ca="1" si="505"/>
        <v>0</v>
      </c>
      <c r="P731" s="47">
        <f t="shared" ca="1" si="506"/>
        <v>0</v>
      </c>
      <c r="Q731" s="47">
        <f t="shared" ref="Q731:S731" ca="1" si="515">Q732+Q733</f>
        <v>2422324</v>
      </c>
      <c r="R731" s="47">
        <f t="shared" ca="1" si="515"/>
        <v>2479224</v>
      </c>
      <c r="S731" s="47">
        <f t="shared" ca="1" si="515"/>
        <v>718374.61</v>
      </c>
      <c r="T731" s="47">
        <f t="shared" ca="1" si="508"/>
        <v>29.656421271473182</v>
      </c>
      <c r="U731" s="47">
        <f t="shared" ca="1" si="509"/>
        <v>28.975784761683496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49">
        <f ca="1">IFERROR(__xludf.DUMMYFUNCTION("IMPORTRANGE(""https://docs.google.com/spreadsheets/d/1kKUcYdkIfrgTSj8iHHHB2MD2FAtwyyocFgqGQn6ADyI/edit?usp=sharing"",""กระบี่!L732"")+IMPORTRANGE(""https://docs.google.com/spreadsheets/d/1GwtLaSlNZkLk7iDqcyZz22giiy40b_usZZBXYciEN1U/edit?usp=sharing"",""ชุ"&amp;"มพร!L732"")+IMPORTRANGE(""https://docs.google.com/spreadsheets/d/16pAz3pOhQEZBhvFNMa5KGgZS6iKWpsKX0pg6tQmwFpo/edit?usp=sharing"",""ตรัง!L732"")+IMPORTRANGE(""https://docs.google.com/spreadsheets/d/1Dj4jcHCTV9JXKCaMoheSXS52JE63kDKyG7bPXnFogHk/edit?usp=shar"&amp;"ing"",""นครศรีธรรมราช!L732"")+IMPORTRANGE(""https://docs.google.com/spreadsheets/d/1iodCdmuK2GR3jzUwk8tpccY2JHQQA-87DLOtJP-ooyU/edit?usp=sharing"",""นราธิวาส!L732"")+IMPORTRANGE(""https://docs.google.com/spreadsheets/d/1SDNX3JhDdYRuIOsj0Wh2M-Qa_eaXl0NbWmh"&amp;"AOTbfQAs/edit?usp=sharing"",""ปัตตานี!L732"")+IMPORTRANGE(""https://docs.google.com/spreadsheets/d/16JDLGguT8s5DsGCND1KcwHP_AWR_zDMTqLHPLJUKhaU/edit?usp=sharing"",""พังงา!L732"")+IMPORTRANGE(""https://docs.google.com/spreadsheets/d/17ht0gPKzzT3PObBL1XJkeR"&amp;"mntBXI7wGjpLV7QorqlTk/edit?usp=sharing"",""พัทลุง!L732"")+IMPORTRANGE(""https://docs.google.com/spreadsheets/d/1rd4qoM1q_hsgaolqNGfrim9gbsoLxQsda4-vOz5x_BM/edit?usp=sharing"",""ภูเก็ต!L732"")+IMPORTRANGE(""https://docs.google.com/spreadsheets/d/1woKwKjgoL"&amp;"ssDvPcPeVyezB5izizAn4X1JDrys69n6xI/edit?usp=sharing"",""ยะลา!L732"")+IMPORTRANGE(""https://docs.google.com/spreadsheets/d/1qfrKjzMhm2HJfxQ-qVlJlJQ25Hne1d0khsySbZyGtPA/edit?usp=sharing"",""ระนอง!L732"")+IMPORTRANGE(""https://docs.google.com/spreadsheets/d/"&amp;"1IbSCnFOKpZsnFogBHJnL_isstZVaOMnFiIN0fGTPZZw/edit?usp=sharing"",""สงขลา!L732"")+IMPORTRANGE(""https://docs.google.com/spreadsheets/d/1q9nWasZJ-K8bFGvbE9n0qSRuKGA4Toe3Y89cKCiVtCU/edit?usp=sharing"",""สตูล!L732"")+IMPORTRANGE(""https://docs.google.com/sprea"&amp;"dsheets/d/18T20gbkS_WBjdscyTOV05cvq_JqvqQ17C81mpxf7Ncs/edit?usp=sharing"",""สุราษฎร์ธานี!L732"")"),0)</f>
        <v>0</v>
      </c>
      <c r="M732" s="49">
        <f ca="1">IFERROR(__xludf.DUMMYFUNCTION("IMPORTRANGE(""https://docs.google.com/spreadsheets/d/1kKUcYdkIfrgTSj8iHHHB2MD2FAtwyyocFgqGQn6ADyI/edit?usp=sharing"",""กระบี่!M732"")+IMPORTRANGE(""https://docs.google.com/spreadsheets/d/1GwtLaSlNZkLk7iDqcyZz22giiy40b_usZZBXYciEN1U/edit?usp=sharing"",""ชุ"&amp;"มพร!M732"")+IMPORTRANGE(""https://docs.google.com/spreadsheets/d/16pAz3pOhQEZBhvFNMa5KGgZS6iKWpsKX0pg6tQmwFpo/edit?usp=sharing"",""ตรัง!M732"")+IMPORTRANGE(""https://docs.google.com/spreadsheets/d/1Dj4jcHCTV9JXKCaMoheSXS52JE63kDKyG7bPXnFogHk/edit?usp=shar"&amp;"ing"",""นครศรีธรรมราช!M732"")+IMPORTRANGE(""https://docs.google.com/spreadsheets/d/1iodCdmuK2GR3jzUwk8tpccY2JHQQA-87DLOtJP-ooyU/edit?usp=sharing"",""นราธิวาส!M732"")+IMPORTRANGE(""https://docs.google.com/spreadsheets/d/1SDNX3JhDdYRuIOsj0Wh2M-Qa_eaXl0NbWmh"&amp;"AOTbfQAs/edit?usp=sharing"",""ปัตตานี!M732"")+IMPORTRANGE(""https://docs.google.com/spreadsheets/d/16JDLGguT8s5DsGCND1KcwHP_AWR_zDMTqLHPLJUKhaU/edit?usp=sharing"",""พังงา!M732"")+IMPORTRANGE(""https://docs.google.com/spreadsheets/d/17ht0gPKzzT3PObBL1XJkeR"&amp;"mntBXI7wGjpLV7QorqlTk/edit?usp=sharing"",""พัทลุง!M732"")+IMPORTRANGE(""https://docs.google.com/spreadsheets/d/1rd4qoM1q_hsgaolqNGfrim9gbsoLxQsda4-vOz5x_BM/edit?usp=sharing"",""ภูเก็ต!M732"")+IMPORTRANGE(""https://docs.google.com/spreadsheets/d/1woKwKjgoL"&amp;"ssDvPcPeVyezB5izizAn4X1JDrys69n6xI/edit?usp=sharing"",""ยะลา!M732"")+IMPORTRANGE(""https://docs.google.com/spreadsheets/d/1qfrKjzMhm2HJfxQ-qVlJlJQ25Hne1d0khsySbZyGtPA/edit?usp=sharing"",""ระนอง!M732"")+IMPORTRANGE(""https://docs.google.com/spreadsheets/d/"&amp;"1IbSCnFOKpZsnFogBHJnL_isstZVaOMnFiIN0fGTPZZw/edit?usp=sharing"",""สงขลา!M732"")+IMPORTRANGE(""https://docs.google.com/spreadsheets/d/1q9nWasZJ-K8bFGvbE9n0qSRuKGA4Toe3Y89cKCiVtCU/edit?usp=sharing"",""สตูล!M732"")+IMPORTRANGE(""https://docs.google.com/sprea"&amp;"dsheets/d/18T20gbkS_WBjdscyTOV05cvq_JqvqQ17C81mpxf7Ncs/edit?usp=sharing"",""สุราษฎร์ธานี!M732"")"),0)</f>
        <v>0</v>
      </c>
      <c r="N732" s="49">
        <f ca="1">IFERROR(__xludf.DUMMYFUNCTION("IMPORTRANGE(""https://docs.google.com/spreadsheets/d/1kKUcYdkIfrgTSj8iHHHB2MD2FAtwyyocFgqGQn6ADyI/edit?usp=sharing"",""กระบี่!N732"")+IMPORTRANGE(""https://docs.google.com/spreadsheets/d/1GwtLaSlNZkLk7iDqcyZz22giiy40b_usZZBXYciEN1U/edit?usp=sharing"",""ชุ"&amp;"มพร!N732"")+IMPORTRANGE(""https://docs.google.com/spreadsheets/d/16pAz3pOhQEZBhvFNMa5KGgZS6iKWpsKX0pg6tQmwFpo/edit?usp=sharing"",""ตรัง!N732"")+IMPORTRANGE(""https://docs.google.com/spreadsheets/d/1Dj4jcHCTV9JXKCaMoheSXS52JE63kDKyG7bPXnFogHk/edit?usp=shar"&amp;"ing"",""นครศรีธรรมราช!N732"")+IMPORTRANGE(""https://docs.google.com/spreadsheets/d/1iodCdmuK2GR3jzUwk8tpccY2JHQQA-87DLOtJP-ooyU/edit?usp=sharing"",""นราธิวาส!N732"")+IMPORTRANGE(""https://docs.google.com/spreadsheets/d/1SDNX3JhDdYRuIOsj0Wh2M-Qa_eaXl0NbWmh"&amp;"AOTbfQAs/edit?usp=sharing"",""ปัตตานี!N732"")+IMPORTRANGE(""https://docs.google.com/spreadsheets/d/16JDLGguT8s5DsGCND1KcwHP_AWR_zDMTqLHPLJUKhaU/edit?usp=sharing"",""พังงา!N732"")+IMPORTRANGE(""https://docs.google.com/spreadsheets/d/17ht0gPKzzT3PObBL1XJkeR"&amp;"mntBXI7wGjpLV7QorqlTk/edit?usp=sharing"",""พัทลุง!N732"")+IMPORTRANGE(""https://docs.google.com/spreadsheets/d/1rd4qoM1q_hsgaolqNGfrim9gbsoLxQsda4-vOz5x_BM/edit?usp=sharing"",""ภูเก็ต!N732"")+IMPORTRANGE(""https://docs.google.com/spreadsheets/d/1woKwKjgoL"&amp;"ssDvPcPeVyezB5izizAn4X1JDrys69n6xI/edit?usp=sharing"",""ยะลา!N732"")+IMPORTRANGE(""https://docs.google.com/spreadsheets/d/1qfrKjzMhm2HJfxQ-qVlJlJQ25Hne1d0khsySbZyGtPA/edit?usp=sharing"",""ระนอง!N732"")+IMPORTRANGE(""https://docs.google.com/spreadsheets/d/"&amp;"1IbSCnFOKpZsnFogBHJnL_isstZVaOMnFiIN0fGTPZZw/edit?usp=sharing"",""สงขลา!N732"")+IMPORTRANGE(""https://docs.google.com/spreadsheets/d/1q9nWasZJ-K8bFGvbE9n0qSRuKGA4Toe3Y89cKCiVtCU/edit?usp=sharing"",""สตูล!N732"")+IMPORTRANGE(""https://docs.google.com/sprea"&amp;"dsheets/d/18T20gbkS_WBjdscyTOV05cvq_JqvqQ17C81mpxf7Ncs/edit?usp=sharing"",""สุราษฎร์ธานี!N732"")"),0)</f>
        <v>0</v>
      </c>
      <c r="O732" s="49">
        <f t="shared" ca="1" si="505"/>
        <v>0</v>
      </c>
      <c r="P732" s="49">
        <f t="shared" ca="1" si="506"/>
        <v>0</v>
      </c>
      <c r="Q732" s="49">
        <f ca="1">IFERROR(__xludf.DUMMYFUNCTION("IMPORTRANGE(""https://docs.google.com/spreadsheets/d/1kKUcYdkIfrgTSj8iHHHB2MD2FAtwyyocFgqGQn6ADyI/edit?usp=sharing"",""กระบี่!Q732"")+IMPORTRANGE(""https://docs.google.com/spreadsheets/d/1GwtLaSlNZkLk7iDqcyZz22giiy40b_usZZBXYciEN1U/edit?usp=sharing"",""ชุ"&amp;"มพร!Q732"")+IMPORTRANGE(""https://docs.google.com/spreadsheets/d/16pAz3pOhQEZBhvFNMa5KGgZS6iKWpsKX0pg6tQmwFpo/edit?usp=sharing"",""ตรัง!Q732"")+IMPORTRANGE(""https://docs.google.com/spreadsheets/d/1Dj4jcHCTV9JXKCaMoheSXS52JE63kDKyG7bPXnFogHk/edit?usp=shar"&amp;"ing"",""นครศรีธรรมราช!Q732"")+IMPORTRANGE(""https://docs.google.com/spreadsheets/d/1iodCdmuK2GR3jzUwk8tpccY2JHQQA-87DLOtJP-ooyU/edit?usp=sharing"",""นราธิวาส!Q732"")+IMPORTRANGE(""https://docs.google.com/spreadsheets/d/1SDNX3JhDdYRuIOsj0Wh2M-Qa_eaXl0NbWmh"&amp;"AOTbfQAs/edit?usp=sharing"",""ปัตตานี!Q732"")+IMPORTRANGE(""https://docs.google.com/spreadsheets/d/16JDLGguT8s5DsGCND1KcwHP_AWR_zDMTqLHPLJUKhaU/edit?usp=sharing"",""พังงา!Q732"")+IMPORTRANGE(""https://docs.google.com/spreadsheets/d/17ht0gPKzzT3PObBL1XJkeR"&amp;"mntBXI7wGjpLV7QorqlTk/edit?usp=sharing"",""พัทลุง!Q732"")+IMPORTRANGE(""https://docs.google.com/spreadsheets/d/1rd4qoM1q_hsgaolqNGfrim9gbsoLxQsda4-vOz5x_BM/edit?usp=sharing"",""ภูเก็ต!Q732"")+IMPORTRANGE(""https://docs.google.com/spreadsheets/d/1woKwKjgoL"&amp;"ssDvPcPeVyezB5izizAn4X1JDrys69n6xI/edit?usp=sharing"",""ยะลา!Q732"")+IMPORTRANGE(""https://docs.google.com/spreadsheets/d/1qfrKjzMhm2HJfxQ-qVlJlJQ25Hne1d0khsySbZyGtPA/edit?usp=sharing"",""ระนอง!Q732"")+IMPORTRANGE(""https://docs.google.com/spreadsheets/d/"&amp;"1IbSCnFOKpZsnFogBHJnL_isstZVaOMnFiIN0fGTPZZw/edit?usp=sharing"",""สงขลา!Q732"")+IMPORTRANGE(""https://docs.google.com/spreadsheets/d/1q9nWasZJ-K8bFGvbE9n0qSRuKGA4Toe3Y89cKCiVtCU/edit?usp=sharing"",""สตูล!Q732"")+IMPORTRANGE(""https://docs.google.com/sprea"&amp;"dsheets/d/18T20gbkS_WBjdscyTOV05cvq_JqvqQ17C81mpxf7Ncs/edit?usp=sharing"",""สุราษฎร์ธานี!Q732"")"),0)</f>
        <v>0</v>
      </c>
      <c r="R732" s="49">
        <f ca="1">IFERROR(__xludf.DUMMYFUNCTION("IMPORTRANGE(""https://docs.google.com/spreadsheets/d/1kKUcYdkIfrgTSj8iHHHB2MD2FAtwyyocFgqGQn6ADyI/edit?usp=sharing"",""กระบี่!R732"")+IMPORTRANGE(""https://docs.google.com/spreadsheets/d/1GwtLaSlNZkLk7iDqcyZz22giiy40b_usZZBXYciEN1U/edit?usp=sharing"",""ชุ"&amp;"มพร!R732"")+IMPORTRANGE(""https://docs.google.com/spreadsheets/d/16pAz3pOhQEZBhvFNMa5KGgZS6iKWpsKX0pg6tQmwFpo/edit?usp=sharing"",""ตรัง!R732"")+IMPORTRANGE(""https://docs.google.com/spreadsheets/d/1Dj4jcHCTV9JXKCaMoheSXS52JE63kDKyG7bPXnFogHk/edit?usp=shar"&amp;"ing"",""นครศรีธรรมราช!R732"")+IMPORTRANGE(""https://docs.google.com/spreadsheets/d/1iodCdmuK2GR3jzUwk8tpccY2JHQQA-87DLOtJP-ooyU/edit?usp=sharing"",""นราธิวาส!R732"")+IMPORTRANGE(""https://docs.google.com/spreadsheets/d/1SDNX3JhDdYRuIOsj0Wh2M-Qa_eaXl0NbWmh"&amp;"AOTbfQAs/edit?usp=sharing"",""ปัตตานี!R732"")+IMPORTRANGE(""https://docs.google.com/spreadsheets/d/16JDLGguT8s5DsGCND1KcwHP_AWR_zDMTqLHPLJUKhaU/edit?usp=sharing"",""พังงา!R732"")+IMPORTRANGE(""https://docs.google.com/spreadsheets/d/17ht0gPKzzT3PObBL1XJkeR"&amp;"mntBXI7wGjpLV7QorqlTk/edit?usp=sharing"",""พัทลุง!R732"")+IMPORTRANGE(""https://docs.google.com/spreadsheets/d/1rd4qoM1q_hsgaolqNGfrim9gbsoLxQsda4-vOz5x_BM/edit?usp=sharing"",""ภูเก็ต!R732"")+IMPORTRANGE(""https://docs.google.com/spreadsheets/d/1woKwKjgoL"&amp;"ssDvPcPeVyezB5izizAn4X1JDrys69n6xI/edit?usp=sharing"",""ยะลา!R732"")+IMPORTRANGE(""https://docs.google.com/spreadsheets/d/1qfrKjzMhm2HJfxQ-qVlJlJQ25Hne1d0khsySbZyGtPA/edit?usp=sharing"",""ระนอง!R732"")+IMPORTRANGE(""https://docs.google.com/spreadsheets/d/"&amp;"1IbSCnFOKpZsnFogBHJnL_isstZVaOMnFiIN0fGTPZZw/edit?usp=sharing"",""สงขลา!R732"")+IMPORTRANGE(""https://docs.google.com/spreadsheets/d/1q9nWasZJ-K8bFGvbE9n0qSRuKGA4Toe3Y89cKCiVtCU/edit?usp=sharing"",""สตูล!R732"")+IMPORTRANGE(""https://docs.google.com/sprea"&amp;"dsheets/d/18T20gbkS_WBjdscyTOV05cvq_JqvqQ17C81mpxf7Ncs/edit?usp=sharing"",""สุราษฎร์ธานี!R732"")"),0)</f>
        <v>0</v>
      </c>
      <c r="S732" s="49">
        <f ca="1">IFERROR(__xludf.DUMMYFUNCTION("IMPORTRANGE(""https://docs.google.com/spreadsheets/d/1kKUcYdkIfrgTSj8iHHHB2MD2FAtwyyocFgqGQn6ADyI/edit?usp=sharing"",""กระบี่!S732"")+IMPORTRANGE(""https://docs.google.com/spreadsheets/d/1GwtLaSlNZkLk7iDqcyZz22giiy40b_usZZBXYciEN1U/edit?usp=sharing"",""ชุ"&amp;"มพร!S732"")+IMPORTRANGE(""https://docs.google.com/spreadsheets/d/16pAz3pOhQEZBhvFNMa5KGgZS6iKWpsKX0pg6tQmwFpo/edit?usp=sharing"",""ตรัง!S732"")+IMPORTRANGE(""https://docs.google.com/spreadsheets/d/1Dj4jcHCTV9JXKCaMoheSXS52JE63kDKyG7bPXnFogHk/edit?usp=shar"&amp;"ing"",""นครศรีธรรมราช!S732"")+IMPORTRANGE(""https://docs.google.com/spreadsheets/d/1iodCdmuK2GR3jzUwk8tpccY2JHQQA-87DLOtJP-ooyU/edit?usp=sharing"",""นราธิวาส!S732"")+IMPORTRANGE(""https://docs.google.com/spreadsheets/d/1SDNX3JhDdYRuIOsj0Wh2M-Qa_eaXl0NbWmh"&amp;"AOTbfQAs/edit?usp=sharing"",""ปัตตานี!S732"")+IMPORTRANGE(""https://docs.google.com/spreadsheets/d/16JDLGguT8s5DsGCND1KcwHP_AWR_zDMTqLHPLJUKhaU/edit?usp=sharing"",""พังงา!S732"")+IMPORTRANGE(""https://docs.google.com/spreadsheets/d/17ht0gPKzzT3PObBL1XJkeR"&amp;"mntBXI7wGjpLV7QorqlTk/edit?usp=sharing"",""พัทลุง!S732"")+IMPORTRANGE(""https://docs.google.com/spreadsheets/d/1rd4qoM1q_hsgaolqNGfrim9gbsoLxQsda4-vOz5x_BM/edit?usp=sharing"",""ภูเก็ต!S732"")+IMPORTRANGE(""https://docs.google.com/spreadsheets/d/1woKwKjgoL"&amp;"ssDvPcPeVyezB5izizAn4X1JDrys69n6xI/edit?usp=sharing"",""ยะลา!S732"")+IMPORTRANGE(""https://docs.google.com/spreadsheets/d/1qfrKjzMhm2HJfxQ-qVlJlJQ25Hne1d0khsySbZyGtPA/edit?usp=sharing"",""ระนอง!S732"")+IMPORTRANGE(""https://docs.google.com/spreadsheets/d/"&amp;"1IbSCnFOKpZsnFogBHJnL_isstZVaOMnFiIN0fGTPZZw/edit?usp=sharing"",""สงขลา!S732"")+IMPORTRANGE(""https://docs.google.com/spreadsheets/d/1q9nWasZJ-K8bFGvbE9n0qSRuKGA4Toe3Y89cKCiVtCU/edit?usp=sharing"",""สตูล!S732"")+IMPORTRANGE(""https://docs.google.com/sprea"&amp;"dsheets/d/18T20gbkS_WBjdscyTOV05cvq_JqvqQ17C81mpxf7Ncs/edit?usp=sharing"",""สุราษฎร์ธานี!S732"")"),0)</f>
        <v>0</v>
      </c>
      <c r="T732" s="49">
        <f t="shared" ca="1" si="508"/>
        <v>0</v>
      </c>
      <c r="U732" s="49">
        <f t="shared" ca="1" si="509"/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47">
        <f ca="1">IFERROR(__xludf.DUMMYFUNCTION("IMPORTRANGE(""https://docs.google.com/spreadsheets/d/1kKUcYdkIfrgTSj8iHHHB2MD2FAtwyyocFgqGQn6ADyI/edit?usp=sharing"",""กระบี่!L733"")+IMPORTRANGE(""https://docs.google.com/spreadsheets/d/1GwtLaSlNZkLk7iDqcyZz22giiy40b_usZZBXYciEN1U/edit?usp=sharing"",""ชุ"&amp;"มพร!L733"")+IMPORTRANGE(""https://docs.google.com/spreadsheets/d/16pAz3pOhQEZBhvFNMa5KGgZS6iKWpsKX0pg6tQmwFpo/edit?usp=sharing"",""ตรัง!L733"")+IMPORTRANGE(""https://docs.google.com/spreadsheets/d/1Dj4jcHCTV9JXKCaMoheSXS52JE63kDKyG7bPXnFogHk/edit?usp=shar"&amp;"ing"",""นครศรีธรรมราช!L733"")+IMPORTRANGE(""https://docs.google.com/spreadsheets/d/1iodCdmuK2GR3jzUwk8tpccY2JHQQA-87DLOtJP-ooyU/edit?usp=sharing"",""นราธิวาส!L733"")+IMPORTRANGE(""https://docs.google.com/spreadsheets/d/1SDNX3JhDdYRuIOsj0Wh2M-Qa_eaXl0NbWmh"&amp;"AOTbfQAs/edit?usp=sharing"",""ปัตตานี!L733"")+IMPORTRANGE(""https://docs.google.com/spreadsheets/d/16JDLGguT8s5DsGCND1KcwHP_AWR_zDMTqLHPLJUKhaU/edit?usp=sharing"",""พังงา!L733"")+IMPORTRANGE(""https://docs.google.com/spreadsheets/d/17ht0gPKzzT3PObBL1XJkeR"&amp;"mntBXI7wGjpLV7QorqlTk/edit?usp=sharing"",""พัทลุง!L733"")+IMPORTRANGE(""https://docs.google.com/spreadsheets/d/1rd4qoM1q_hsgaolqNGfrim9gbsoLxQsda4-vOz5x_BM/edit?usp=sharing"",""ภูเก็ต!L733"")+IMPORTRANGE(""https://docs.google.com/spreadsheets/d/1woKwKjgoL"&amp;"ssDvPcPeVyezB5izizAn4X1JDrys69n6xI/edit?usp=sharing"",""ยะลา!L733"")+IMPORTRANGE(""https://docs.google.com/spreadsheets/d/1qfrKjzMhm2HJfxQ-qVlJlJQ25Hne1d0khsySbZyGtPA/edit?usp=sharing"",""ระนอง!L733"")+IMPORTRANGE(""https://docs.google.com/spreadsheets/d/"&amp;"1IbSCnFOKpZsnFogBHJnL_isstZVaOMnFiIN0fGTPZZw/edit?usp=sharing"",""สงขลา!L733"")+IMPORTRANGE(""https://docs.google.com/spreadsheets/d/1q9nWasZJ-K8bFGvbE9n0qSRuKGA4Toe3Y89cKCiVtCU/edit?usp=sharing"",""สตูล!L733"")+IMPORTRANGE(""https://docs.google.com/sprea"&amp;"dsheets/d/18T20gbkS_WBjdscyTOV05cvq_JqvqQ17C81mpxf7Ncs/edit?usp=sharing"",""สุราษฎร์ธานี!L733"")"),0)</f>
        <v>0</v>
      </c>
      <c r="M733" s="47">
        <f ca="1">IFERROR(__xludf.DUMMYFUNCTION("IMPORTRANGE(""https://docs.google.com/spreadsheets/d/1kKUcYdkIfrgTSj8iHHHB2MD2FAtwyyocFgqGQn6ADyI/edit?usp=sharing"",""กระบี่!M733"")+IMPORTRANGE(""https://docs.google.com/spreadsheets/d/1GwtLaSlNZkLk7iDqcyZz22giiy40b_usZZBXYciEN1U/edit?usp=sharing"",""ชุ"&amp;"มพร!M733"")+IMPORTRANGE(""https://docs.google.com/spreadsheets/d/16pAz3pOhQEZBhvFNMa5KGgZS6iKWpsKX0pg6tQmwFpo/edit?usp=sharing"",""ตรัง!M733"")+IMPORTRANGE(""https://docs.google.com/spreadsheets/d/1Dj4jcHCTV9JXKCaMoheSXS52JE63kDKyG7bPXnFogHk/edit?usp=shar"&amp;"ing"",""นครศรีธรรมราช!M733"")+IMPORTRANGE(""https://docs.google.com/spreadsheets/d/1iodCdmuK2GR3jzUwk8tpccY2JHQQA-87DLOtJP-ooyU/edit?usp=sharing"",""นราธิวาส!M733"")+IMPORTRANGE(""https://docs.google.com/spreadsheets/d/1SDNX3JhDdYRuIOsj0Wh2M-Qa_eaXl0NbWmh"&amp;"AOTbfQAs/edit?usp=sharing"",""ปัตตานี!M733"")+IMPORTRANGE(""https://docs.google.com/spreadsheets/d/16JDLGguT8s5DsGCND1KcwHP_AWR_zDMTqLHPLJUKhaU/edit?usp=sharing"",""พังงา!M733"")+IMPORTRANGE(""https://docs.google.com/spreadsheets/d/17ht0gPKzzT3PObBL1XJkeR"&amp;"mntBXI7wGjpLV7QorqlTk/edit?usp=sharing"",""พัทลุง!M733"")+IMPORTRANGE(""https://docs.google.com/spreadsheets/d/1rd4qoM1q_hsgaolqNGfrim9gbsoLxQsda4-vOz5x_BM/edit?usp=sharing"",""ภูเก็ต!M733"")+IMPORTRANGE(""https://docs.google.com/spreadsheets/d/1woKwKjgoL"&amp;"ssDvPcPeVyezB5izizAn4X1JDrys69n6xI/edit?usp=sharing"",""ยะลา!M733"")+IMPORTRANGE(""https://docs.google.com/spreadsheets/d/1qfrKjzMhm2HJfxQ-qVlJlJQ25Hne1d0khsySbZyGtPA/edit?usp=sharing"",""ระนอง!M733"")+IMPORTRANGE(""https://docs.google.com/spreadsheets/d/"&amp;"1IbSCnFOKpZsnFogBHJnL_isstZVaOMnFiIN0fGTPZZw/edit?usp=sharing"",""สงขลา!M733"")+IMPORTRANGE(""https://docs.google.com/spreadsheets/d/1q9nWasZJ-K8bFGvbE9n0qSRuKGA4Toe3Y89cKCiVtCU/edit?usp=sharing"",""สตูล!M733"")+IMPORTRANGE(""https://docs.google.com/sprea"&amp;"dsheets/d/18T20gbkS_WBjdscyTOV05cvq_JqvqQ17C81mpxf7Ncs/edit?usp=sharing"",""สุราษฎร์ธานี!M733"")"),0)</f>
        <v>0</v>
      </c>
      <c r="N733" s="47">
        <f ca="1">IFERROR(__xludf.DUMMYFUNCTION("IMPORTRANGE(""https://docs.google.com/spreadsheets/d/1kKUcYdkIfrgTSj8iHHHB2MD2FAtwyyocFgqGQn6ADyI/edit?usp=sharing"",""กระบี่!N733"")+IMPORTRANGE(""https://docs.google.com/spreadsheets/d/1GwtLaSlNZkLk7iDqcyZz22giiy40b_usZZBXYciEN1U/edit?usp=sharing"",""ชุ"&amp;"มพร!N733"")+IMPORTRANGE(""https://docs.google.com/spreadsheets/d/16pAz3pOhQEZBhvFNMa5KGgZS6iKWpsKX0pg6tQmwFpo/edit?usp=sharing"",""ตรัง!N733"")+IMPORTRANGE(""https://docs.google.com/spreadsheets/d/1Dj4jcHCTV9JXKCaMoheSXS52JE63kDKyG7bPXnFogHk/edit?usp=shar"&amp;"ing"",""นครศรีธรรมราช!N733"")+IMPORTRANGE(""https://docs.google.com/spreadsheets/d/1iodCdmuK2GR3jzUwk8tpccY2JHQQA-87DLOtJP-ooyU/edit?usp=sharing"",""นราธิวาส!N733"")+IMPORTRANGE(""https://docs.google.com/spreadsheets/d/1SDNX3JhDdYRuIOsj0Wh2M-Qa_eaXl0NbWmh"&amp;"AOTbfQAs/edit?usp=sharing"",""ปัตตานี!N733"")+IMPORTRANGE(""https://docs.google.com/spreadsheets/d/16JDLGguT8s5DsGCND1KcwHP_AWR_zDMTqLHPLJUKhaU/edit?usp=sharing"",""พังงา!N733"")+IMPORTRANGE(""https://docs.google.com/spreadsheets/d/17ht0gPKzzT3PObBL1XJkeR"&amp;"mntBXI7wGjpLV7QorqlTk/edit?usp=sharing"",""พัทลุง!N733"")+IMPORTRANGE(""https://docs.google.com/spreadsheets/d/1rd4qoM1q_hsgaolqNGfrim9gbsoLxQsda4-vOz5x_BM/edit?usp=sharing"",""ภูเก็ต!N733"")+IMPORTRANGE(""https://docs.google.com/spreadsheets/d/1woKwKjgoL"&amp;"ssDvPcPeVyezB5izizAn4X1JDrys69n6xI/edit?usp=sharing"",""ยะลา!N733"")+IMPORTRANGE(""https://docs.google.com/spreadsheets/d/1qfrKjzMhm2HJfxQ-qVlJlJQ25Hne1d0khsySbZyGtPA/edit?usp=sharing"",""ระนอง!N733"")+IMPORTRANGE(""https://docs.google.com/spreadsheets/d/"&amp;"1IbSCnFOKpZsnFogBHJnL_isstZVaOMnFiIN0fGTPZZw/edit?usp=sharing"",""สงขลา!N733"")+IMPORTRANGE(""https://docs.google.com/spreadsheets/d/1q9nWasZJ-K8bFGvbE9n0qSRuKGA4Toe3Y89cKCiVtCU/edit?usp=sharing"",""สตูล!N733"")+IMPORTRANGE(""https://docs.google.com/sprea"&amp;"dsheets/d/18T20gbkS_WBjdscyTOV05cvq_JqvqQ17C81mpxf7Ncs/edit?usp=sharing"",""สุราษฎร์ธานี!N733"")"),0)</f>
        <v>0</v>
      </c>
      <c r="O733" s="47">
        <f t="shared" ca="1" si="505"/>
        <v>0</v>
      </c>
      <c r="P733" s="47">
        <f t="shared" ca="1" si="506"/>
        <v>0</v>
      </c>
      <c r="Q733" s="47">
        <f ca="1">IFERROR(__xludf.DUMMYFUNCTION("IMPORTRANGE(""https://docs.google.com/spreadsheets/d/1kKUcYdkIfrgTSj8iHHHB2MD2FAtwyyocFgqGQn6ADyI/edit?usp=sharing"",""กระบี่!Q733"")+IMPORTRANGE(""https://docs.google.com/spreadsheets/d/1GwtLaSlNZkLk7iDqcyZz22giiy40b_usZZBXYciEN1U/edit?usp=sharing"",""ชุ"&amp;"มพร!Q733"")+IMPORTRANGE(""https://docs.google.com/spreadsheets/d/16pAz3pOhQEZBhvFNMa5KGgZS6iKWpsKX0pg6tQmwFpo/edit?usp=sharing"",""ตรัง!Q733"")+IMPORTRANGE(""https://docs.google.com/spreadsheets/d/1Dj4jcHCTV9JXKCaMoheSXS52JE63kDKyG7bPXnFogHk/edit?usp=shar"&amp;"ing"",""นครศรีธรรมราช!Q733"")+IMPORTRANGE(""https://docs.google.com/spreadsheets/d/1iodCdmuK2GR3jzUwk8tpccY2JHQQA-87DLOtJP-ooyU/edit?usp=sharing"",""นราธิวาส!Q733"")+IMPORTRANGE(""https://docs.google.com/spreadsheets/d/1SDNX3JhDdYRuIOsj0Wh2M-Qa_eaXl0NbWmh"&amp;"AOTbfQAs/edit?usp=sharing"",""ปัตตานี!Q733"")+IMPORTRANGE(""https://docs.google.com/spreadsheets/d/16JDLGguT8s5DsGCND1KcwHP_AWR_zDMTqLHPLJUKhaU/edit?usp=sharing"",""พังงา!Q733"")+IMPORTRANGE(""https://docs.google.com/spreadsheets/d/17ht0gPKzzT3PObBL1XJkeR"&amp;"mntBXI7wGjpLV7QorqlTk/edit?usp=sharing"",""พัทลุง!Q733"")+IMPORTRANGE(""https://docs.google.com/spreadsheets/d/1rd4qoM1q_hsgaolqNGfrim9gbsoLxQsda4-vOz5x_BM/edit?usp=sharing"",""ภูเก็ต!Q733"")+IMPORTRANGE(""https://docs.google.com/spreadsheets/d/1woKwKjgoL"&amp;"ssDvPcPeVyezB5izizAn4X1JDrys69n6xI/edit?usp=sharing"",""ยะลา!Q733"")+IMPORTRANGE(""https://docs.google.com/spreadsheets/d/1qfrKjzMhm2HJfxQ-qVlJlJQ25Hne1d0khsySbZyGtPA/edit?usp=sharing"",""ระนอง!Q733"")+IMPORTRANGE(""https://docs.google.com/spreadsheets/d/"&amp;"1IbSCnFOKpZsnFogBHJnL_isstZVaOMnFiIN0fGTPZZw/edit?usp=sharing"",""สงขลา!Q733"")+IMPORTRANGE(""https://docs.google.com/spreadsheets/d/1q9nWasZJ-K8bFGvbE9n0qSRuKGA4Toe3Y89cKCiVtCU/edit?usp=sharing"",""สตูล!Q733"")+IMPORTRANGE(""https://docs.google.com/sprea"&amp;"dsheets/d/18T20gbkS_WBjdscyTOV05cvq_JqvqQ17C81mpxf7Ncs/edit?usp=sharing"",""สุราษฎร์ธานี!Q733"")"),2422324)</f>
        <v>2422324</v>
      </c>
      <c r="R733" s="47">
        <f ca="1">IFERROR(__xludf.DUMMYFUNCTION("IMPORTRANGE(""https://docs.google.com/spreadsheets/d/1kKUcYdkIfrgTSj8iHHHB2MD2FAtwyyocFgqGQn6ADyI/edit?usp=sharing"",""กระบี่!R733"")+IMPORTRANGE(""https://docs.google.com/spreadsheets/d/1GwtLaSlNZkLk7iDqcyZz22giiy40b_usZZBXYciEN1U/edit?usp=sharing"",""ชุ"&amp;"มพร!R733"")+IMPORTRANGE(""https://docs.google.com/spreadsheets/d/16pAz3pOhQEZBhvFNMa5KGgZS6iKWpsKX0pg6tQmwFpo/edit?usp=sharing"",""ตรัง!R733"")+IMPORTRANGE(""https://docs.google.com/spreadsheets/d/1Dj4jcHCTV9JXKCaMoheSXS52JE63kDKyG7bPXnFogHk/edit?usp=shar"&amp;"ing"",""นครศรีธรรมราช!R733"")+IMPORTRANGE(""https://docs.google.com/spreadsheets/d/1iodCdmuK2GR3jzUwk8tpccY2JHQQA-87DLOtJP-ooyU/edit?usp=sharing"",""นราธิวาส!R733"")+IMPORTRANGE(""https://docs.google.com/spreadsheets/d/1SDNX3JhDdYRuIOsj0Wh2M-Qa_eaXl0NbWmh"&amp;"AOTbfQAs/edit?usp=sharing"",""ปัตตานี!R733"")+IMPORTRANGE(""https://docs.google.com/spreadsheets/d/16JDLGguT8s5DsGCND1KcwHP_AWR_zDMTqLHPLJUKhaU/edit?usp=sharing"",""พังงา!R733"")+IMPORTRANGE(""https://docs.google.com/spreadsheets/d/17ht0gPKzzT3PObBL1XJkeR"&amp;"mntBXI7wGjpLV7QorqlTk/edit?usp=sharing"",""พัทลุง!R733"")+IMPORTRANGE(""https://docs.google.com/spreadsheets/d/1rd4qoM1q_hsgaolqNGfrim9gbsoLxQsda4-vOz5x_BM/edit?usp=sharing"",""ภูเก็ต!R733"")+IMPORTRANGE(""https://docs.google.com/spreadsheets/d/1woKwKjgoL"&amp;"ssDvPcPeVyezB5izizAn4X1JDrys69n6xI/edit?usp=sharing"",""ยะลา!R733"")+IMPORTRANGE(""https://docs.google.com/spreadsheets/d/1qfrKjzMhm2HJfxQ-qVlJlJQ25Hne1d0khsySbZyGtPA/edit?usp=sharing"",""ระนอง!R733"")+IMPORTRANGE(""https://docs.google.com/spreadsheets/d/"&amp;"1IbSCnFOKpZsnFogBHJnL_isstZVaOMnFiIN0fGTPZZw/edit?usp=sharing"",""สงขลา!R733"")+IMPORTRANGE(""https://docs.google.com/spreadsheets/d/1q9nWasZJ-K8bFGvbE9n0qSRuKGA4Toe3Y89cKCiVtCU/edit?usp=sharing"",""สตูล!R733"")+IMPORTRANGE(""https://docs.google.com/sprea"&amp;"dsheets/d/18T20gbkS_WBjdscyTOV05cvq_JqvqQ17C81mpxf7Ncs/edit?usp=sharing"",""สุราษฎร์ธานี!R733"")"),2479224)</f>
        <v>2479224</v>
      </c>
      <c r="S733" s="47">
        <f ca="1">IFERROR(__xludf.DUMMYFUNCTION("IMPORTRANGE(""https://docs.google.com/spreadsheets/d/1kKUcYdkIfrgTSj8iHHHB2MD2FAtwyyocFgqGQn6ADyI/edit?usp=sharing"",""กระบี่!S733"")+IMPORTRANGE(""https://docs.google.com/spreadsheets/d/1GwtLaSlNZkLk7iDqcyZz22giiy40b_usZZBXYciEN1U/edit?usp=sharing"",""ชุ"&amp;"มพร!S733"")+IMPORTRANGE(""https://docs.google.com/spreadsheets/d/16pAz3pOhQEZBhvFNMa5KGgZS6iKWpsKX0pg6tQmwFpo/edit?usp=sharing"",""ตรัง!S733"")+IMPORTRANGE(""https://docs.google.com/spreadsheets/d/1Dj4jcHCTV9JXKCaMoheSXS52JE63kDKyG7bPXnFogHk/edit?usp=shar"&amp;"ing"",""นครศรีธรรมราช!S733"")+IMPORTRANGE(""https://docs.google.com/spreadsheets/d/1iodCdmuK2GR3jzUwk8tpccY2JHQQA-87DLOtJP-ooyU/edit?usp=sharing"",""นราธิวาส!S733"")+IMPORTRANGE(""https://docs.google.com/spreadsheets/d/1SDNX3JhDdYRuIOsj0Wh2M-Qa_eaXl0NbWmh"&amp;"AOTbfQAs/edit?usp=sharing"",""ปัตตานี!S733"")+IMPORTRANGE(""https://docs.google.com/spreadsheets/d/16JDLGguT8s5DsGCND1KcwHP_AWR_zDMTqLHPLJUKhaU/edit?usp=sharing"",""พังงา!S733"")+IMPORTRANGE(""https://docs.google.com/spreadsheets/d/17ht0gPKzzT3PObBL1XJkeR"&amp;"mntBXI7wGjpLV7QorqlTk/edit?usp=sharing"",""พัทลุง!S733"")+IMPORTRANGE(""https://docs.google.com/spreadsheets/d/1rd4qoM1q_hsgaolqNGfrim9gbsoLxQsda4-vOz5x_BM/edit?usp=sharing"",""ภูเก็ต!S733"")+IMPORTRANGE(""https://docs.google.com/spreadsheets/d/1woKwKjgoL"&amp;"ssDvPcPeVyezB5izizAn4X1JDrys69n6xI/edit?usp=sharing"",""ยะลา!S733"")+IMPORTRANGE(""https://docs.google.com/spreadsheets/d/1qfrKjzMhm2HJfxQ-qVlJlJQ25Hne1d0khsySbZyGtPA/edit?usp=sharing"",""ระนอง!S733"")+IMPORTRANGE(""https://docs.google.com/spreadsheets/d/"&amp;"1IbSCnFOKpZsnFogBHJnL_isstZVaOMnFiIN0fGTPZZw/edit?usp=sharing"",""สงขลา!S733"")+IMPORTRANGE(""https://docs.google.com/spreadsheets/d/1q9nWasZJ-K8bFGvbE9n0qSRuKGA4Toe3Y89cKCiVtCU/edit?usp=sharing"",""สตูล!S733"")+IMPORTRANGE(""https://docs.google.com/sprea"&amp;"dsheets/d/18T20gbkS_WBjdscyTOV05cvq_JqvqQ17C81mpxf7Ncs/edit?usp=sharing"",""สุราษฎร์ธานี!S733"")"),718374.61)</f>
        <v>718374.61</v>
      </c>
      <c r="T733" s="47">
        <f t="shared" ca="1" si="508"/>
        <v>29.656421271473182</v>
      </c>
      <c r="U733" s="47">
        <f t="shared" ca="1" si="509"/>
        <v>28.975784761683496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47">
        <f t="shared" ref="L734:N734" ca="1" si="516">L735+L736</f>
        <v>0</v>
      </c>
      <c r="M734" s="47">
        <f t="shared" ca="1" si="516"/>
        <v>0</v>
      </c>
      <c r="N734" s="47">
        <f t="shared" ca="1" si="516"/>
        <v>0</v>
      </c>
      <c r="O734" s="47">
        <f t="shared" ca="1" si="505"/>
        <v>0</v>
      </c>
      <c r="P734" s="47">
        <f t="shared" ca="1" si="506"/>
        <v>0</v>
      </c>
      <c r="Q734" s="47">
        <f t="shared" ref="Q734:S734" ca="1" si="517">Q735+Q736</f>
        <v>0</v>
      </c>
      <c r="R734" s="47">
        <f t="shared" ca="1" si="517"/>
        <v>0</v>
      </c>
      <c r="S734" s="47">
        <f t="shared" ca="1" si="517"/>
        <v>0</v>
      </c>
      <c r="T734" s="47">
        <f t="shared" ca="1" si="508"/>
        <v>0</v>
      </c>
      <c r="U734" s="47">
        <f t="shared" ca="1" si="509"/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49">
        <f ca="1">IFERROR(__xludf.DUMMYFUNCTION("IMPORTRANGE(""https://docs.google.com/spreadsheets/d/1kKUcYdkIfrgTSj8iHHHB2MD2FAtwyyocFgqGQn6ADyI/edit?usp=sharing"",""กระบี่!L735"")+IMPORTRANGE(""https://docs.google.com/spreadsheets/d/1GwtLaSlNZkLk7iDqcyZz22giiy40b_usZZBXYciEN1U/edit?usp=sharing"",""ชุ"&amp;"มพร!L735"")+IMPORTRANGE(""https://docs.google.com/spreadsheets/d/16pAz3pOhQEZBhvFNMa5KGgZS6iKWpsKX0pg6tQmwFpo/edit?usp=sharing"",""ตรัง!L735"")+IMPORTRANGE(""https://docs.google.com/spreadsheets/d/1Dj4jcHCTV9JXKCaMoheSXS52JE63kDKyG7bPXnFogHk/edit?usp=shar"&amp;"ing"",""นครศรีธรรมราช!L735"")+IMPORTRANGE(""https://docs.google.com/spreadsheets/d/1iodCdmuK2GR3jzUwk8tpccY2JHQQA-87DLOtJP-ooyU/edit?usp=sharing"",""นราธิวาส!L735"")+IMPORTRANGE(""https://docs.google.com/spreadsheets/d/1SDNX3JhDdYRuIOsj0Wh2M-Qa_eaXl0NbWmh"&amp;"AOTbfQAs/edit?usp=sharing"",""ปัตตานี!L735"")+IMPORTRANGE(""https://docs.google.com/spreadsheets/d/16JDLGguT8s5DsGCND1KcwHP_AWR_zDMTqLHPLJUKhaU/edit?usp=sharing"",""พังงา!L735"")+IMPORTRANGE(""https://docs.google.com/spreadsheets/d/17ht0gPKzzT3PObBL1XJkeR"&amp;"mntBXI7wGjpLV7QorqlTk/edit?usp=sharing"",""พัทลุง!L735"")+IMPORTRANGE(""https://docs.google.com/spreadsheets/d/1rd4qoM1q_hsgaolqNGfrim9gbsoLxQsda4-vOz5x_BM/edit?usp=sharing"",""ภูเก็ต!L735"")+IMPORTRANGE(""https://docs.google.com/spreadsheets/d/1woKwKjgoL"&amp;"ssDvPcPeVyezB5izizAn4X1JDrys69n6xI/edit?usp=sharing"",""ยะลา!L735"")+IMPORTRANGE(""https://docs.google.com/spreadsheets/d/1qfrKjzMhm2HJfxQ-qVlJlJQ25Hne1d0khsySbZyGtPA/edit?usp=sharing"",""ระนอง!L735"")+IMPORTRANGE(""https://docs.google.com/spreadsheets/d/"&amp;"1IbSCnFOKpZsnFogBHJnL_isstZVaOMnFiIN0fGTPZZw/edit?usp=sharing"",""สงขลา!L735"")+IMPORTRANGE(""https://docs.google.com/spreadsheets/d/1q9nWasZJ-K8bFGvbE9n0qSRuKGA4Toe3Y89cKCiVtCU/edit?usp=sharing"",""สตูล!L735"")+IMPORTRANGE(""https://docs.google.com/sprea"&amp;"dsheets/d/18T20gbkS_WBjdscyTOV05cvq_JqvqQ17C81mpxf7Ncs/edit?usp=sharing"",""สุราษฎร์ธานี!L735"")"),0)</f>
        <v>0</v>
      </c>
      <c r="M735" s="49">
        <f ca="1">IFERROR(__xludf.DUMMYFUNCTION("IMPORTRANGE(""https://docs.google.com/spreadsheets/d/1kKUcYdkIfrgTSj8iHHHB2MD2FAtwyyocFgqGQn6ADyI/edit?usp=sharing"",""กระบี่!M735"")+IMPORTRANGE(""https://docs.google.com/spreadsheets/d/1GwtLaSlNZkLk7iDqcyZz22giiy40b_usZZBXYciEN1U/edit?usp=sharing"",""ชุ"&amp;"มพร!M735"")+IMPORTRANGE(""https://docs.google.com/spreadsheets/d/16pAz3pOhQEZBhvFNMa5KGgZS6iKWpsKX0pg6tQmwFpo/edit?usp=sharing"",""ตรัง!M735"")+IMPORTRANGE(""https://docs.google.com/spreadsheets/d/1Dj4jcHCTV9JXKCaMoheSXS52JE63kDKyG7bPXnFogHk/edit?usp=shar"&amp;"ing"",""นครศรีธรรมราช!M735"")+IMPORTRANGE(""https://docs.google.com/spreadsheets/d/1iodCdmuK2GR3jzUwk8tpccY2JHQQA-87DLOtJP-ooyU/edit?usp=sharing"",""นราธิวาส!M735"")+IMPORTRANGE(""https://docs.google.com/spreadsheets/d/1SDNX3JhDdYRuIOsj0Wh2M-Qa_eaXl0NbWmh"&amp;"AOTbfQAs/edit?usp=sharing"",""ปัตตานี!M735"")+IMPORTRANGE(""https://docs.google.com/spreadsheets/d/16JDLGguT8s5DsGCND1KcwHP_AWR_zDMTqLHPLJUKhaU/edit?usp=sharing"",""พังงา!M735"")+IMPORTRANGE(""https://docs.google.com/spreadsheets/d/17ht0gPKzzT3PObBL1XJkeR"&amp;"mntBXI7wGjpLV7QorqlTk/edit?usp=sharing"",""พัทลุง!M735"")+IMPORTRANGE(""https://docs.google.com/spreadsheets/d/1rd4qoM1q_hsgaolqNGfrim9gbsoLxQsda4-vOz5x_BM/edit?usp=sharing"",""ภูเก็ต!M735"")+IMPORTRANGE(""https://docs.google.com/spreadsheets/d/1woKwKjgoL"&amp;"ssDvPcPeVyezB5izizAn4X1JDrys69n6xI/edit?usp=sharing"",""ยะลา!M735"")+IMPORTRANGE(""https://docs.google.com/spreadsheets/d/1qfrKjzMhm2HJfxQ-qVlJlJQ25Hne1d0khsySbZyGtPA/edit?usp=sharing"",""ระนอง!M735"")+IMPORTRANGE(""https://docs.google.com/spreadsheets/d/"&amp;"1IbSCnFOKpZsnFogBHJnL_isstZVaOMnFiIN0fGTPZZw/edit?usp=sharing"",""สงขลา!M735"")+IMPORTRANGE(""https://docs.google.com/spreadsheets/d/1q9nWasZJ-K8bFGvbE9n0qSRuKGA4Toe3Y89cKCiVtCU/edit?usp=sharing"",""สตูล!M735"")+IMPORTRANGE(""https://docs.google.com/sprea"&amp;"dsheets/d/18T20gbkS_WBjdscyTOV05cvq_JqvqQ17C81mpxf7Ncs/edit?usp=sharing"",""สุราษฎร์ธานี!M735"")"),0)</f>
        <v>0</v>
      </c>
      <c r="N735" s="49">
        <f ca="1">IFERROR(__xludf.DUMMYFUNCTION("IMPORTRANGE(""https://docs.google.com/spreadsheets/d/1kKUcYdkIfrgTSj8iHHHB2MD2FAtwyyocFgqGQn6ADyI/edit?usp=sharing"",""กระบี่!N735"")+IMPORTRANGE(""https://docs.google.com/spreadsheets/d/1GwtLaSlNZkLk7iDqcyZz22giiy40b_usZZBXYciEN1U/edit?usp=sharing"",""ชุ"&amp;"มพร!N735"")+IMPORTRANGE(""https://docs.google.com/spreadsheets/d/16pAz3pOhQEZBhvFNMa5KGgZS6iKWpsKX0pg6tQmwFpo/edit?usp=sharing"",""ตรัง!N735"")+IMPORTRANGE(""https://docs.google.com/spreadsheets/d/1Dj4jcHCTV9JXKCaMoheSXS52JE63kDKyG7bPXnFogHk/edit?usp=shar"&amp;"ing"",""นครศรีธรรมราช!N735"")+IMPORTRANGE(""https://docs.google.com/spreadsheets/d/1iodCdmuK2GR3jzUwk8tpccY2JHQQA-87DLOtJP-ooyU/edit?usp=sharing"",""นราธิวาส!N735"")+IMPORTRANGE(""https://docs.google.com/spreadsheets/d/1SDNX3JhDdYRuIOsj0Wh2M-Qa_eaXl0NbWmh"&amp;"AOTbfQAs/edit?usp=sharing"",""ปัตตานี!N735"")+IMPORTRANGE(""https://docs.google.com/spreadsheets/d/16JDLGguT8s5DsGCND1KcwHP_AWR_zDMTqLHPLJUKhaU/edit?usp=sharing"",""พังงา!N735"")+IMPORTRANGE(""https://docs.google.com/spreadsheets/d/17ht0gPKzzT3PObBL1XJkeR"&amp;"mntBXI7wGjpLV7QorqlTk/edit?usp=sharing"",""พัทลุง!N735"")+IMPORTRANGE(""https://docs.google.com/spreadsheets/d/1rd4qoM1q_hsgaolqNGfrim9gbsoLxQsda4-vOz5x_BM/edit?usp=sharing"",""ภูเก็ต!N735"")+IMPORTRANGE(""https://docs.google.com/spreadsheets/d/1woKwKjgoL"&amp;"ssDvPcPeVyezB5izizAn4X1JDrys69n6xI/edit?usp=sharing"",""ยะลา!N735"")+IMPORTRANGE(""https://docs.google.com/spreadsheets/d/1qfrKjzMhm2HJfxQ-qVlJlJQ25Hne1d0khsySbZyGtPA/edit?usp=sharing"",""ระนอง!N735"")+IMPORTRANGE(""https://docs.google.com/spreadsheets/d/"&amp;"1IbSCnFOKpZsnFogBHJnL_isstZVaOMnFiIN0fGTPZZw/edit?usp=sharing"",""สงขลา!N735"")+IMPORTRANGE(""https://docs.google.com/spreadsheets/d/1q9nWasZJ-K8bFGvbE9n0qSRuKGA4Toe3Y89cKCiVtCU/edit?usp=sharing"",""สตูล!N735"")+IMPORTRANGE(""https://docs.google.com/sprea"&amp;"dsheets/d/18T20gbkS_WBjdscyTOV05cvq_JqvqQ17C81mpxf7Ncs/edit?usp=sharing"",""สุราษฎร์ธานี!N735"")"),0)</f>
        <v>0</v>
      </c>
      <c r="O735" s="49">
        <f t="shared" ca="1" si="505"/>
        <v>0</v>
      </c>
      <c r="P735" s="49">
        <f t="shared" ca="1" si="506"/>
        <v>0</v>
      </c>
      <c r="Q735" s="49">
        <f ca="1">IFERROR(__xludf.DUMMYFUNCTION("IMPORTRANGE(""https://docs.google.com/spreadsheets/d/1kKUcYdkIfrgTSj8iHHHB2MD2FAtwyyocFgqGQn6ADyI/edit?usp=sharing"",""กระบี่!Q735"")+IMPORTRANGE(""https://docs.google.com/spreadsheets/d/1GwtLaSlNZkLk7iDqcyZz22giiy40b_usZZBXYciEN1U/edit?usp=sharing"",""ชุ"&amp;"มพร!Q735"")+IMPORTRANGE(""https://docs.google.com/spreadsheets/d/16pAz3pOhQEZBhvFNMa5KGgZS6iKWpsKX0pg6tQmwFpo/edit?usp=sharing"",""ตรัง!Q735"")+IMPORTRANGE(""https://docs.google.com/spreadsheets/d/1Dj4jcHCTV9JXKCaMoheSXS52JE63kDKyG7bPXnFogHk/edit?usp=shar"&amp;"ing"",""นครศรีธรรมราช!Q735"")+IMPORTRANGE(""https://docs.google.com/spreadsheets/d/1iodCdmuK2GR3jzUwk8tpccY2JHQQA-87DLOtJP-ooyU/edit?usp=sharing"",""นราธิวาส!Q735"")+IMPORTRANGE(""https://docs.google.com/spreadsheets/d/1SDNX3JhDdYRuIOsj0Wh2M-Qa_eaXl0NbWmh"&amp;"AOTbfQAs/edit?usp=sharing"",""ปัตตานี!Q735"")+IMPORTRANGE(""https://docs.google.com/spreadsheets/d/16JDLGguT8s5DsGCND1KcwHP_AWR_zDMTqLHPLJUKhaU/edit?usp=sharing"",""พังงา!Q735"")+IMPORTRANGE(""https://docs.google.com/spreadsheets/d/17ht0gPKzzT3PObBL1XJkeR"&amp;"mntBXI7wGjpLV7QorqlTk/edit?usp=sharing"",""พัทลุง!Q735"")+IMPORTRANGE(""https://docs.google.com/spreadsheets/d/1rd4qoM1q_hsgaolqNGfrim9gbsoLxQsda4-vOz5x_BM/edit?usp=sharing"",""ภูเก็ต!Q735"")+IMPORTRANGE(""https://docs.google.com/spreadsheets/d/1woKwKjgoL"&amp;"ssDvPcPeVyezB5izizAn4X1JDrys69n6xI/edit?usp=sharing"",""ยะลา!Q735"")+IMPORTRANGE(""https://docs.google.com/spreadsheets/d/1qfrKjzMhm2HJfxQ-qVlJlJQ25Hne1d0khsySbZyGtPA/edit?usp=sharing"",""ระนอง!Q735"")+IMPORTRANGE(""https://docs.google.com/spreadsheets/d/"&amp;"1IbSCnFOKpZsnFogBHJnL_isstZVaOMnFiIN0fGTPZZw/edit?usp=sharing"",""สงขลา!Q735"")+IMPORTRANGE(""https://docs.google.com/spreadsheets/d/1q9nWasZJ-K8bFGvbE9n0qSRuKGA4Toe3Y89cKCiVtCU/edit?usp=sharing"",""สตูล!Q735"")+IMPORTRANGE(""https://docs.google.com/sprea"&amp;"dsheets/d/18T20gbkS_WBjdscyTOV05cvq_JqvqQ17C81mpxf7Ncs/edit?usp=sharing"",""สุราษฎร์ธานี!Q735"")"),0)</f>
        <v>0</v>
      </c>
      <c r="R735" s="49">
        <f ca="1">IFERROR(__xludf.DUMMYFUNCTION("IMPORTRANGE(""https://docs.google.com/spreadsheets/d/1kKUcYdkIfrgTSj8iHHHB2MD2FAtwyyocFgqGQn6ADyI/edit?usp=sharing"",""กระบี่!R735"")+IMPORTRANGE(""https://docs.google.com/spreadsheets/d/1GwtLaSlNZkLk7iDqcyZz22giiy40b_usZZBXYciEN1U/edit?usp=sharing"",""ชุ"&amp;"มพร!R735"")+IMPORTRANGE(""https://docs.google.com/spreadsheets/d/16pAz3pOhQEZBhvFNMa5KGgZS6iKWpsKX0pg6tQmwFpo/edit?usp=sharing"",""ตรัง!R735"")+IMPORTRANGE(""https://docs.google.com/spreadsheets/d/1Dj4jcHCTV9JXKCaMoheSXS52JE63kDKyG7bPXnFogHk/edit?usp=shar"&amp;"ing"",""นครศรีธรรมราช!R735"")+IMPORTRANGE(""https://docs.google.com/spreadsheets/d/1iodCdmuK2GR3jzUwk8tpccY2JHQQA-87DLOtJP-ooyU/edit?usp=sharing"",""นราธิวาส!R735"")+IMPORTRANGE(""https://docs.google.com/spreadsheets/d/1SDNX3JhDdYRuIOsj0Wh2M-Qa_eaXl0NbWmh"&amp;"AOTbfQAs/edit?usp=sharing"",""ปัตตานี!R735"")+IMPORTRANGE(""https://docs.google.com/spreadsheets/d/16JDLGguT8s5DsGCND1KcwHP_AWR_zDMTqLHPLJUKhaU/edit?usp=sharing"",""พังงา!R735"")+IMPORTRANGE(""https://docs.google.com/spreadsheets/d/17ht0gPKzzT3PObBL1XJkeR"&amp;"mntBXI7wGjpLV7QorqlTk/edit?usp=sharing"",""พัทลุง!R735"")+IMPORTRANGE(""https://docs.google.com/spreadsheets/d/1rd4qoM1q_hsgaolqNGfrim9gbsoLxQsda4-vOz5x_BM/edit?usp=sharing"",""ภูเก็ต!R735"")+IMPORTRANGE(""https://docs.google.com/spreadsheets/d/1woKwKjgoL"&amp;"ssDvPcPeVyezB5izizAn4X1JDrys69n6xI/edit?usp=sharing"",""ยะลา!R735"")+IMPORTRANGE(""https://docs.google.com/spreadsheets/d/1qfrKjzMhm2HJfxQ-qVlJlJQ25Hne1d0khsySbZyGtPA/edit?usp=sharing"",""ระนอง!R735"")+IMPORTRANGE(""https://docs.google.com/spreadsheets/d/"&amp;"1IbSCnFOKpZsnFogBHJnL_isstZVaOMnFiIN0fGTPZZw/edit?usp=sharing"",""สงขลา!R735"")+IMPORTRANGE(""https://docs.google.com/spreadsheets/d/1q9nWasZJ-K8bFGvbE9n0qSRuKGA4Toe3Y89cKCiVtCU/edit?usp=sharing"",""สตูล!R735"")+IMPORTRANGE(""https://docs.google.com/sprea"&amp;"dsheets/d/18T20gbkS_WBjdscyTOV05cvq_JqvqQ17C81mpxf7Ncs/edit?usp=sharing"",""สุราษฎร์ธานี!R735"")"),0)</f>
        <v>0</v>
      </c>
      <c r="S735" s="49">
        <f ca="1">IFERROR(__xludf.DUMMYFUNCTION("IMPORTRANGE(""https://docs.google.com/spreadsheets/d/1kKUcYdkIfrgTSj8iHHHB2MD2FAtwyyocFgqGQn6ADyI/edit?usp=sharing"",""กระบี่!S735"")+IMPORTRANGE(""https://docs.google.com/spreadsheets/d/1GwtLaSlNZkLk7iDqcyZz22giiy40b_usZZBXYciEN1U/edit?usp=sharing"",""ชุ"&amp;"มพร!S735"")+IMPORTRANGE(""https://docs.google.com/spreadsheets/d/16pAz3pOhQEZBhvFNMa5KGgZS6iKWpsKX0pg6tQmwFpo/edit?usp=sharing"",""ตรัง!S735"")+IMPORTRANGE(""https://docs.google.com/spreadsheets/d/1Dj4jcHCTV9JXKCaMoheSXS52JE63kDKyG7bPXnFogHk/edit?usp=shar"&amp;"ing"",""นครศรีธรรมราช!S735"")+IMPORTRANGE(""https://docs.google.com/spreadsheets/d/1iodCdmuK2GR3jzUwk8tpccY2JHQQA-87DLOtJP-ooyU/edit?usp=sharing"",""นราธิวาส!S735"")+IMPORTRANGE(""https://docs.google.com/spreadsheets/d/1SDNX3JhDdYRuIOsj0Wh2M-Qa_eaXl0NbWmh"&amp;"AOTbfQAs/edit?usp=sharing"",""ปัตตานี!S735"")+IMPORTRANGE(""https://docs.google.com/spreadsheets/d/16JDLGguT8s5DsGCND1KcwHP_AWR_zDMTqLHPLJUKhaU/edit?usp=sharing"",""พังงา!S735"")+IMPORTRANGE(""https://docs.google.com/spreadsheets/d/17ht0gPKzzT3PObBL1XJkeR"&amp;"mntBXI7wGjpLV7QorqlTk/edit?usp=sharing"",""พัทลุง!S735"")+IMPORTRANGE(""https://docs.google.com/spreadsheets/d/1rd4qoM1q_hsgaolqNGfrim9gbsoLxQsda4-vOz5x_BM/edit?usp=sharing"",""ภูเก็ต!S735"")+IMPORTRANGE(""https://docs.google.com/spreadsheets/d/1woKwKjgoL"&amp;"ssDvPcPeVyezB5izizAn4X1JDrys69n6xI/edit?usp=sharing"",""ยะลา!S735"")+IMPORTRANGE(""https://docs.google.com/spreadsheets/d/1qfrKjzMhm2HJfxQ-qVlJlJQ25Hne1d0khsySbZyGtPA/edit?usp=sharing"",""ระนอง!S735"")+IMPORTRANGE(""https://docs.google.com/spreadsheets/d/"&amp;"1IbSCnFOKpZsnFogBHJnL_isstZVaOMnFiIN0fGTPZZw/edit?usp=sharing"",""สงขลา!S735"")+IMPORTRANGE(""https://docs.google.com/spreadsheets/d/1q9nWasZJ-K8bFGvbE9n0qSRuKGA4Toe3Y89cKCiVtCU/edit?usp=sharing"",""สตูล!S735"")+IMPORTRANGE(""https://docs.google.com/sprea"&amp;"dsheets/d/18T20gbkS_WBjdscyTOV05cvq_JqvqQ17C81mpxf7Ncs/edit?usp=sharing"",""สุราษฎร์ธานี!S735"")"),0)</f>
        <v>0</v>
      </c>
      <c r="T735" s="49">
        <f t="shared" ca="1" si="508"/>
        <v>0</v>
      </c>
      <c r="U735" s="49">
        <f t="shared" ca="1" si="509"/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47">
        <f ca="1">IFERROR(__xludf.DUMMYFUNCTION("IMPORTRANGE(""https://docs.google.com/spreadsheets/d/1kKUcYdkIfrgTSj8iHHHB2MD2FAtwyyocFgqGQn6ADyI/edit?usp=sharing"",""กระบี่!L736"")+IMPORTRANGE(""https://docs.google.com/spreadsheets/d/1GwtLaSlNZkLk7iDqcyZz22giiy40b_usZZBXYciEN1U/edit?usp=sharing"",""ชุ"&amp;"มพร!L736"")+IMPORTRANGE(""https://docs.google.com/spreadsheets/d/16pAz3pOhQEZBhvFNMa5KGgZS6iKWpsKX0pg6tQmwFpo/edit?usp=sharing"",""ตรัง!L736"")+IMPORTRANGE(""https://docs.google.com/spreadsheets/d/1Dj4jcHCTV9JXKCaMoheSXS52JE63kDKyG7bPXnFogHk/edit?usp=shar"&amp;"ing"",""นครศรีธรรมราช!L736"")+IMPORTRANGE(""https://docs.google.com/spreadsheets/d/1iodCdmuK2GR3jzUwk8tpccY2JHQQA-87DLOtJP-ooyU/edit?usp=sharing"",""นราธิวาส!L736"")+IMPORTRANGE(""https://docs.google.com/spreadsheets/d/1SDNX3JhDdYRuIOsj0Wh2M-Qa_eaXl0NbWmh"&amp;"AOTbfQAs/edit?usp=sharing"",""ปัตตานี!L736"")+IMPORTRANGE(""https://docs.google.com/spreadsheets/d/16JDLGguT8s5DsGCND1KcwHP_AWR_zDMTqLHPLJUKhaU/edit?usp=sharing"",""พังงา!L736"")+IMPORTRANGE(""https://docs.google.com/spreadsheets/d/17ht0gPKzzT3PObBL1XJkeR"&amp;"mntBXI7wGjpLV7QorqlTk/edit?usp=sharing"",""พัทลุง!L736"")+IMPORTRANGE(""https://docs.google.com/spreadsheets/d/1rd4qoM1q_hsgaolqNGfrim9gbsoLxQsda4-vOz5x_BM/edit?usp=sharing"",""ภูเก็ต!L736"")+IMPORTRANGE(""https://docs.google.com/spreadsheets/d/1woKwKjgoL"&amp;"ssDvPcPeVyezB5izizAn4X1JDrys69n6xI/edit?usp=sharing"",""ยะลา!L736"")+IMPORTRANGE(""https://docs.google.com/spreadsheets/d/1qfrKjzMhm2HJfxQ-qVlJlJQ25Hne1d0khsySbZyGtPA/edit?usp=sharing"",""ระนอง!L736"")+IMPORTRANGE(""https://docs.google.com/spreadsheets/d/"&amp;"1IbSCnFOKpZsnFogBHJnL_isstZVaOMnFiIN0fGTPZZw/edit?usp=sharing"",""สงขลา!L736"")+IMPORTRANGE(""https://docs.google.com/spreadsheets/d/1q9nWasZJ-K8bFGvbE9n0qSRuKGA4Toe3Y89cKCiVtCU/edit?usp=sharing"",""สตูล!L736"")+IMPORTRANGE(""https://docs.google.com/sprea"&amp;"dsheets/d/18T20gbkS_WBjdscyTOV05cvq_JqvqQ17C81mpxf7Ncs/edit?usp=sharing"",""สุราษฎร์ธานี!L736"")"),0)</f>
        <v>0</v>
      </c>
      <c r="M736" s="47">
        <f ca="1">IFERROR(__xludf.DUMMYFUNCTION("IMPORTRANGE(""https://docs.google.com/spreadsheets/d/1kKUcYdkIfrgTSj8iHHHB2MD2FAtwyyocFgqGQn6ADyI/edit?usp=sharing"",""กระบี่!M736"")+IMPORTRANGE(""https://docs.google.com/spreadsheets/d/1GwtLaSlNZkLk7iDqcyZz22giiy40b_usZZBXYciEN1U/edit?usp=sharing"",""ชุ"&amp;"มพร!M736"")+IMPORTRANGE(""https://docs.google.com/spreadsheets/d/16pAz3pOhQEZBhvFNMa5KGgZS6iKWpsKX0pg6tQmwFpo/edit?usp=sharing"",""ตรัง!M736"")+IMPORTRANGE(""https://docs.google.com/spreadsheets/d/1Dj4jcHCTV9JXKCaMoheSXS52JE63kDKyG7bPXnFogHk/edit?usp=shar"&amp;"ing"",""นครศรีธรรมราช!M736"")+IMPORTRANGE(""https://docs.google.com/spreadsheets/d/1iodCdmuK2GR3jzUwk8tpccY2JHQQA-87DLOtJP-ooyU/edit?usp=sharing"",""นราธิวาส!M736"")+IMPORTRANGE(""https://docs.google.com/spreadsheets/d/1SDNX3JhDdYRuIOsj0Wh2M-Qa_eaXl0NbWmh"&amp;"AOTbfQAs/edit?usp=sharing"",""ปัตตานี!M736"")+IMPORTRANGE(""https://docs.google.com/spreadsheets/d/16JDLGguT8s5DsGCND1KcwHP_AWR_zDMTqLHPLJUKhaU/edit?usp=sharing"",""พังงา!M736"")+IMPORTRANGE(""https://docs.google.com/spreadsheets/d/17ht0gPKzzT3PObBL1XJkeR"&amp;"mntBXI7wGjpLV7QorqlTk/edit?usp=sharing"",""พัทลุง!M736"")+IMPORTRANGE(""https://docs.google.com/spreadsheets/d/1rd4qoM1q_hsgaolqNGfrim9gbsoLxQsda4-vOz5x_BM/edit?usp=sharing"",""ภูเก็ต!M736"")+IMPORTRANGE(""https://docs.google.com/spreadsheets/d/1woKwKjgoL"&amp;"ssDvPcPeVyezB5izizAn4X1JDrys69n6xI/edit?usp=sharing"",""ยะลา!M736"")+IMPORTRANGE(""https://docs.google.com/spreadsheets/d/1qfrKjzMhm2HJfxQ-qVlJlJQ25Hne1d0khsySbZyGtPA/edit?usp=sharing"",""ระนอง!M736"")+IMPORTRANGE(""https://docs.google.com/spreadsheets/d/"&amp;"1IbSCnFOKpZsnFogBHJnL_isstZVaOMnFiIN0fGTPZZw/edit?usp=sharing"",""สงขลา!M736"")+IMPORTRANGE(""https://docs.google.com/spreadsheets/d/1q9nWasZJ-K8bFGvbE9n0qSRuKGA4Toe3Y89cKCiVtCU/edit?usp=sharing"",""สตูล!M736"")+IMPORTRANGE(""https://docs.google.com/sprea"&amp;"dsheets/d/18T20gbkS_WBjdscyTOV05cvq_JqvqQ17C81mpxf7Ncs/edit?usp=sharing"",""สุราษฎร์ธานี!M736"")"),0)</f>
        <v>0</v>
      </c>
      <c r="N736" s="47">
        <f ca="1">IFERROR(__xludf.DUMMYFUNCTION("IMPORTRANGE(""https://docs.google.com/spreadsheets/d/1kKUcYdkIfrgTSj8iHHHB2MD2FAtwyyocFgqGQn6ADyI/edit?usp=sharing"",""กระบี่!N736"")+IMPORTRANGE(""https://docs.google.com/spreadsheets/d/1GwtLaSlNZkLk7iDqcyZz22giiy40b_usZZBXYciEN1U/edit?usp=sharing"",""ชุ"&amp;"มพร!N736"")+IMPORTRANGE(""https://docs.google.com/spreadsheets/d/16pAz3pOhQEZBhvFNMa5KGgZS6iKWpsKX0pg6tQmwFpo/edit?usp=sharing"",""ตรัง!N736"")+IMPORTRANGE(""https://docs.google.com/spreadsheets/d/1Dj4jcHCTV9JXKCaMoheSXS52JE63kDKyG7bPXnFogHk/edit?usp=shar"&amp;"ing"",""นครศรีธรรมราช!N736"")+IMPORTRANGE(""https://docs.google.com/spreadsheets/d/1iodCdmuK2GR3jzUwk8tpccY2JHQQA-87DLOtJP-ooyU/edit?usp=sharing"",""นราธิวาส!N736"")+IMPORTRANGE(""https://docs.google.com/spreadsheets/d/1SDNX3JhDdYRuIOsj0Wh2M-Qa_eaXl0NbWmh"&amp;"AOTbfQAs/edit?usp=sharing"",""ปัตตานี!N736"")+IMPORTRANGE(""https://docs.google.com/spreadsheets/d/16JDLGguT8s5DsGCND1KcwHP_AWR_zDMTqLHPLJUKhaU/edit?usp=sharing"",""พังงา!N736"")+IMPORTRANGE(""https://docs.google.com/spreadsheets/d/17ht0gPKzzT3PObBL1XJkeR"&amp;"mntBXI7wGjpLV7QorqlTk/edit?usp=sharing"",""พัทลุง!N736"")+IMPORTRANGE(""https://docs.google.com/spreadsheets/d/1rd4qoM1q_hsgaolqNGfrim9gbsoLxQsda4-vOz5x_BM/edit?usp=sharing"",""ภูเก็ต!N736"")+IMPORTRANGE(""https://docs.google.com/spreadsheets/d/1woKwKjgoL"&amp;"ssDvPcPeVyezB5izizAn4X1JDrys69n6xI/edit?usp=sharing"",""ยะลา!N736"")+IMPORTRANGE(""https://docs.google.com/spreadsheets/d/1qfrKjzMhm2HJfxQ-qVlJlJQ25Hne1d0khsySbZyGtPA/edit?usp=sharing"",""ระนอง!N736"")+IMPORTRANGE(""https://docs.google.com/spreadsheets/d/"&amp;"1IbSCnFOKpZsnFogBHJnL_isstZVaOMnFiIN0fGTPZZw/edit?usp=sharing"",""สงขลา!N736"")+IMPORTRANGE(""https://docs.google.com/spreadsheets/d/1q9nWasZJ-K8bFGvbE9n0qSRuKGA4Toe3Y89cKCiVtCU/edit?usp=sharing"",""สตูล!N736"")+IMPORTRANGE(""https://docs.google.com/sprea"&amp;"dsheets/d/18T20gbkS_WBjdscyTOV05cvq_JqvqQ17C81mpxf7Ncs/edit?usp=sharing"",""สุราษฎร์ธานี!N736"")"),0)</f>
        <v>0</v>
      </c>
      <c r="O736" s="47">
        <f t="shared" ca="1" si="505"/>
        <v>0</v>
      </c>
      <c r="P736" s="47">
        <f t="shared" ca="1" si="506"/>
        <v>0</v>
      </c>
      <c r="Q736" s="47">
        <f ca="1">IFERROR(__xludf.DUMMYFUNCTION("IMPORTRANGE(""https://docs.google.com/spreadsheets/d/1kKUcYdkIfrgTSj8iHHHB2MD2FAtwyyocFgqGQn6ADyI/edit?usp=sharing"",""กระบี่!Q736"")+IMPORTRANGE(""https://docs.google.com/spreadsheets/d/1GwtLaSlNZkLk7iDqcyZz22giiy40b_usZZBXYciEN1U/edit?usp=sharing"",""ชุ"&amp;"มพร!Q736"")+IMPORTRANGE(""https://docs.google.com/spreadsheets/d/16pAz3pOhQEZBhvFNMa5KGgZS6iKWpsKX0pg6tQmwFpo/edit?usp=sharing"",""ตรัง!Q736"")+IMPORTRANGE(""https://docs.google.com/spreadsheets/d/1Dj4jcHCTV9JXKCaMoheSXS52JE63kDKyG7bPXnFogHk/edit?usp=shar"&amp;"ing"",""นครศรีธรรมราช!Q736"")+IMPORTRANGE(""https://docs.google.com/spreadsheets/d/1iodCdmuK2GR3jzUwk8tpccY2JHQQA-87DLOtJP-ooyU/edit?usp=sharing"",""นราธิวาส!Q736"")+IMPORTRANGE(""https://docs.google.com/spreadsheets/d/1SDNX3JhDdYRuIOsj0Wh2M-Qa_eaXl0NbWmh"&amp;"AOTbfQAs/edit?usp=sharing"",""ปัตตานี!Q736"")+IMPORTRANGE(""https://docs.google.com/spreadsheets/d/16JDLGguT8s5DsGCND1KcwHP_AWR_zDMTqLHPLJUKhaU/edit?usp=sharing"",""พังงา!Q736"")+IMPORTRANGE(""https://docs.google.com/spreadsheets/d/17ht0gPKzzT3PObBL1XJkeR"&amp;"mntBXI7wGjpLV7QorqlTk/edit?usp=sharing"",""พัทลุง!Q736"")+IMPORTRANGE(""https://docs.google.com/spreadsheets/d/1rd4qoM1q_hsgaolqNGfrim9gbsoLxQsda4-vOz5x_BM/edit?usp=sharing"",""ภูเก็ต!Q736"")+IMPORTRANGE(""https://docs.google.com/spreadsheets/d/1woKwKjgoL"&amp;"ssDvPcPeVyezB5izizAn4X1JDrys69n6xI/edit?usp=sharing"",""ยะลา!Q736"")+IMPORTRANGE(""https://docs.google.com/spreadsheets/d/1qfrKjzMhm2HJfxQ-qVlJlJQ25Hne1d0khsySbZyGtPA/edit?usp=sharing"",""ระนอง!Q736"")+IMPORTRANGE(""https://docs.google.com/spreadsheets/d/"&amp;"1IbSCnFOKpZsnFogBHJnL_isstZVaOMnFiIN0fGTPZZw/edit?usp=sharing"",""สงขลา!Q736"")+IMPORTRANGE(""https://docs.google.com/spreadsheets/d/1q9nWasZJ-K8bFGvbE9n0qSRuKGA4Toe3Y89cKCiVtCU/edit?usp=sharing"",""สตูล!Q736"")+IMPORTRANGE(""https://docs.google.com/sprea"&amp;"dsheets/d/18T20gbkS_WBjdscyTOV05cvq_JqvqQ17C81mpxf7Ncs/edit?usp=sharing"",""สุราษฎร์ธานี!Q736"")"),0)</f>
        <v>0</v>
      </c>
      <c r="R736" s="47">
        <f ca="1">IFERROR(__xludf.DUMMYFUNCTION("IMPORTRANGE(""https://docs.google.com/spreadsheets/d/1kKUcYdkIfrgTSj8iHHHB2MD2FAtwyyocFgqGQn6ADyI/edit?usp=sharing"",""กระบี่!R736"")+IMPORTRANGE(""https://docs.google.com/spreadsheets/d/1GwtLaSlNZkLk7iDqcyZz22giiy40b_usZZBXYciEN1U/edit?usp=sharing"",""ชุ"&amp;"มพร!R736"")+IMPORTRANGE(""https://docs.google.com/spreadsheets/d/16pAz3pOhQEZBhvFNMa5KGgZS6iKWpsKX0pg6tQmwFpo/edit?usp=sharing"",""ตรัง!R736"")+IMPORTRANGE(""https://docs.google.com/spreadsheets/d/1Dj4jcHCTV9JXKCaMoheSXS52JE63kDKyG7bPXnFogHk/edit?usp=shar"&amp;"ing"",""นครศรีธรรมราช!R736"")+IMPORTRANGE(""https://docs.google.com/spreadsheets/d/1iodCdmuK2GR3jzUwk8tpccY2JHQQA-87DLOtJP-ooyU/edit?usp=sharing"",""นราธิวาส!R736"")+IMPORTRANGE(""https://docs.google.com/spreadsheets/d/1SDNX3JhDdYRuIOsj0Wh2M-Qa_eaXl0NbWmh"&amp;"AOTbfQAs/edit?usp=sharing"",""ปัตตานี!R736"")+IMPORTRANGE(""https://docs.google.com/spreadsheets/d/16JDLGguT8s5DsGCND1KcwHP_AWR_zDMTqLHPLJUKhaU/edit?usp=sharing"",""พังงา!R736"")+IMPORTRANGE(""https://docs.google.com/spreadsheets/d/17ht0gPKzzT3PObBL1XJkeR"&amp;"mntBXI7wGjpLV7QorqlTk/edit?usp=sharing"",""พัทลุง!R736"")+IMPORTRANGE(""https://docs.google.com/spreadsheets/d/1rd4qoM1q_hsgaolqNGfrim9gbsoLxQsda4-vOz5x_BM/edit?usp=sharing"",""ภูเก็ต!R736"")+IMPORTRANGE(""https://docs.google.com/spreadsheets/d/1woKwKjgoL"&amp;"ssDvPcPeVyezB5izizAn4X1JDrys69n6xI/edit?usp=sharing"",""ยะลา!R736"")+IMPORTRANGE(""https://docs.google.com/spreadsheets/d/1qfrKjzMhm2HJfxQ-qVlJlJQ25Hne1d0khsySbZyGtPA/edit?usp=sharing"",""ระนอง!R736"")+IMPORTRANGE(""https://docs.google.com/spreadsheets/d/"&amp;"1IbSCnFOKpZsnFogBHJnL_isstZVaOMnFiIN0fGTPZZw/edit?usp=sharing"",""สงขลา!R736"")+IMPORTRANGE(""https://docs.google.com/spreadsheets/d/1q9nWasZJ-K8bFGvbE9n0qSRuKGA4Toe3Y89cKCiVtCU/edit?usp=sharing"",""สตูล!R736"")+IMPORTRANGE(""https://docs.google.com/sprea"&amp;"dsheets/d/18T20gbkS_WBjdscyTOV05cvq_JqvqQ17C81mpxf7Ncs/edit?usp=sharing"",""สุราษฎร์ธานี!R736"")"),0)</f>
        <v>0</v>
      </c>
      <c r="S736" s="47">
        <f ca="1">IFERROR(__xludf.DUMMYFUNCTION("IMPORTRANGE(""https://docs.google.com/spreadsheets/d/1kKUcYdkIfrgTSj8iHHHB2MD2FAtwyyocFgqGQn6ADyI/edit?usp=sharing"",""กระบี่!S736"")+IMPORTRANGE(""https://docs.google.com/spreadsheets/d/1GwtLaSlNZkLk7iDqcyZz22giiy40b_usZZBXYciEN1U/edit?usp=sharing"",""ชุ"&amp;"มพร!S736"")+IMPORTRANGE(""https://docs.google.com/spreadsheets/d/16pAz3pOhQEZBhvFNMa5KGgZS6iKWpsKX0pg6tQmwFpo/edit?usp=sharing"",""ตรัง!S736"")+IMPORTRANGE(""https://docs.google.com/spreadsheets/d/1Dj4jcHCTV9JXKCaMoheSXS52JE63kDKyG7bPXnFogHk/edit?usp=shar"&amp;"ing"",""นครศรีธรรมราช!S736"")+IMPORTRANGE(""https://docs.google.com/spreadsheets/d/1iodCdmuK2GR3jzUwk8tpccY2JHQQA-87DLOtJP-ooyU/edit?usp=sharing"",""นราธิวาส!S736"")+IMPORTRANGE(""https://docs.google.com/spreadsheets/d/1SDNX3JhDdYRuIOsj0Wh2M-Qa_eaXl0NbWmh"&amp;"AOTbfQAs/edit?usp=sharing"",""ปัตตานี!S736"")+IMPORTRANGE(""https://docs.google.com/spreadsheets/d/16JDLGguT8s5DsGCND1KcwHP_AWR_zDMTqLHPLJUKhaU/edit?usp=sharing"",""พังงา!S736"")+IMPORTRANGE(""https://docs.google.com/spreadsheets/d/17ht0gPKzzT3PObBL1XJkeR"&amp;"mntBXI7wGjpLV7QorqlTk/edit?usp=sharing"",""พัทลุง!S736"")+IMPORTRANGE(""https://docs.google.com/spreadsheets/d/1rd4qoM1q_hsgaolqNGfrim9gbsoLxQsda4-vOz5x_BM/edit?usp=sharing"",""ภูเก็ต!S736"")+IMPORTRANGE(""https://docs.google.com/spreadsheets/d/1woKwKjgoL"&amp;"ssDvPcPeVyezB5izizAn4X1JDrys69n6xI/edit?usp=sharing"",""ยะลา!S736"")+IMPORTRANGE(""https://docs.google.com/spreadsheets/d/1qfrKjzMhm2HJfxQ-qVlJlJQ25Hne1d0khsySbZyGtPA/edit?usp=sharing"",""ระนอง!S736"")+IMPORTRANGE(""https://docs.google.com/spreadsheets/d/"&amp;"1IbSCnFOKpZsnFogBHJnL_isstZVaOMnFiIN0fGTPZZw/edit?usp=sharing"",""สงขลา!S736"")+IMPORTRANGE(""https://docs.google.com/spreadsheets/d/1q9nWasZJ-K8bFGvbE9n0qSRuKGA4Toe3Y89cKCiVtCU/edit?usp=sharing"",""สตูล!S736"")+IMPORTRANGE(""https://docs.google.com/sprea"&amp;"dsheets/d/18T20gbkS_WBjdscyTOV05cvq_JqvqQ17C81mpxf7Ncs/edit?usp=sharing"",""สุราษฎร์ธานี!S736"")"),0)</f>
        <v>0</v>
      </c>
      <c r="T736" s="47">
        <f t="shared" ca="1" si="508"/>
        <v>0</v>
      </c>
      <c r="U736" s="47">
        <f t="shared" ca="1" si="509"/>
        <v>0</v>
      </c>
    </row>
    <row r="737" spans="1:21" ht="19.5" x14ac:dyDescent="0.3">
      <c r="A737" s="138"/>
      <c r="B737" s="139"/>
      <c r="C737" s="188" t="s">
        <v>18</v>
      </c>
      <c r="D737" s="325" t="s">
        <v>38</v>
      </c>
      <c r="E737" s="212"/>
      <c r="F737" s="141"/>
      <c r="G737" s="142"/>
      <c r="H737" s="189"/>
      <c r="I737" s="45"/>
      <c r="J737" s="45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kKUcYdkIfrgTSj8iHHHB2MD2FAtwyyocFgqGQn6ADyI/edit?usp=sharing"",""กระบี่!I740"")+IMPORTRANGE(""https://docs.google.com/spreadsheets/d/1GwtLaSlNZkLk7iDqcyZz22giiy40b_usZZBXYciEN1U/edit?usp=sharing"",""ชุ"&amp;"มพร!I740"")+IMPORTRANGE(""https://docs.google.com/spreadsheets/d/16pAz3pOhQEZBhvFNMa5KGgZS6iKWpsKX0pg6tQmwFpo/edit?usp=sharing"",""ตรัง!I740"")+IMPORTRANGE(""https://docs.google.com/spreadsheets/d/1Dj4jcHCTV9JXKCaMoheSXS52JE63kDKyG7bPXnFogHk/edit?usp=shar"&amp;"ing"",""นครศรีธรรมราช!I740"")+IMPORTRANGE(""https://docs.google.com/spreadsheets/d/1iodCdmuK2GR3jzUwk8tpccY2JHQQA-87DLOtJP-ooyU/edit?usp=sharing"",""นราธิวาส!I740"")+IMPORTRANGE(""https://docs.google.com/spreadsheets/d/1SDNX3JhDdYRuIOsj0Wh2M-Qa_eaXl0NbWmh"&amp;"AOTbfQAs/edit?usp=sharing"",""ปัตตานี!I740"")+IMPORTRANGE(""https://docs.google.com/spreadsheets/d/16JDLGguT8s5DsGCND1KcwHP_AWR_zDMTqLHPLJUKhaU/edit?usp=sharing"",""พังงา!I740"")+IMPORTRANGE(""https://docs.google.com/spreadsheets/d/17ht0gPKzzT3PObBL1XJkeR"&amp;"mntBXI7wGjpLV7QorqlTk/edit?usp=sharing"",""พัทลุง!I740"")+IMPORTRANGE(""https://docs.google.com/spreadsheets/d/1rd4qoM1q_hsgaolqNGfrim9gbsoLxQsda4-vOz5x_BM/edit?usp=sharing"",""ภูเก็ต!I740"")+IMPORTRANGE(""https://docs.google.com/spreadsheets/d/1woKwKjgoL"&amp;"ssDvPcPeVyezB5izizAn4X1JDrys69n6xI/edit?usp=sharing"",""ยะลา!I740"")+IMPORTRANGE(""https://docs.google.com/spreadsheets/d/1qfrKjzMhm2HJfxQ-qVlJlJQ25Hne1d0khsySbZyGtPA/edit?usp=sharing"",""ระนอง!I740"")+IMPORTRANGE(""https://docs.google.com/spreadsheets/d/"&amp;"1IbSCnFOKpZsnFogBHJnL_isstZVaOMnFiIN0fGTPZZw/edit?usp=sharing"",""สงขลา!I740"")+IMPORTRANGE(""https://docs.google.com/spreadsheets/d/1q9nWasZJ-K8bFGvbE9n0qSRuKGA4Toe3Y89cKCiVtCU/edit?usp=sharing"",""สตูล!I740"")+IMPORTRANGE(""https://docs.google.com/sprea"&amp;"dsheets/d/18T20gbkS_WBjdscyTOV05cvq_JqvqQ17C81mpxf7Ncs/edit?usp=sharing"",""สุราษฎร์ธานี!I740"")"),2160)</f>
        <v>2160</v>
      </c>
      <c r="J740" s="167">
        <f ca="1">IFERROR(__xludf.DUMMYFUNCTION("IMPORTRANGE(""https://docs.google.com/spreadsheets/d/1kKUcYdkIfrgTSj8iHHHB2MD2FAtwyyocFgqGQn6ADyI/edit?usp=sharing"",""กระบี่!J740"")+IMPORTRANGE(""https://docs.google.com/spreadsheets/d/1GwtLaSlNZkLk7iDqcyZz22giiy40b_usZZBXYciEN1U/edit?usp=sharing"",""ชุ"&amp;"มพร!J740"")+IMPORTRANGE(""https://docs.google.com/spreadsheets/d/16pAz3pOhQEZBhvFNMa5KGgZS6iKWpsKX0pg6tQmwFpo/edit?usp=sharing"",""ตรัง!J740"")+IMPORTRANGE(""https://docs.google.com/spreadsheets/d/1Dj4jcHCTV9JXKCaMoheSXS52JE63kDKyG7bPXnFogHk/edit?usp=shar"&amp;"ing"",""นครศรีธรรมราช!J740"")+IMPORTRANGE(""https://docs.google.com/spreadsheets/d/1iodCdmuK2GR3jzUwk8tpccY2JHQQA-87DLOtJP-ooyU/edit?usp=sharing"",""นราธิวาส!J740"")+IMPORTRANGE(""https://docs.google.com/spreadsheets/d/1SDNX3JhDdYRuIOsj0Wh2M-Qa_eaXl0NbWmh"&amp;"AOTbfQAs/edit?usp=sharing"",""ปัตตานี!J740"")+IMPORTRANGE(""https://docs.google.com/spreadsheets/d/16JDLGguT8s5DsGCND1KcwHP_AWR_zDMTqLHPLJUKhaU/edit?usp=sharing"",""พังงา!J740"")+IMPORTRANGE(""https://docs.google.com/spreadsheets/d/17ht0gPKzzT3PObBL1XJkeR"&amp;"mntBXI7wGjpLV7QorqlTk/edit?usp=sharing"",""พัทลุง!J740"")+IMPORTRANGE(""https://docs.google.com/spreadsheets/d/1rd4qoM1q_hsgaolqNGfrim9gbsoLxQsda4-vOz5x_BM/edit?usp=sharing"",""ภูเก็ต!J740"")+IMPORTRANGE(""https://docs.google.com/spreadsheets/d/1woKwKjgoL"&amp;"ssDvPcPeVyezB5izizAn4X1JDrys69n6xI/edit?usp=sharing"",""ยะลา!J740"")+IMPORTRANGE(""https://docs.google.com/spreadsheets/d/1qfrKjzMhm2HJfxQ-qVlJlJQ25Hne1d0khsySbZyGtPA/edit?usp=sharing"",""ระนอง!J740"")+IMPORTRANGE(""https://docs.google.com/spreadsheets/d/"&amp;"1IbSCnFOKpZsnFogBHJnL_isstZVaOMnFiIN0fGTPZZw/edit?usp=sharing"",""สงขลา!J740"")+IMPORTRANGE(""https://docs.google.com/spreadsheets/d/1q9nWasZJ-K8bFGvbE9n0qSRuKGA4Toe3Y89cKCiVtCU/edit?usp=sharing"",""สตูล!J740"")+IMPORTRANGE(""https://docs.google.com/sprea"&amp;"dsheets/d/18T20gbkS_WBjdscyTOV05cvq_JqvqQ17C81mpxf7Ncs/edit?usp=sharing"",""สุราษฎร์ธานี!J740"")"),1455)</f>
        <v>1455</v>
      </c>
      <c r="K740" s="47">
        <f ca="1">IF(I740&gt;0,J740*100/I740,0)</f>
        <v>67.361111111111114</v>
      </c>
      <c r="L740" s="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f ca="1">IFERROR(__xludf.DUMMYFUNCTION("IMPORTRANGE(""https://docs.google.com/spreadsheets/d/1kKUcYdkIfrgTSj8iHHHB2MD2FAtwyyocFgqGQn6ADyI/edit?usp=sharing"",""กระบี่!J741"")+IMPORTRANGE(""https://docs.google.com/spreadsheets/d/1GwtLaSlNZkLk7iDqcyZz22giiy40b_usZZBXYciEN1U/edit?usp=sharing"",""ชุ"&amp;"มพร!J741"")+IMPORTRANGE(""https://docs.google.com/spreadsheets/d/16pAz3pOhQEZBhvFNMa5KGgZS6iKWpsKX0pg6tQmwFpo/edit?usp=sharing"",""ตรัง!J741"")+IMPORTRANGE(""https://docs.google.com/spreadsheets/d/1Dj4jcHCTV9JXKCaMoheSXS52JE63kDKyG7bPXnFogHk/edit?usp=shar"&amp;"ing"",""นครศรีธรรมราช!J741"")+IMPORTRANGE(""https://docs.google.com/spreadsheets/d/1iodCdmuK2GR3jzUwk8tpccY2JHQQA-87DLOtJP-ooyU/edit?usp=sharing"",""นราธิวาส!J741"")+IMPORTRANGE(""https://docs.google.com/spreadsheets/d/1SDNX3JhDdYRuIOsj0Wh2M-Qa_eaXl0NbWmh"&amp;"AOTbfQAs/edit?usp=sharing"",""ปัตตานี!J741"")+IMPORTRANGE(""https://docs.google.com/spreadsheets/d/16JDLGguT8s5DsGCND1KcwHP_AWR_zDMTqLHPLJUKhaU/edit?usp=sharing"",""พังงา!J741"")+IMPORTRANGE(""https://docs.google.com/spreadsheets/d/17ht0gPKzzT3PObBL1XJkeR"&amp;"mntBXI7wGjpLV7QorqlTk/edit?usp=sharing"",""พัทลุง!J741"")+IMPORTRANGE(""https://docs.google.com/spreadsheets/d/1rd4qoM1q_hsgaolqNGfrim9gbsoLxQsda4-vOz5x_BM/edit?usp=sharing"",""ภูเก็ต!J741"")+IMPORTRANGE(""https://docs.google.com/spreadsheets/d/1woKwKjgoL"&amp;"ssDvPcPeVyezB5izizAn4X1JDrys69n6xI/edit?usp=sharing"",""ยะลา!J741"")+IMPORTRANGE(""https://docs.google.com/spreadsheets/d/1qfrKjzMhm2HJfxQ-qVlJlJQ25Hne1d0khsySbZyGtPA/edit?usp=sharing"",""ระนอง!J741"")+IMPORTRANGE(""https://docs.google.com/spreadsheets/d/"&amp;"1IbSCnFOKpZsnFogBHJnL_isstZVaOMnFiIN0fGTPZZw/edit?usp=sharing"",""สงขลา!J741"")+IMPORTRANGE(""https://docs.google.com/spreadsheets/d/1q9nWasZJ-K8bFGvbE9n0qSRuKGA4Toe3Y89cKCiVtCU/edit?usp=sharing"",""สตูล!J741"")+IMPORTRANGE(""https://docs.google.com/sprea"&amp;"dsheets/d/18T20gbkS_WBjdscyTOV05cvq_JqvqQ17C81mpxf7Ncs/edit?usp=sharing"",""สุราษฎร์ธานี!J741"")"),64)</f>
        <v>64</v>
      </c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kKUcYdkIfrgTSj8iHHHB2MD2FAtwyyocFgqGQn6ADyI/edit?usp=sharing"",""กระบี่!I742"")+IMPORTRANGE(""https://docs.google.com/spreadsheets/d/1GwtLaSlNZkLk7iDqcyZz22giiy40b_usZZBXYciEN1U/edit?usp=sharing"",""ชุ"&amp;"มพร!I742"")+IMPORTRANGE(""https://docs.google.com/spreadsheets/d/16pAz3pOhQEZBhvFNMa5KGgZS6iKWpsKX0pg6tQmwFpo/edit?usp=sharing"",""ตรัง!I742"")+IMPORTRANGE(""https://docs.google.com/spreadsheets/d/1Dj4jcHCTV9JXKCaMoheSXS52JE63kDKyG7bPXnFogHk/edit?usp=shar"&amp;"ing"",""นครศรีธรรมราช!I742"")+IMPORTRANGE(""https://docs.google.com/spreadsheets/d/1iodCdmuK2GR3jzUwk8tpccY2JHQQA-87DLOtJP-ooyU/edit?usp=sharing"",""นราธิวาส!I742"")+IMPORTRANGE(""https://docs.google.com/spreadsheets/d/1SDNX3JhDdYRuIOsj0Wh2M-Qa_eaXl0NbWmh"&amp;"AOTbfQAs/edit?usp=sharing"",""ปัตตานี!I742"")+IMPORTRANGE(""https://docs.google.com/spreadsheets/d/16JDLGguT8s5DsGCND1KcwHP_AWR_zDMTqLHPLJUKhaU/edit?usp=sharing"",""พังงา!I742"")+IMPORTRANGE(""https://docs.google.com/spreadsheets/d/17ht0gPKzzT3PObBL1XJkeR"&amp;"mntBXI7wGjpLV7QorqlTk/edit?usp=sharing"",""พัทลุง!I742"")+IMPORTRANGE(""https://docs.google.com/spreadsheets/d/1rd4qoM1q_hsgaolqNGfrim9gbsoLxQsda4-vOz5x_BM/edit?usp=sharing"",""ภูเก็ต!I742"")+IMPORTRANGE(""https://docs.google.com/spreadsheets/d/1woKwKjgoL"&amp;"ssDvPcPeVyezB5izizAn4X1JDrys69n6xI/edit?usp=sharing"",""ยะลา!I742"")+IMPORTRANGE(""https://docs.google.com/spreadsheets/d/1qfrKjzMhm2HJfxQ-qVlJlJQ25Hne1d0khsySbZyGtPA/edit?usp=sharing"",""ระนอง!I742"")+IMPORTRANGE(""https://docs.google.com/spreadsheets/d/"&amp;"1IbSCnFOKpZsnFogBHJnL_isstZVaOMnFiIN0fGTPZZw/edit?usp=sharing"",""สงขลา!I742"")+IMPORTRANGE(""https://docs.google.com/spreadsheets/d/1q9nWasZJ-K8bFGvbE9n0qSRuKGA4Toe3Y89cKCiVtCU/edit?usp=sharing"",""สตูล!I742"")+IMPORTRANGE(""https://docs.google.com/sprea"&amp;"dsheets/d/18T20gbkS_WBjdscyTOV05cvq_JqvqQ17C81mpxf7Ncs/edit?usp=sharing"",""สุราษฎร์ธานี!I742"")"),216)</f>
        <v>216</v>
      </c>
      <c r="J742" s="167">
        <f ca="1">IFERROR(__xludf.DUMMYFUNCTION("IMPORTRANGE(""https://docs.google.com/spreadsheets/d/1kKUcYdkIfrgTSj8iHHHB2MD2FAtwyyocFgqGQn6ADyI/edit?usp=sharing"",""กระบี่!J742"")+IMPORTRANGE(""https://docs.google.com/spreadsheets/d/1GwtLaSlNZkLk7iDqcyZz22giiy40b_usZZBXYciEN1U/edit?usp=sharing"",""ชุ"&amp;"มพร!J742"")+IMPORTRANGE(""https://docs.google.com/spreadsheets/d/16pAz3pOhQEZBhvFNMa5KGgZS6iKWpsKX0pg6tQmwFpo/edit?usp=sharing"",""ตรัง!J742"")+IMPORTRANGE(""https://docs.google.com/spreadsheets/d/1Dj4jcHCTV9JXKCaMoheSXS52JE63kDKyG7bPXnFogHk/edit?usp=shar"&amp;"ing"",""นครศรีธรรมราช!J742"")+IMPORTRANGE(""https://docs.google.com/spreadsheets/d/1iodCdmuK2GR3jzUwk8tpccY2JHQQA-87DLOtJP-ooyU/edit?usp=sharing"",""นราธิวาส!J742"")+IMPORTRANGE(""https://docs.google.com/spreadsheets/d/1SDNX3JhDdYRuIOsj0Wh2M-Qa_eaXl0NbWmh"&amp;"AOTbfQAs/edit?usp=sharing"",""ปัตตานี!J742"")+IMPORTRANGE(""https://docs.google.com/spreadsheets/d/16JDLGguT8s5DsGCND1KcwHP_AWR_zDMTqLHPLJUKhaU/edit?usp=sharing"",""พังงา!J742"")+IMPORTRANGE(""https://docs.google.com/spreadsheets/d/17ht0gPKzzT3PObBL1XJkeR"&amp;"mntBXI7wGjpLV7QorqlTk/edit?usp=sharing"",""พัทลุง!J742"")+IMPORTRANGE(""https://docs.google.com/spreadsheets/d/1rd4qoM1q_hsgaolqNGfrim9gbsoLxQsda4-vOz5x_BM/edit?usp=sharing"",""ภูเก็ต!J742"")+IMPORTRANGE(""https://docs.google.com/spreadsheets/d/1woKwKjgoL"&amp;"ssDvPcPeVyezB5izizAn4X1JDrys69n6xI/edit?usp=sharing"",""ยะลา!J742"")+IMPORTRANGE(""https://docs.google.com/spreadsheets/d/1qfrKjzMhm2HJfxQ-qVlJlJQ25Hne1d0khsySbZyGtPA/edit?usp=sharing"",""ระนอง!J742"")+IMPORTRANGE(""https://docs.google.com/spreadsheets/d/"&amp;"1IbSCnFOKpZsnFogBHJnL_isstZVaOMnFiIN0fGTPZZw/edit?usp=sharing"",""สงขลา!J742"")+IMPORTRANGE(""https://docs.google.com/spreadsheets/d/1q9nWasZJ-K8bFGvbE9n0qSRuKGA4Toe3Y89cKCiVtCU/edit?usp=sharing"",""สตูล!J742"")+IMPORTRANGE(""https://docs.google.com/sprea"&amp;"dsheets/d/18T20gbkS_WBjdscyTOV05cvq_JqvqQ17C81mpxf7Ncs/edit?usp=sharing"",""สุราษฎร์ธานี!J742"")"),141)</f>
        <v>141</v>
      </c>
      <c r="K742" s="47">
        <f ca="1">IF(I742&gt;0,J742*100/I742,0)</f>
        <v>65.277777777777771</v>
      </c>
      <c r="L742" s="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kKUcYdkIfrgTSj8iHHHB2MD2FAtwyyocFgqGQn6ADyI/edit?usp=sharing"",""กระบี่!I744"")+IMPORTRANGE(""https://docs.google.com/spreadsheets/d/1GwtLaSlNZkLk7iDqcyZz22giiy40b_usZZBXYciEN1U/edit?usp=sharing"",""ชุ"&amp;"มพร!I744"")+IMPORTRANGE(""https://docs.google.com/spreadsheets/d/16pAz3pOhQEZBhvFNMa5KGgZS6iKWpsKX0pg6tQmwFpo/edit?usp=sharing"",""ตรัง!I744"")+IMPORTRANGE(""https://docs.google.com/spreadsheets/d/1Dj4jcHCTV9JXKCaMoheSXS52JE63kDKyG7bPXnFogHk/edit?usp=shar"&amp;"ing"",""นครศรีธรรมราช!I744"")+IMPORTRANGE(""https://docs.google.com/spreadsheets/d/1iodCdmuK2GR3jzUwk8tpccY2JHQQA-87DLOtJP-ooyU/edit?usp=sharing"",""นราธิวาส!I744"")+IMPORTRANGE(""https://docs.google.com/spreadsheets/d/1SDNX3JhDdYRuIOsj0Wh2M-Qa_eaXl0NbWmh"&amp;"AOTbfQAs/edit?usp=sharing"",""ปัตตานี!I744"")+IMPORTRANGE(""https://docs.google.com/spreadsheets/d/16JDLGguT8s5DsGCND1KcwHP_AWR_zDMTqLHPLJUKhaU/edit?usp=sharing"",""พังงา!I744"")+IMPORTRANGE(""https://docs.google.com/spreadsheets/d/17ht0gPKzzT3PObBL1XJkeR"&amp;"mntBXI7wGjpLV7QorqlTk/edit?usp=sharing"",""พัทลุง!I744"")+IMPORTRANGE(""https://docs.google.com/spreadsheets/d/1rd4qoM1q_hsgaolqNGfrim9gbsoLxQsda4-vOz5x_BM/edit?usp=sharing"",""ภูเก็ต!I744"")+IMPORTRANGE(""https://docs.google.com/spreadsheets/d/1woKwKjgoL"&amp;"ssDvPcPeVyezB5izizAn4X1JDrys69n6xI/edit?usp=sharing"",""ยะลา!I744"")+IMPORTRANGE(""https://docs.google.com/spreadsheets/d/1qfrKjzMhm2HJfxQ-qVlJlJQ25Hne1d0khsySbZyGtPA/edit?usp=sharing"",""ระนอง!I744"")+IMPORTRANGE(""https://docs.google.com/spreadsheets/d/"&amp;"1IbSCnFOKpZsnFogBHJnL_isstZVaOMnFiIN0fGTPZZw/edit?usp=sharing"",""สงขลา!I744"")+IMPORTRANGE(""https://docs.google.com/spreadsheets/d/1q9nWasZJ-K8bFGvbE9n0qSRuKGA4Toe3Y89cKCiVtCU/edit?usp=sharing"",""สตูล!I744"")+IMPORTRANGE(""https://docs.google.com/sprea"&amp;"dsheets/d/18T20gbkS_WBjdscyTOV05cvq_JqvqQ17C81mpxf7Ncs/edit?usp=sharing"",""สุราษฎร์ธานี!I744"")"),540)</f>
        <v>540</v>
      </c>
      <c r="J744" s="167">
        <f ca="1">IFERROR(__xludf.DUMMYFUNCTION("IMPORTRANGE(""https://docs.google.com/spreadsheets/d/1kKUcYdkIfrgTSj8iHHHB2MD2FAtwyyocFgqGQn6ADyI/edit?usp=sharing"",""กระบี่!J744"")+IMPORTRANGE(""https://docs.google.com/spreadsheets/d/1GwtLaSlNZkLk7iDqcyZz22giiy40b_usZZBXYciEN1U/edit?usp=sharing"",""ชุ"&amp;"มพร!J744"")+IMPORTRANGE(""https://docs.google.com/spreadsheets/d/16pAz3pOhQEZBhvFNMa5KGgZS6iKWpsKX0pg6tQmwFpo/edit?usp=sharing"",""ตรัง!J744"")+IMPORTRANGE(""https://docs.google.com/spreadsheets/d/1Dj4jcHCTV9JXKCaMoheSXS52JE63kDKyG7bPXnFogHk/edit?usp=shar"&amp;"ing"",""นครศรีธรรมราช!J744"")+IMPORTRANGE(""https://docs.google.com/spreadsheets/d/1iodCdmuK2GR3jzUwk8tpccY2JHQQA-87DLOtJP-ooyU/edit?usp=sharing"",""นราธิวาส!J744"")+IMPORTRANGE(""https://docs.google.com/spreadsheets/d/1SDNX3JhDdYRuIOsj0Wh2M-Qa_eaXl0NbWmh"&amp;"AOTbfQAs/edit?usp=sharing"",""ปัตตานี!J744"")+IMPORTRANGE(""https://docs.google.com/spreadsheets/d/16JDLGguT8s5DsGCND1KcwHP_AWR_zDMTqLHPLJUKhaU/edit?usp=sharing"",""พังงา!J744"")+IMPORTRANGE(""https://docs.google.com/spreadsheets/d/17ht0gPKzzT3PObBL1XJkeR"&amp;"mntBXI7wGjpLV7QorqlTk/edit?usp=sharing"",""พัทลุง!J744"")+IMPORTRANGE(""https://docs.google.com/spreadsheets/d/1rd4qoM1q_hsgaolqNGfrim9gbsoLxQsda4-vOz5x_BM/edit?usp=sharing"",""ภูเก็ต!J744"")+IMPORTRANGE(""https://docs.google.com/spreadsheets/d/1woKwKjgoL"&amp;"ssDvPcPeVyezB5izizAn4X1JDrys69n6xI/edit?usp=sharing"",""ยะลา!J744"")+IMPORTRANGE(""https://docs.google.com/spreadsheets/d/1qfrKjzMhm2HJfxQ-qVlJlJQ25Hne1d0khsySbZyGtPA/edit?usp=sharing"",""ระนอง!J744"")+IMPORTRANGE(""https://docs.google.com/spreadsheets/d/"&amp;"1IbSCnFOKpZsnFogBHJnL_isstZVaOMnFiIN0fGTPZZw/edit?usp=sharing"",""สงขลา!J744"")+IMPORTRANGE(""https://docs.google.com/spreadsheets/d/1q9nWasZJ-K8bFGvbE9n0qSRuKGA4Toe3Y89cKCiVtCU/edit?usp=sharing"",""สตูล!J744"")+IMPORTRANGE(""https://docs.google.com/sprea"&amp;"dsheets/d/18T20gbkS_WBjdscyTOV05cvq_JqvqQ17C81mpxf7Ncs/edit?usp=sharing"",""สุราษฎร์ธานี!J744"")"),365)</f>
        <v>365</v>
      </c>
      <c r="K744" s="47">
        <f ca="1">IF(I744&gt;0,J744*100/I744,0)</f>
        <v>67.592592592592595</v>
      </c>
      <c r="L744" s="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f ca="1">IFERROR(__xludf.DUMMYFUNCTION("IMPORTRANGE(""https://docs.google.com/spreadsheets/d/1kKUcYdkIfrgTSj8iHHHB2MD2FAtwyyocFgqGQn6ADyI/edit?usp=sharing"",""กระบี่!J745"")+IMPORTRANGE(""https://docs.google.com/spreadsheets/d/1GwtLaSlNZkLk7iDqcyZz22giiy40b_usZZBXYciEN1U/edit?usp=sharing"",""ชุ"&amp;"มพร!J745"")+IMPORTRANGE(""https://docs.google.com/spreadsheets/d/16pAz3pOhQEZBhvFNMa5KGgZS6iKWpsKX0pg6tQmwFpo/edit?usp=sharing"",""ตรัง!J745"")+IMPORTRANGE(""https://docs.google.com/spreadsheets/d/1Dj4jcHCTV9JXKCaMoheSXS52JE63kDKyG7bPXnFogHk/edit?usp=shar"&amp;"ing"",""นครศรีธรรมราช!J745"")+IMPORTRANGE(""https://docs.google.com/spreadsheets/d/1iodCdmuK2GR3jzUwk8tpccY2JHQQA-87DLOtJP-ooyU/edit?usp=sharing"",""นราธิวาส!J745"")+IMPORTRANGE(""https://docs.google.com/spreadsheets/d/1SDNX3JhDdYRuIOsj0Wh2M-Qa_eaXl0NbWmh"&amp;"AOTbfQAs/edit?usp=sharing"",""ปัตตานี!J745"")+IMPORTRANGE(""https://docs.google.com/spreadsheets/d/16JDLGguT8s5DsGCND1KcwHP_AWR_zDMTqLHPLJUKhaU/edit?usp=sharing"",""พังงา!J745"")+IMPORTRANGE(""https://docs.google.com/spreadsheets/d/17ht0gPKzzT3PObBL1XJkeR"&amp;"mntBXI7wGjpLV7QorqlTk/edit?usp=sharing"",""พัทลุง!J745"")+IMPORTRANGE(""https://docs.google.com/spreadsheets/d/1rd4qoM1q_hsgaolqNGfrim9gbsoLxQsda4-vOz5x_BM/edit?usp=sharing"",""ภูเก็ต!J745"")+IMPORTRANGE(""https://docs.google.com/spreadsheets/d/1woKwKjgoL"&amp;"ssDvPcPeVyezB5izizAn4X1JDrys69n6xI/edit?usp=sharing"",""ยะลา!J745"")+IMPORTRANGE(""https://docs.google.com/spreadsheets/d/1qfrKjzMhm2HJfxQ-qVlJlJQ25Hne1d0khsySbZyGtPA/edit?usp=sharing"",""ระนอง!J745"")+IMPORTRANGE(""https://docs.google.com/spreadsheets/d/"&amp;"1IbSCnFOKpZsnFogBHJnL_isstZVaOMnFiIN0fGTPZZw/edit?usp=sharing"",""สงขลา!J745"")+IMPORTRANGE(""https://docs.google.com/spreadsheets/d/1q9nWasZJ-K8bFGvbE9n0qSRuKGA4Toe3Y89cKCiVtCU/edit?usp=sharing"",""สตูล!J745"")+IMPORTRANGE(""https://docs.google.com/sprea"&amp;"dsheets/d/18T20gbkS_WBjdscyTOV05cvq_JqvqQ17C81mpxf7Ncs/edit?usp=sharing"",""สุราษฎร์ธานี!J745"")"),16)</f>
        <v>16</v>
      </c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kKUcYdkIfrgTSj8iHHHB2MD2FAtwyyocFgqGQn6ADyI/edit?usp=sharing"",""กระบี่!I746"")+IMPORTRANGE(""https://docs.google.com/spreadsheets/d/1GwtLaSlNZkLk7iDqcyZz22giiy40b_usZZBXYciEN1U/edit?usp=sharing"",""ชุ"&amp;"มพร!I746"")+IMPORTRANGE(""https://docs.google.com/spreadsheets/d/16pAz3pOhQEZBhvFNMa5KGgZS6iKWpsKX0pg6tQmwFpo/edit?usp=sharing"",""ตรัง!I746"")+IMPORTRANGE(""https://docs.google.com/spreadsheets/d/1Dj4jcHCTV9JXKCaMoheSXS52JE63kDKyG7bPXnFogHk/edit?usp=shar"&amp;"ing"",""นครศรีธรรมราช!I746"")+IMPORTRANGE(""https://docs.google.com/spreadsheets/d/1iodCdmuK2GR3jzUwk8tpccY2JHQQA-87DLOtJP-ooyU/edit?usp=sharing"",""นราธิวาส!I746"")+IMPORTRANGE(""https://docs.google.com/spreadsheets/d/1SDNX3JhDdYRuIOsj0Wh2M-Qa_eaXl0NbWmh"&amp;"AOTbfQAs/edit?usp=sharing"",""ปัตตานี!I746"")+IMPORTRANGE(""https://docs.google.com/spreadsheets/d/16JDLGguT8s5DsGCND1KcwHP_AWR_zDMTqLHPLJUKhaU/edit?usp=sharing"",""พังงา!I746"")+IMPORTRANGE(""https://docs.google.com/spreadsheets/d/17ht0gPKzzT3PObBL1XJkeR"&amp;"mntBXI7wGjpLV7QorqlTk/edit?usp=sharing"",""พัทลุง!I746"")+IMPORTRANGE(""https://docs.google.com/spreadsheets/d/1rd4qoM1q_hsgaolqNGfrim9gbsoLxQsda4-vOz5x_BM/edit?usp=sharing"",""ภูเก็ต!I746"")+IMPORTRANGE(""https://docs.google.com/spreadsheets/d/1woKwKjgoL"&amp;"ssDvPcPeVyezB5izizAn4X1JDrys69n6xI/edit?usp=sharing"",""ยะลา!I746"")+IMPORTRANGE(""https://docs.google.com/spreadsheets/d/1qfrKjzMhm2HJfxQ-qVlJlJQ25Hne1d0khsySbZyGtPA/edit?usp=sharing"",""ระนอง!I746"")+IMPORTRANGE(""https://docs.google.com/spreadsheets/d/"&amp;"1IbSCnFOKpZsnFogBHJnL_isstZVaOMnFiIN0fGTPZZw/edit?usp=sharing"",""สงขลา!I746"")+IMPORTRANGE(""https://docs.google.com/spreadsheets/d/1q9nWasZJ-K8bFGvbE9n0qSRuKGA4Toe3Y89cKCiVtCU/edit?usp=sharing"",""สตูล!I746"")+IMPORTRANGE(""https://docs.google.com/sprea"&amp;"dsheets/d/18T20gbkS_WBjdscyTOV05cvq_JqvqQ17C81mpxf7Ncs/edit?usp=sharing"",""สุราษฎร์ธานี!I746"")"),54)</f>
        <v>54</v>
      </c>
      <c r="J746" s="167">
        <f ca="1">IFERROR(__xludf.DUMMYFUNCTION("IMPORTRANGE(""https://docs.google.com/spreadsheets/d/1kKUcYdkIfrgTSj8iHHHB2MD2FAtwyyocFgqGQn6ADyI/edit?usp=sharing"",""กระบี่!J746"")+IMPORTRANGE(""https://docs.google.com/spreadsheets/d/1GwtLaSlNZkLk7iDqcyZz22giiy40b_usZZBXYciEN1U/edit?usp=sharing"",""ชุ"&amp;"มพร!J746"")+IMPORTRANGE(""https://docs.google.com/spreadsheets/d/16pAz3pOhQEZBhvFNMa5KGgZS6iKWpsKX0pg6tQmwFpo/edit?usp=sharing"",""ตรัง!J746"")+IMPORTRANGE(""https://docs.google.com/spreadsheets/d/1Dj4jcHCTV9JXKCaMoheSXS52JE63kDKyG7bPXnFogHk/edit?usp=shar"&amp;"ing"",""นครศรีธรรมราช!J746"")+IMPORTRANGE(""https://docs.google.com/spreadsheets/d/1iodCdmuK2GR3jzUwk8tpccY2JHQQA-87DLOtJP-ooyU/edit?usp=sharing"",""นราธิวาส!J746"")+IMPORTRANGE(""https://docs.google.com/spreadsheets/d/1SDNX3JhDdYRuIOsj0Wh2M-Qa_eaXl0NbWmh"&amp;"AOTbfQAs/edit?usp=sharing"",""ปัตตานี!J746"")+IMPORTRANGE(""https://docs.google.com/spreadsheets/d/16JDLGguT8s5DsGCND1KcwHP_AWR_zDMTqLHPLJUKhaU/edit?usp=sharing"",""พังงา!J746"")+IMPORTRANGE(""https://docs.google.com/spreadsheets/d/17ht0gPKzzT3PObBL1XJkeR"&amp;"mntBXI7wGjpLV7QorqlTk/edit?usp=sharing"",""พัทลุง!J746"")+IMPORTRANGE(""https://docs.google.com/spreadsheets/d/1rd4qoM1q_hsgaolqNGfrim9gbsoLxQsda4-vOz5x_BM/edit?usp=sharing"",""ภูเก็ต!J746"")+IMPORTRANGE(""https://docs.google.com/spreadsheets/d/1woKwKjgoL"&amp;"ssDvPcPeVyezB5izizAn4X1JDrys69n6xI/edit?usp=sharing"",""ยะลา!J746"")+IMPORTRANGE(""https://docs.google.com/spreadsheets/d/1qfrKjzMhm2HJfxQ-qVlJlJQ25Hne1d0khsySbZyGtPA/edit?usp=sharing"",""ระนอง!J746"")+IMPORTRANGE(""https://docs.google.com/spreadsheets/d/"&amp;"1IbSCnFOKpZsnFogBHJnL_isstZVaOMnFiIN0fGTPZZw/edit?usp=sharing"",""สงขลา!J746"")+IMPORTRANGE(""https://docs.google.com/spreadsheets/d/1q9nWasZJ-K8bFGvbE9n0qSRuKGA4Toe3Y89cKCiVtCU/edit?usp=sharing"",""สตูล!J746"")+IMPORTRANGE(""https://docs.google.com/sprea"&amp;"dsheets/d/18T20gbkS_WBjdscyTOV05cvq_JqvqQ17C81mpxf7Ncs/edit?usp=sharing"",""สุราษฎร์ธานี!J746"")"),36)</f>
        <v>36</v>
      </c>
      <c r="K746" s="47">
        <f ca="1">IF(I746&gt;0,J746*100/I746,0)</f>
        <v>66.666666666666671</v>
      </c>
      <c r="L746" s="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f ca="1">IFERROR(__xludf.DUMMYFUNCTION("IMPORTRANGE(""https://docs.google.com/spreadsheets/d/1kKUcYdkIfrgTSj8iHHHB2MD2FAtwyyocFgqGQn6ADyI/edit?usp=sharing"",""กระบี่!J748"")+IMPORTRANGE(""https://docs.google.com/spreadsheets/d/1GwtLaSlNZkLk7iDqcyZz22giiy40b_usZZBXYciEN1U/edit?usp=sharing"",""ชุ"&amp;"มพร!J748"")+IMPORTRANGE(""https://docs.google.com/spreadsheets/d/16pAz3pOhQEZBhvFNMa5KGgZS6iKWpsKX0pg6tQmwFpo/edit?usp=sharing"",""ตรัง!J748"")+IMPORTRANGE(""https://docs.google.com/spreadsheets/d/1Dj4jcHCTV9JXKCaMoheSXS52JE63kDKyG7bPXnFogHk/edit?usp=shar"&amp;"ing"",""นครศรีธรรมราช!J748"")+IMPORTRANGE(""https://docs.google.com/spreadsheets/d/1iodCdmuK2GR3jzUwk8tpccY2JHQQA-87DLOtJP-ooyU/edit?usp=sharing"",""นราธิวาส!J748"")+IMPORTRANGE(""https://docs.google.com/spreadsheets/d/1SDNX3JhDdYRuIOsj0Wh2M-Qa_eaXl0NbWmh"&amp;"AOTbfQAs/edit?usp=sharing"",""ปัตตานี!J748"")+IMPORTRANGE(""https://docs.google.com/spreadsheets/d/16JDLGguT8s5DsGCND1KcwHP_AWR_zDMTqLHPLJUKhaU/edit?usp=sharing"",""พังงา!J748"")+IMPORTRANGE(""https://docs.google.com/spreadsheets/d/17ht0gPKzzT3PObBL1XJkeR"&amp;"mntBXI7wGjpLV7QorqlTk/edit?usp=sharing"",""พัทลุง!J748"")+IMPORTRANGE(""https://docs.google.com/spreadsheets/d/1rd4qoM1q_hsgaolqNGfrim9gbsoLxQsda4-vOz5x_BM/edit?usp=sharing"",""ภูเก็ต!J748"")+IMPORTRANGE(""https://docs.google.com/spreadsheets/d/1woKwKjgoL"&amp;"ssDvPcPeVyezB5izizAn4X1JDrys69n6xI/edit?usp=sharing"",""ยะลา!J748"")+IMPORTRANGE(""https://docs.google.com/spreadsheets/d/1qfrKjzMhm2HJfxQ-qVlJlJQ25Hne1d0khsySbZyGtPA/edit?usp=sharing"",""ระนอง!J748"")+IMPORTRANGE(""https://docs.google.com/spreadsheets/d/"&amp;"1IbSCnFOKpZsnFogBHJnL_isstZVaOMnFiIN0fGTPZZw/edit?usp=sharing"",""สงขลา!J748"")+IMPORTRANGE(""https://docs.google.com/spreadsheets/d/1q9nWasZJ-K8bFGvbE9n0qSRuKGA4Toe3Y89cKCiVtCU/edit?usp=sharing"",""สตูล!J748"")+IMPORTRANGE(""https://docs.google.com/sprea"&amp;"dsheets/d/18T20gbkS_WBjdscyTOV05cvq_JqvqQ17C81mpxf7Ncs/edit?usp=sharing"",""สุราษฎร์ธานี!J748"")"),0)</f>
        <v>0</v>
      </c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kKUcYdkIfrgTSj8iHHHB2MD2FAtwyyocFgqGQn6ADyI/edit?usp=sharing"",""กระบี่!I749"")+IMPORTRANGE(""https://docs.google.com/spreadsheets/d/1GwtLaSlNZkLk7iDqcyZz22giiy40b_usZZBXYciEN1U/edit?usp=sharing"",""ชุ"&amp;"มพร!I749"")+IMPORTRANGE(""https://docs.google.com/spreadsheets/d/16pAz3pOhQEZBhvFNMa5KGgZS6iKWpsKX0pg6tQmwFpo/edit?usp=sharing"",""ตรัง!I749"")+IMPORTRANGE(""https://docs.google.com/spreadsheets/d/1Dj4jcHCTV9JXKCaMoheSXS52JE63kDKyG7bPXnFogHk/edit?usp=shar"&amp;"ing"",""นครศรีธรรมราช!I749"")+IMPORTRANGE(""https://docs.google.com/spreadsheets/d/1iodCdmuK2GR3jzUwk8tpccY2JHQQA-87DLOtJP-ooyU/edit?usp=sharing"",""นราธิวาส!I749"")+IMPORTRANGE(""https://docs.google.com/spreadsheets/d/1SDNX3JhDdYRuIOsj0Wh2M-Qa_eaXl0NbWmh"&amp;"AOTbfQAs/edit?usp=sharing"",""ปัตตานี!I749"")+IMPORTRANGE(""https://docs.google.com/spreadsheets/d/16JDLGguT8s5DsGCND1KcwHP_AWR_zDMTqLHPLJUKhaU/edit?usp=sharing"",""พังงา!I749"")+IMPORTRANGE(""https://docs.google.com/spreadsheets/d/17ht0gPKzzT3PObBL1XJkeR"&amp;"mntBXI7wGjpLV7QorqlTk/edit?usp=sharing"",""พัทลุง!I749"")+IMPORTRANGE(""https://docs.google.com/spreadsheets/d/1rd4qoM1q_hsgaolqNGfrim9gbsoLxQsda4-vOz5x_BM/edit?usp=sharing"",""ภูเก็ต!I749"")+IMPORTRANGE(""https://docs.google.com/spreadsheets/d/1woKwKjgoL"&amp;"ssDvPcPeVyezB5izizAn4X1JDrys69n6xI/edit?usp=sharing"",""ยะลา!I749"")+IMPORTRANGE(""https://docs.google.com/spreadsheets/d/1qfrKjzMhm2HJfxQ-qVlJlJQ25Hne1d0khsySbZyGtPA/edit?usp=sharing"",""ระนอง!I749"")+IMPORTRANGE(""https://docs.google.com/spreadsheets/d/"&amp;"1IbSCnFOKpZsnFogBHJnL_isstZVaOMnFiIN0fGTPZZw/edit?usp=sharing"",""สงขลา!I749"")+IMPORTRANGE(""https://docs.google.com/spreadsheets/d/1q9nWasZJ-K8bFGvbE9n0qSRuKGA4Toe3Y89cKCiVtCU/edit?usp=sharing"",""สตูล!I749"")+IMPORTRANGE(""https://docs.google.com/sprea"&amp;"dsheets/d/18T20gbkS_WBjdscyTOV05cvq_JqvqQ17C81mpxf7Ncs/edit?usp=sharing"",""สุราษฎร์ธานี!I749"")"),14)</f>
        <v>14</v>
      </c>
      <c r="J749" s="167">
        <f ca="1">IFERROR(__xludf.DUMMYFUNCTION("IMPORTRANGE(""https://docs.google.com/spreadsheets/d/1kKUcYdkIfrgTSj8iHHHB2MD2FAtwyyocFgqGQn6ADyI/edit?usp=sharing"",""กระบี่!J749"")+IMPORTRANGE(""https://docs.google.com/spreadsheets/d/1GwtLaSlNZkLk7iDqcyZz22giiy40b_usZZBXYciEN1U/edit?usp=sharing"",""ชุ"&amp;"มพร!J749"")+IMPORTRANGE(""https://docs.google.com/spreadsheets/d/16pAz3pOhQEZBhvFNMa5KGgZS6iKWpsKX0pg6tQmwFpo/edit?usp=sharing"",""ตรัง!J749"")+IMPORTRANGE(""https://docs.google.com/spreadsheets/d/1Dj4jcHCTV9JXKCaMoheSXS52JE63kDKyG7bPXnFogHk/edit?usp=shar"&amp;"ing"",""นครศรีธรรมราช!J749"")+IMPORTRANGE(""https://docs.google.com/spreadsheets/d/1iodCdmuK2GR3jzUwk8tpccY2JHQQA-87DLOtJP-ooyU/edit?usp=sharing"",""นราธิวาส!J749"")+IMPORTRANGE(""https://docs.google.com/spreadsheets/d/1SDNX3JhDdYRuIOsj0Wh2M-Qa_eaXl0NbWmh"&amp;"AOTbfQAs/edit?usp=sharing"",""ปัตตานี!J749"")+IMPORTRANGE(""https://docs.google.com/spreadsheets/d/16JDLGguT8s5DsGCND1KcwHP_AWR_zDMTqLHPLJUKhaU/edit?usp=sharing"",""พังงา!J749"")+IMPORTRANGE(""https://docs.google.com/spreadsheets/d/17ht0gPKzzT3PObBL1XJkeR"&amp;"mntBXI7wGjpLV7QorqlTk/edit?usp=sharing"",""พัทลุง!J749"")+IMPORTRANGE(""https://docs.google.com/spreadsheets/d/1rd4qoM1q_hsgaolqNGfrim9gbsoLxQsda4-vOz5x_BM/edit?usp=sharing"",""ภูเก็ต!J749"")+IMPORTRANGE(""https://docs.google.com/spreadsheets/d/1woKwKjgoL"&amp;"ssDvPcPeVyezB5izizAn4X1JDrys69n6xI/edit?usp=sharing"",""ยะลา!J749"")+IMPORTRANGE(""https://docs.google.com/spreadsheets/d/1qfrKjzMhm2HJfxQ-qVlJlJQ25Hne1d0khsySbZyGtPA/edit?usp=sharing"",""ระนอง!J749"")+IMPORTRANGE(""https://docs.google.com/spreadsheets/d/"&amp;"1IbSCnFOKpZsnFogBHJnL_isstZVaOMnFiIN0fGTPZZw/edit?usp=sharing"",""สงขลา!J749"")+IMPORTRANGE(""https://docs.google.com/spreadsheets/d/1q9nWasZJ-K8bFGvbE9n0qSRuKGA4Toe3Y89cKCiVtCU/edit?usp=sharing"",""สตูล!J749"")+IMPORTRANGE(""https://docs.google.com/sprea"&amp;"dsheets/d/18T20gbkS_WBjdscyTOV05cvq_JqvqQ17C81mpxf7Ncs/edit?usp=sharing"",""สุราษฎร์ธานี!J749"")"),12)</f>
        <v>12</v>
      </c>
      <c r="K749" s="47">
        <f ca="1">IF(I749&gt;0,J749*100/I749,0)</f>
        <v>85.714285714285708</v>
      </c>
      <c r="L749" s="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kKUcYdkIfrgTSj8iHHHB2MD2FAtwyyocFgqGQn6ADyI/edit?usp=sharing"",""กระบี่!I752"")+IMPORTRANGE(""https://docs.google.com/spreadsheets/d/1GwtLaSlNZkLk7iDqcyZz22giiy40b_usZZBXYciEN1U/edit?usp=sharing"",""ชุ"&amp;"มพร!I752"")+IMPORTRANGE(""https://docs.google.com/spreadsheets/d/16pAz3pOhQEZBhvFNMa5KGgZS6iKWpsKX0pg6tQmwFpo/edit?usp=sharing"",""ตรัง!I752"")+IMPORTRANGE(""https://docs.google.com/spreadsheets/d/1Dj4jcHCTV9JXKCaMoheSXS52JE63kDKyG7bPXnFogHk/edit?usp=shar"&amp;"ing"",""นครศรีธรรมราช!I752"")+IMPORTRANGE(""https://docs.google.com/spreadsheets/d/1iodCdmuK2GR3jzUwk8tpccY2JHQQA-87DLOtJP-ooyU/edit?usp=sharing"",""นราธิวาส!I752"")+IMPORTRANGE(""https://docs.google.com/spreadsheets/d/1SDNX3JhDdYRuIOsj0Wh2M-Qa_eaXl0NbWmh"&amp;"AOTbfQAs/edit?usp=sharing"",""ปัตตานี!I752"")+IMPORTRANGE(""https://docs.google.com/spreadsheets/d/16JDLGguT8s5DsGCND1KcwHP_AWR_zDMTqLHPLJUKhaU/edit?usp=sharing"",""พังงา!I752"")+IMPORTRANGE(""https://docs.google.com/spreadsheets/d/17ht0gPKzzT3PObBL1XJkeR"&amp;"mntBXI7wGjpLV7QorqlTk/edit?usp=sharing"",""พัทลุง!I752"")+IMPORTRANGE(""https://docs.google.com/spreadsheets/d/1rd4qoM1q_hsgaolqNGfrim9gbsoLxQsda4-vOz5x_BM/edit?usp=sharing"",""ภูเก็ต!I752"")+IMPORTRANGE(""https://docs.google.com/spreadsheets/d/1woKwKjgoL"&amp;"ssDvPcPeVyezB5izizAn4X1JDrys69n6xI/edit?usp=sharing"",""ยะลา!I752"")+IMPORTRANGE(""https://docs.google.com/spreadsheets/d/1qfrKjzMhm2HJfxQ-qVlJlJQ25Hne1d0khsySbZyGtPA/edit?usp=sharing"",""ระนอง!I752"")+IMPORTRANGE(""https://docs.google.com/spreadsheets/d/"&amp;"1IbSCnFOKpZsnFogBHJnL_isstZVaOMnFiIN0fGTPZZw/edit?usp=sharing"",""สงขลา!I752"")+IMPORTRANGE(""https://docs.google.com/spreadsheets/d/1q9nWasZJ-K8bFGvbE9n0qSRuKGA4Toe3Y89cKCiVtCU/edit?usp=sharing"",""สตูล!I752"")+IMPORTRANGE(""https://docs.google.com/sprea"&amp;"dsheets/d/18T20gbkS_WBjdscyTOV05cvq_JqvqQ17C81mpxf7Ncs/edit?usp=sharing"",""สุราษฎร์ธานี!I752"")"),2160)</f>
        <v>2160</v>
      </c>
      <c r="J752" s="167">
        <f ca="1">IFERROR(__xludf.DUMMYFUNCTION("IMPORTRANGE(""https://docs.google.com/spreadsheets/d/1kKUcYdkIfrgTSj8iHHHB2MD2FAtwyyocFgqGQn6ADyI/edit?usp=sharing"",""กระบี่!J752"")+IMPORTRANGE(""https://docs.google.com/spreadsheets/d/1GwtLaSlNZkLk7iDqcyZz22giiy40b_usZZBXYciEN1U/edit?usp=sharing"",""ชุ"&amp;"มพร!J752"")+IMPORTRANGE(""https://docs.google.com/spreadsheets/d/16pAz3pOhQEZBhvFNMa5KGgZS6iKWpsKX0pg6tQmwFpo/edit?usp=sharing"",""ตรัง!J752"")+IMPORTRANGE(""https://docs.google.com/spreadsheets/d/1Dj4jcHCTV9JXKCaMoheSXS52JE63kDKyG7bPXnFogHk/edit?usp=shar"&amp;"ing"",""นครศรีธรรมราช!J752"")+IMPORTRANGE(""https://docs.google.com/spreadsheets/d/1iodCdmuK2GR3jzUwk8tpccY2JHQQA-87DLOtJP-ooyU/edit?usp=sharing"",""นราธิวาส!J752"")+IMPORTRANGE(""https://docs.google.com/spreadsheets/d/1SDNX3JhDdYRuIOsj0Wh2M-Qa_eaXl0NbWmh"&amp;"AOTbfQAs/edit?usp=sharing"",""ปัตตานี!J752"")+IMPORTRANGE(""https://docs.google.com/spreadsheets/d/16JDLGguT8s5DsGCND1KcwHP_AWR_zDMTqLHPLJUKhaU/edit?usp=sharing"",""พังงา!J752"")+IMPORTRANGE(""https://docs.google.com/spreadsheets/d/17ht0gPKzzT3PObBL1XJkeR"&amp;"mntBXI7wGjpLV7QorqlTk/edit?usp=sharing"",""พัทลุง!J752"")+IMPORTRANGE(""https://docs.google.com/spreadsheets/d/1rd4qoM1q_hsgaolqNGfrim9gbsoLxQsda4-vOz5x_BM/edit?usp=sharing"",""ภูเก็ต!J752"")+IMPORTRANGE(""https://docs.google.com/spreadsheets/d/1woKwKjgoL"&amp;"ssDvPcPeVyezB5izizAn4X1JDrys69n6xI/edit?usp=sharing"",""ยะลา!J752"")+IMPORTRANGE(""https://docs.google.com/spreadsheets/d/1qfrKjzMhm2HJfxQ-qVlJlJQ25Hne1d0khsySbZyGtPA/edit?usp=sharing"",""ระนอง!J752"")+IMPORTRANGE(""https://docs.google.com/spreadsheets/d/"&amp;"1IbSCnFOKpZsnFogBHJnL_isstZVaOMnFiIN0fGTPZZw/edit?usp=sharing"",""สงขลา!J752"")+IMPORTRANGE(""https://docs.google.com/spreadsheets/d/1q9nWasZJ-K8bFGvbE9n0qSRuKGA4Toe3Y89cKCiVtCU/edit?usp=sharing"",""สตูล!J752"")+IMPORTRANGE(""https://docs.google.com/sprea"&amp;"dsheets/d/18T20gbkS_WBjdscyTOV05cvq_JqvqQ17C81mpxf7Ncs/edit?usp=sharing"",""สุราษฎร์ธานี!J752"")"),0)</f>
        <v>0</v>
      </c>
      <c r="K752" s="47">
        <f ca="1">IF(I752&gt;0,J752*100/I752,0)</f>
        <v>0</v>
      </c>
      <c r="L752" s="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f ca="1">IFERROR(__xludf.DUMMYFUNCTION("IMPORTRANGE(""https://docs.google.com/spreadsheets/d/1kKUcYdkIfrgTSj8iHHHB2MD2FAtwyyocFgqGQn6ADyI/edit?usp=sharing"",""กระบี่!J753"")+IMPORTRANGE(""https://docs.google.com/spreadsheets/d/1GwtLaSlNZkLk7iDqcyZz22giiy40b_usZZBXYciEN1U/edit?usp=sharing"",""ชุ"&amp;"มพร!J753"")+IMPORTRANGE(""https://docs.google.com/spreadsheets/d/16pAz3pOhQEZBhvFNMa5KGgZS6iKWpsKX0pg6tQmwFpo/edit?usp=sharing"",""ตรัง!J753"")+IMPORTRANGE(""https://docs.google.com/spreadsheets/d/1Dj4jcHCTV9JXKCaMoheSXS52JE63kDKyG7bPXnFogHk/edit?usp=shar"&amp;"ing"",""นครศรีธรรมราช!J753"")+IMPORTRANGE(""https://docs.google.com/spreadsheets/d/1iodCdmuK2GR3jzUwk8tpccY2JHQQA-87DLOtJP-ooyU/edit?usp=sharing"",""นราธิวาส!J753"")+IMPORTRANGE(""https://docs.google.com/spreadsheets/d/1SDNX3JhDdYRuIOsj0Wh2M-Qa_eaXl0NbWmh"&amp;"AOTbfQAs/edit?usp=sharing"",""ปัตตานี!J753"")+IMPORTRANGE(""https://docs.google.com/spreadsheets/d/16JDLGguT8s5DsGCND1KcwHP_AWR_zDMTqLHPLJUKhaU/edit?usp=sharing"",""พังงา!J753"")+IMPORTRANGE(""https://docs.google.com/spreadsheets/d/17ht0gPKzzT3PObBL1XJkeR"&amp;"mntBXI7wGjpLV7QorqlTk/edit?usp=sharing"",""พัทลุง!J753"")+IMPORTRANGE(""https://docs.google.com/spreadsheets/d/1rd4qoM1q_hsgaolqNGfrim9gbsoLxQsda4-vOz5x_BM/edit?usp=sharing"",""ภูเก็ต!J753"")+IMPORTRANGE(""https://docs.google.com/spreadsheets/d/1woKwKjgoL"&amp;"ssDvPcPeVyezB5izizAn4X1JDrys69n6xI/edit?usp=sharing"",""ยะลา!J753"")+IMPORTRANGE(""https://docs.google.com/spreadsheets/d/1qfrKjzMhm2HJfxQ-qVlJlJQ25Hne1d0khsySbZyGtPA/edit?usp=sharing"",""ระนอง!J753"")+IMPORTRANGE(""https://docs.google.com/spreadsheets/d/"&amp;"1IbSCnFOKpZsnFogBHJnL_isstZVaOMnFiIN0fGTPZZw/edit?usp=sharing"",""สงขลา!J753"")+IMPORTRANGE(""https://docs.google.com/spreadsheets/d/1q9nWasZJ-K8bFGvbE9n0qSRuKGA4Toe3Y89cKCiVtCU/edit?usp=sharing"",""สตูล!J753"")+IMPORTRANGE(""https://docs.google.com/sprea"&amp;"dsheets/d/18T20gbkS_WBjdscyTOV05cvq_JqvqQ17C81mpxf7Ncs/edit?usp=sharing"",""สุราษฎร์ธานี!J753"")"),0)</f>
        <v>0</v>
      </c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kKUcYdkIfrgTSj8iHHHB2MD2FAtwyyocFgqGQn6ADyI/edit?usp=sharing"",""กระบี่!I755"")+IMPORTRANGE(""https://docs.google.com/spreadsheets/d/1GwtLaSlNZkLk7iDqcyZz22giiy40b_usZZBXYciEN1U/edit?usp=sharing"",""ชุ"&amp;"มพร!I755"")+IMPORTRANGE(""https://docs.google.com/spreadsheets/d/16pAz3pOhQEZBhvFNMa5KGgZS6iKWpsKX0pg6tQmwFpo/edit?usp=sharing"",""ตรัง!I755"")+IMPORTRANGE(""https://docs.google.com/spreadsheets/d/1Dj4jcHCTV9JXKCaMoheSXS52JE63kDKyG7bPXnFogHk/edit?usp=shar"&amp;"ing"",""นครศรีธรรมราช!I755"")+IMPORTRANGE(""https://docs.google.com/spreadsheets/d/1iodCdmuK2GR3jzUwk8tpccY2JHQQA-87DLOtJP-ooyU/edit?usp=sharing"",""นราธิวาส!I755"")+IMPORTRANGE(""https://docs.google.com/spreadsheets/d/1SDNX3JhDdYRuIOsj0Wh2M-Qa_eaXl0NbWmh"&amp;"AOTbfQAs/edit?usp=sharing"",""ปัตตานี!I755"")+IMPORTRANGE(""https://docs.google.com/spreadsheets/d/16JDLGguT8s5DsGCND1KcwHP_AWR_zDMTqLHPLJUKhaU/edit?usp=sharing"",""พังงา!I755"")+IMPORTRANGE(""https://docs.google.com/spreadsheets/d/17ht0gPKzzT3PObBL1XJkeR"&amp;"mntBXI7wGjpLV7QorqlTk/edit?usp=sharing"",""พัทลุง!I755"")+IMPORTRANGE(""https://docs.google.com/spreadsheets/d/1rd4qoM1q_hsgaolqNGfrim9gbsoLxQsda4-vOz5x_BM/edit?usp=sharing"",""ภูเก็ต!I755"")+IMPORTRANGE(""https://docs.google.com/spreadsheets/d/1woKwKjgoL"&amp;"ssDvPcPeVyezB5izizAn4X1JDrys69n6xI/edit?usp=sharing"",""ยะลา!I755"")+IMPORTRANGE(""https://docs.google.com/spreadsheets/d/1qfrKjzMhm2HJfxQ-qVlJlJQ25Hne1d0khsySbZyGtPA/edit?usp=sharing"",""ระนอง!I755"")+IMPORTRANGE(""https://docs.google.com/spreadsheets/d/"&amp;"1IbSCnFOKpZsnFogBHJnL_isstZVaOMnFiIN0fGTPZZw/edit?usp=sharing"",""สงขลา!I755"")+IMPORTRANGE(""https://docs.google.com/spreadsheets/d/1q9nWasZJ-K8bFGvbE9n0qSRuKGA4Toe3Y89cKCiVtCU/edit?usp=sharing"",""สตูล!I755"")+IMPORTRANGE(""https://docs.google.com/sprea"&amp;"dsheets/d/18T20gbkS_WBjdscyTOV05cvq_JqvqQ17C81mpxf7Ncs/edit?usp=sharing"",""สุราษฎร์ธานี!I755"")"),540)</f>
        <v>540</v>
      </c>
      <c r="J755" s="167">
        <f ca="1">IFERROR(__xludf.DUMMYFUNCTION("IMPORTRANGE(""https://docs.google.com/spreadsheets/d/1kKUcYdkIfrgTSj8iHHHB2MD2FAtwyyocFgqGQn6ADyI/edit?usp=sharing"",""กระบี่!J755"")+IMPORTRANGE(""https://docs.google.com/spreadsheets/d/1GwtLaSlNZkLk7iDqcyZz22giiy40b_usZZBXYciEN1U/edit?usp=sharing"",""ชุ"&amp;"มพร!J755"")+IMPORTRANGE(""https://docs.google.com/spreadsheets/d/16pAz3pOhQEZBhvFNMa5KGgZS6iKWpsKX0pg6tQmwFpo/edit?usp=sharing"",""ตรัง!J755"")+IMPORTRANGE(""https://docs.google.com/spreadsheets/d/1Dj4jcHCTV9JXKCaMoheSXS52JE63kDKyG7bPXnFogHk/edit?usp=shar"&amp;"ing"",""นครศรีธรรมราช!J755"")+IMPORTRANGE(""https://docs.google.com/spreadsheets/d/1iodCdmuK2GR3jzUwk8tpccY2JHQQA-87DLOtJP-ooyU/edit?usp=sharing"",""นราธิวาส!J755"")+IMPORTRANGE(""https://docs.google.com/spreadsheets/d/1SDNX3JhDdYRuIOsj0Wh2M-Qa_eaXl0NbWmh"&amp;"AOTbfQAs/edit?usp=sharing"",""ปัตตานี!J755"")+IMPORTRANGE(""https://docs.google.com/spreadsheets/d/16JDLGguT8s5DsGCND1KcwHP_AWR_zDMTqLHPLJUKhaU/edit?usp=sharing"",""พังงา!J755"")+IMPORTRANGE(""https://docs.google.com/spreadsheets/d/17ht0gPKzzT3PObBL1XJkeR"&amp;"mntBXI7wGjpLV7QorqlTk/edit?usp=sharing"",""พัทลุง!J755"")+IMPORTRANGE(""https://docs.google.com/spreadsheets/d/1rd4qoM1q_hsgaolqNGfrim9gbsoLxQsda4-vOz5x_BM/edit?usp=sharing"",""ภูเก็ต!J755"")+IMPORTRANGE(""https://docs.google.com/spreadsheets/d/1woKwKjgoL"&amp;"ssDvPcPeVyezB5izizAn4X1JDrys69n6xI/edit?usp=sharing"",""ยะลา!J755"")+IMPORTRANGE(""https://docs.google.com/spreadsheets/d/1qfrKjzMhm2HJfxQ-qVlJlJQ25Hne1d0khsySbZyGtPA/edit?usp=sharing"",""ระนอง!J755"")+IMPORTRANGE(""https://docs.google.com/spreadsheets/d/"&amp;"1IbSCnFOKpZsnFogBHJnL_isstZVaOMnFiIN0fGTPZZw/edit?usp=sharing"",""สงขลา!J755"")+IMPORTRANGE(""https://docs.google.com/spreadsheets/d/1q9nWasZJ-K8bFGvbE9n0qSRuKGA4Toe3Y89cKCiVtCU/edit?usp=sharing"",""สตูล!J755"")+IMPORTRANGE(""https://docs.google.com/sprea"&amp;"dsheets/d/18T20gbkS_WBjdscyTOV05cvq_JqvqQ17C81mpxf7Ncs/edit?usp=sharing"",""สุราษฎร์ธานี!J755"")"),0)</f>
        <v>0</v>
      </c>
      <c r="K755" s="47">
        <f ca="1">IF(I755&gt;0,J755*100/I755,0)</f>
        <v>0</v>
      </c>
      <c r="L755" s="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f ca="1">IFERROR(__xludf.DUMMYFUNCTION("IMPORTRANGE(""https://docs.google.com/spreadsheets/d/1kKUcYdkIfrgTSj8iHHHB2MD2FAtwyyocFgqGQn6ADyI/edit?usp=sharing"",""กระบี่!J756"")+IMPORTRANGE(""https://docs.google.com/spreadsheets/d/1GwtLaSlNZkLk7iDqcyZz22giiy40b_usZZBXYciEN1U/edit?usp=sharing"",""ชุ"&amp;"มพร!J756"")+IMPORTRANGE(""https://docs.google.com/spreadsheets/d/16pAz3pOhQEZBhvFNMa5KGgZS6iKWpsKX0pg6tQmwFpo/edit?usp=sharing"",""ตรัง!J756"")+IMPORTRANGE(""https://docs.google.com/spreadsheets/d/1Dj4jcHCTV9JXKCaMoheSXS52JE63kDKyG7bPXnFogHk/edit?usp=shar"&amp;"ing"",""นครศรีธรรมราช!J756"")+IMPORTRANGE(""https://docs.google.com/spreadsheets/d/1iodCdmuK2GR3jzUwk8tpccY2JHQQA-87DLOtJP-ooyU/edit?usp=sharing"",""นราธิวาส!J756"")+IMPORTRANGE(""https://docs.google.com/spreadsheets/d/1SDNX3JhDdYRuIOsj0Wh2M-Qa_eaXl0NbWmh"&amp;"AOTbfQAs/edit?usp=sharing"",""ปัตตานี!J756"")+IMPORTRANGE(""https://docs.google.com/spreadsheets/d/16JDLGguT8s5DsGCND1KcwHP_AWR_zDMTqLHPLJUKhaU/edit?usp=sharing"",""พังงา!J756"")+IMPORTRANGE(""https://docs.google.com/spreadsheets/d/17ht0gPKzzT3PObBL1XJkeR"&amp;"mntBXI7wGjpLV7QorqlTk/edit?usp=sharing"",""พัทลุง!J756"")+IMPORTRANGE(""https://docs.google.com/spreadsheets/d/1rd4qoM1q_hsgaolqNGfrim9gbsoLxQsda4-vOz5x_BM/edit?usp=sharing"",""ภูเก็ต!J756"")+IMPORTRANGE(""https://docs.google.com/spreadsheets/d/1woKwKjgoL"&amp;"ssDvPcPeVyezB5izizAn4X1JDrys69n6xI/edit?usp=sharing"",""ยะลา!J756"")+IMPORTRANGE(""https://docs.google.com/spreadsheets/d/1qfrKjzMhm2HJfxQ-qVlJlJQ25Hne1d0khsySbZyGtPA/edit?usp=sharing"",""ระนอง!J756"")+IMPORTRANGE(""https://docs.google.com/spreadsheets/d/"&amp;"1IbSCnFOKpZsnFogBHJnL_isstZVaOMnFiIN0fGTPZZw/edit?usp=sharing"",""สงขลา!J756"")+IMPORTRANGE(""https://docs.google.com/spreadsheets/d/1q9nWasZJ-K8bFGvbE9n0qSRuKGA4Toe3Y89cKCiVtCU/edit?usp=sharing"",""สตูล!J756"")+IMPORTRANGE(""https://docs.google.com/sprea"&amp;"dsheets/d/18T20gbkS_WBjdscyTOV05cvq_JqvqQ17C81mpxf7Ncs/edit?usp=sharing"",""สุราษฎร์ธานี!J756"")"),0)</f>
        <v>0</v>
      </c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9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56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t="shared" ref="I758:J758" ca="1" si="518">I772</f>
        <v>240</v>
      </c>
      <c r="J758" s="483">
        <f t="shared" ca="1" si="518"/>
        <v>150</v>
      </c>
      <c r="K758" s="484">
        <f t="shared" ref="K758:K759" ca="1" si="519">IF(I758&gt;0,J758*100/I758,0)</f>
        <v>62.5</v>
      </c>
      <c r="L758" s="46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t="shared" ref="I759:J759" ca="1" si="520">I774</f>
        <v>625</v>
      </c>
      <c r="J759" s="483">
        <f t="shared" ca="1" si="520"/>
        <v>350</v>
      </c>
      <c r="K759" s="484">
        <f t="shared" ca="1" si="519"/>
        <v>56</v>
      </c>
      <c r="L759" s="46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188" t="s">
        <v>18</v>
      </c>
      <c r="D760" s="532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132">
        <f t="shared" ref="L760:N760" ca="1" si="521">L761+L762</f>
        <v>0</v>
      </c>
      <c r="M760" s="132">
        <f t="shared" ca="1" si="521"/>
        <v>0</v>
      </c>
      <c r="N760" s="132">
        <f t="shared" ca="1" si="521"/>
        <v>0</v>
      </c>
      <c r="O760" s="132">
        <f t="shared" ref="O760:O768" ca="1" si="522">IF(L760&gt;0,N760*100/L760,0)</f>
        <v>0</v>
      </c>
      <c r="P760" s="132">
        <f t="shared" ref="P760:P768" ca="1" si="523">IF(M760&gt;0,N760*100/M760,0)</f>
        <v>0</v>
      </c>
      <c r="Q760" s="132">
        <f t="shared" ref="Q760:S760" ca="1" si="524">Q761+Q762</f>
        <v>2015140</v>
      </c>
      <c r="R760" s="132">
        <f t="shared" ca="1" si="524"/>
        <v>2015140</v>
      </c>
      <c r="S760" s="132">
        <f t="shared" ca="1" si="524"/>
        <v>995880.8</v>
      </c>
      <c r="T760" s="132">
        <f t="shared" ref="T760:T768" ca="1" si="525">IF(Q760&gt;0,S760*100/Q760,0)</f>
        <v>49.419931121410919</v>
      </c>
      <c r="U760" s="132">
        <f t="shared" ref="U760:U768" ca="1" si="526">IF(R760&gt;0,S760*100/R760,0)</f>
        <v>49.419931121410919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49">
        <f t="shared" ref="L761:N761" ca="1" si="527">L764+L767</f>
        <v>0</v>
      </c>
      <c r="M761" s="49">
        <f t="shared" ca="1" si="527"/>
        <v>0</v>
      </c>
      <c r="N761" s="49">
        <f t="shared" ca="1" si="527"/>
        <v>0</v>
      </c>
      <c r="O761" s="49">
        <f t="shared" ca="1" si="522"/>
        <v>0</v>
      </c>
      <c r="P761" s="49">
        <f t="shared" ca="1" si="523"/>
        <v>0</v>
      </c>
      <c r="Q761" s="49">
        <f t="shared" ref="Q761:S761" ca="1" si="528">Q764+Q767</f>
        <v>0</v>
      </c>
      <c r="R761" s="49">
        <f t="shared" ca="1" si="528"/>
        <v>0</v>
      </c>
      <c r="S761" s="49">
        <f t="shared" ca="1" si="528"/>
        <v>0</v>
      </c>
      <c r="T761" s="49">
        <f t="shared" ca="1" si="525"/>
        <v>0</v>
      </c>
      <c r="U761" s="49">
        <f t="shared" ca="1" si="526"/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47">
        <f t="shared" ref="L762:N762" ca="1" si="529">L765+L768</f>
        <v>0</v>
      </c>
      <c r="M762" s="47">
        <f t="shared" ca="1" si="529"/>
        <v>0</v>
      </c>
      <c r="N762" s="47">
        <f t="shared" ca="1" si="529"/>
        <v>0</v>
      </c>
      <c r="O762" s="47">
        <f t="shared" ca="1" si="522"/>
        <v>0</v>
      </c>
      <c r="P762" s="47">
        <f t="shared" ca="1" si="523"/>
        <v>0</v>
      </c>
      <c r="Q762" s="47">
        <f t="shared" ref="Q762:S762" ca="1" si="530">Q765+Q768</f>
        <v>2015140</v>
      </c>
      <c r="R762" s="47">
        <f t="shared" ca="1" si="530"/>
        <v>2015140</v>
      </c>
      <c r="S762" s="47">
        <f t="shared" ca="1" si="530"/>
        <v>995880.8</v>
      </c>
      <c r="T762" s="47">
        <f t="shared" ca="1" si="525"/>
        <v>49.419931121410919</v>
      </c>
      <c r="U762" s="47">
        <f t="shared" ca="1" si="526"/>
        <v>49.419931121410919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47">
        <f t="shared" ref="L763:N763" ca="1" si="531">L764+L765</f>
        <v>0</v>
      </c>
      <c r="M763" s="47">
        <f t="shared" ca="1" si="531"/>
        <v>0</v>
      </c>
      <c r="N763" s="47">
        <f t="shared" ca="1" si="531"/>
        <v>0</v>
      </c>
      <c r="O763" s="47">
        <f t="shared" ca="1" si="522"/>
        <v>0</v>
      </c>
      <c r="P763" s="47">
        <f t="shared" ca="1" si="523"/>
        <v>0</v>
      </c>
      <c r="Q763" s="47">
        <f t="shared" ref="Q763:S763" ca="1" si="532">Q764+Q765</f>
        <v>2015140</v>
      </c>
      <c r="R763" s="47">
        <f t="shared" ca="1" si="532"/>
        <v>2015140</v>
      </c>
      <c r="S763" s="47">
        <f t="shared" ca="1" si="532"/>
        <v>995880.8</v>
      </c>
      <c r="T763" s="47">
        <f t="shared" ca="1" si="525"/>
        <v>49.419931121410919</v>
      </c>
      <c r="U763" s="47">
        <f t="shared" ca="1" si="526"/>
        <v>49.419931121410919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49">
        <f ca="1">IFERROR(__xludf.DUMMYFUNCTION("IMPORTRANGE(""https://docs.google.com/spreadsheets/d/1kKUcYdkIfrgTSj8iHHHB2MD2FAtwyyocFgqGQn6ADyI/edit?usp=sharing"",""กระบี่!L764"")+IMPORTRANGE(""https://docs.google.com/spreadsheets/d/1GwtLaSlNZkLk7iDqcyZz22giiy40b_usZZBXYciEN1U/edit?usp=sharing"",""ชุ"&amp;"มพร!L764"")+IMPORTRANGE(""https://docs.google.com/spreadsheets/d/16pAz3pOhQEZBhvFNMa5KGgZS6iKWpsKX0pg6tQmwFpo/edit?usp=sharing"",""ตรัง!L764"")+IMPORTRANGE(""https://docs.google.com/spreadsheets/d/1Dj4jcHCTV9JXKCaMoheSXS52JE63kDKyG7bPXnFogHk/edit?usp=shar"&amp;"ing"",""นครศรีธรรมราช!L764"")+IMPORTRANGE(""https://docs.google.com/spreadsheets/d/1iodCdmuK2GR3jzUwk8tpccY2JHQQA-87DLOtJP-ooyU/edit?usp=sharing"",""นราธิวาส!L764"")+IMPORTRANGE(""https://docs.google.com/spreadsheets/d/1SDNX3JhDdYRuIOsj0Wh2M-Qa_eaXl0NbWmh"&amp;"AOTbfQAs/edit?usp=sharing"",""ปัตตานี!L764"")+IMPORTRANGE(""https://docs.google.com/spreadsheets/d/16JDLGguT8s5DsGCND1KcwHP_AWR_zDMTqLHPLJUKhaU/edit?usp=sharing"",""พังงา!L764"")+IMPORTRANGE(""https://docs.google.com/spreadsheets/d/17ht0gPKzzT3PObBL1XJkeR"&amp;"mntBXI7wGjpLV7QorqlTk/edit?usp=sharing"",""พัทลุง!L764"")+IMPORTRANGE(""https://docs.google.com/spreadsheets/d/1rd4qoM1q_hsgaolqNGfrim9gbsoLxQsda4-vOz5x_BM/edit?usp=sharing"",""ภูเก็ต!L764"")+IMPORTRANGE(""https://docs.google.com/spreadsheets/d/1woKwKjgoL"&amp;"ssDvPcPeVyezB5izizAn4X1JDrys69n6xI/edit?usp=sharing"",""ยะลา!L764"")+IMPORTRANGE(""https://docs.google.com/spreadsheets/d/1qfrKjzMhm2HJfxQ-qVlJlJQ25Hne1d0khsySbZyGtPA/edit?usp=sharing"",""ระนอง!L764"")+IMPORTRANGE(""https://docs.google.com/spreadsheets/d/"&amp;"1IbSCnFOKpZsnFogBHJnL_isstZVaOMnFiIN0fGTPZZw/edit?usp=sharing"",""สงขลา!L764"")+IMPORTRANGE(""https://docs.google.com/spreadsheets/d/1q9nWasZJ-K8bFGvbE9n0qSRuKGA4Toe3Y89cKCiVtCU/edit?usp=sharing"",""สตูล!L764"")+IMPORTRANGE(""https://docs.google.com/sprea"&amp;"dsheets/d/18T20gbkS_WBjdscyTOV05cvq_JqvqQ17C81mpxf7Ncs/edit?usp=sharing"",""สุราษฎร์ธานี!L764"")"),0)</f>
        <v>0</v>
      </c>
      <c r="M764" s="49">
        <f ca="1">IFERROR(__xludf.DUMMYFUNCTION("IMPORTRANGE(""https://docs.google.com/spreadsheets/d/1kKUcYdkIfrgTSj8iHHHB2MD2FAtwyyocFgqGQn6ADyI/edit?usp=sharing"",""กระบี่!M764"")+IMPORTRANGE(""https://docs.google.com/spreadsheets/d/1GwtLaSlNZkLk7iDqcyZz22giiy40b_usZZBXYciEN1U/edit?usp=sharing"",""ชุ"&amp;"มพร!M764"")+IMPORTRANGE(""https://docs.google.com/spreadsheets/d/16pAz3pOhQEZBhvFNMa5KGgZS6iKWpsKX0pg6tQmwFpo/edit?usp=sharing"",""ตรัง!M764"")+IMPORTRANGE(""https://docs.google.com/spreadsheets/d/1Dj4jcHCTV9JXKCaMoheSXS52JE63kDKyG7bPXnFogHk/edit?usp=shar"&amp;"ing"",""นครศรีธรรมราช!M764"")+IMPORTRANGE(""https://docs.google.com/spreadsheets/d/1iodCdmuK2GR3jzUwk8tpccY2JHQQA-87DLOtJP-ooyU/edit?usp=sharing"",""นราธิวาส!M764"")+IMPORTRANGE(""https://docs.google.com/spreadsheets/d/1SDNX3JhDdYRuIOsj0Wh2M-Qa_eaXl0NbWmh"&amp;"AOTbfQAs/edit?usp=sharing"",""ปัตตานี!M764"")+IMPORTRANGE(""https://docs.google.com/spreadsheets/d/16JDLGguT8s5DsGCND1KcwHP_AWR_zDMTqLHPLJUKhaU/edit?usp=sharing"",""พังงา!M764"")+IMPORTRANGE(""https://docs.google.com/spreadsheets/d/17ht0gPKzzT3PObBL1XJkeR"&amp;"mntBXI7wGjpLV7QorqlTk/edit?usp=sharing"",""พัทลุง!M764"")+IMPORTRANGE(""https://docs.google.com/spreadsheets/d/1rd4qoM1q_hsgaolqNGfrim9gbsoLxQsda4-vOz5x_BM/edit?usp=sharing"",""ภูเก็ต!M764"")+IMPORTRANGE(""https://docs.google.com/spreadsheets/d/1woKwKjgoL"&amp;"ssDvPcPeVyezB5izizAn4X1JDrys69n6xI/edit?usp=sharing"",""ยะลา!M764"")+IMPORTRANGE(""https://docs.google.com/spreadsheets/d/1qfrKjzMhm2HJfxQ-qVlJlJQ25Hne1d0khsySbZyGtPA/edit?usp=sharing"",""ระนอง!M764"")+IMPORTRANGE(""https://docs.google.com/spreadsheets/d/"&amp;"1IbSCnFOKpZsnFogBHJnL_isstZVaOMnFiIN0fGTPZZw/edit?usp=sharing"",""สงขลา!M764"")+IMPORTRANGE(""https://docs.google.com/spreadsheets/d/1q9nWasZJ-K8bFGvbE9n0qSRuKGA4Toe3Y89cKCiVtCU/edit?usp=sharing"",""สตูล!M764"")+IMPORTRANGE(""https://docs.google.com/sprea"&amp;"dsheets/d/18T20gbkS_WBjdscyTOV05cvq_JqvqQ17C81mpxf7Ncs/edit?usp=sharing"",""สุราษฎร์ธานี!M764"")"),0)</f>
        <v>0</v>
      </c>
      <c r="N764" s="49">
        <f ca="1">IFERROR(__xludf.DUMMYFUNCTION("IMPORTRANGE(""https://docs.google.com/spreadsheets/d/1kKUcYdkIfrgTSj8iHHHB2MD2FAtwyyocFgqGQn6ADyI/edit?usp=sharing"",""กระบี่!N764"")+IMPORTRANGE(""https://docs.google.com/spreadsheets/d/1GwtLaSlNZkLk7iDqcyZz22giiy40b_usZZBXYciEN1U/edit?usp=sharing"",""ชุ"&amp;"มพร!N764"")+IMPORTRANGE(""https://docs.google.com/spreadsheets/d/16pAz3pOhQEZBhvFNMa5KGgZS6iKWpsKX0pg6tQmwFpo/edit?usp=sharing"",""ตรัง!N764"")+IMPORTRANGE(""https://docs.google.com/spreadsheets/d/1Dj4jcHCTV9JXKCaMoheSXS52JE63kDKyG7bPXnFogHk/edit?usp=shar"&amp;"ing"",""นครศรีธรรมราช!N764"")+IMPORTRANGE(""https://docs.google.com/spreadsheets/d/1iodCdmuK2GR3jzUwk8tpccY2JHQQA-87DLOtJP-ooyU/edit?usp=sharing"",""นราธิวาส!N764"")+IMPORTRANGE(""https://docs.google.com/spreadsheets/d/1SDNX3JhDdYRuIOsj0Wh2M-Qa_eaXl0NbWmh"&amp;"AOTbfQAs/edit?usp=sharing"",""ปัตตานี!N764"")+IMPORTRANGE(""https://docs.google.com/spreadsheets/d/16JDLGguT8s5DsGCND1KcwHP_AWR_zDMTqLHPLJUKhaU/edit?usp=sharing"",""พังงา!N764"")+IMPORTRANGE(""https://docs.google.com/spreadsheets/d/17ht0gPKzzT3PObBL1XJkeR"&amp;"mntBXI7wGjpLV7QorqlTk/edit?usp=sharing"",""พัทลุง!N764"")+IMPORTRANGE(""https://docs.google.com/spreadsheets/d/1rd4qoM1q_hsgaolqNGfrim9gbsoLxQsda4-vOz5x_BM/edit?usp=sharing"",""ภูเก็ต!N764"")+IMPORTRANGE(""https://docs.google.com/spreadsheets/d/1woKwKjgoL"&amp;"ssDvPcPeVyezB5izizAn4X1JDrys69n6xI/edit?usp=sharing"",""ยะลา!N764"")+IMPORTRANGE(""https://docs.google.com/spreadsheets/d/1qfrKjzMhm2HJfxQ-qVlJlJQ25Hne1d0khsySbZyGtPA/edit?usp=sharing"",""ระนอง!N764"")+IMPORTRANGE(""https://docs.google.com/spreadsheets/d/"&amp;"1IbSCnFOKpZsnFogBHJnL_isstZVaOMnFiIN0fGTPZZw/edit?usp=sharing"",""สงขลา!N764"")+IMPORTRANGE(""https://docs.google.com/spreadsheets/d/1q9nWasZJ-K8bFGvbE9n0qSRuKGA4Toe3Y89cKCiVtCU/edit?usp=sharing"",""สตูล!N764"")+IMPORTRANGE(""https://docs.google.com/sprea"&amp;"dsheets/d/18T20gbkS_WBjdscyTOV05cvq_JqvqQ17C81mpxf7Ncs/edit?usp=sharing"",""สุราษฎร์ธานี!N764"")"),0)</f>
        <v>0</v>
      </c>
      <c r="O764" s="49">
        <f t="shared" ca="1" si="522"/>
        <v>0</v>
      </c>
      <c r="P764" s="49">
        <f t="shared" ca="1" si="523"/>
        <v>0</v>
      </c>
      <c r="Q764" s="49">
        <f ca="1">IFERROR(__xludf.DUMMYFUNCTION("IMPORTRANGE(""https://docs.google.com/spreadsheets/d/1kKUcYdkIfrgTSj8iHHHB2MD2FAtwyyocFgqGQn6ADyI/edit?usp=sharing"",""กระบี่!Q764"")+IMPORTRANGE(""https://docs.google.com/spreadsheets/d/1GwtLaSlNZkLk7iDqcyZz22giiy40b_usZZBXYciEN1U/edit?usp=sharing"",""ชุ"&amp;"มพร!Q764"")+IMPORTRANGE(""https://docs.google.com/spreadsheets/d/16pAz3pOhQEZBhvFNMa5KGgZS6iKWpsKX0pg6tQmwFpo/edit?usp=sharing"",""ตรัง!Q764"")+IMPORTRANGE(""https://docs.google.com/spreadsheets/d/1Dj4jcHCTV9JXKCaMoheSXS52JE63kDKyG7bPXnFogHk/edit?usp=shar"&amp;"ing"",""นครศรีธรรมราช!Q764"")+IMPORTRANGE(""https://docs.google.com/spreadsheets/d/1iodCdmuK2GR3jzUwk8tpccY2JHQQA-87DLOtJP-ooyU/edit?usp=sharing"",""นราธิวาส!Q764"")+IMPORTRANGE(""https://docs.google.com/spreadsheets/d/1SDNX3JhDdYRuIOsj0Wh2M-Qa_eaXl0NbWmh"&amp;"AOTbfQAs/edit?usp=sharing"",""ปัตตานี!Q764"")+IMPORTRANGE(""https://docs.google.com/spreadsheets/d/16JDLGguT8s5DsGCND1KcwHP_AWR_zDMTqLHPLJUKhaU/edit?usp=sharing"",""พังงา!Q764"")+IMPORTRANGE(""https://docs.google.com/spreadsheets/d/17ht0gPKzzT3PObBL1XJkeR"&amp;"mntBXI7wGjpLV7QorqlTk/edit?usp=sharing"",""พัทลุง!Q764"")+IMPORTRANGE(""https://docs.google.com/spreadsheets/d/1rd4qoM1q_hsgaolqNGfrim9gbsoLxQsda4-vOz5x_BM/edit?usp=sharing"",""ภูเก็ต!Q764"")+IMPORTRANGE(""https://docs.google.com/spreadsheets/d/1woKwKjgoL"&amp;"ssDvPcPeVyezB5izizAn4X1JDrys69n6xI/edit?usp=sharing"",""ยะลา!Q764"")+IMPORTRANGE(""https://docs.google.com/spreadsheets/d/1qfrKjzMhm2HJfxQ-qVlJlJQ25Hne1d0khsySbZyGtPA/edit?usp=sharing"",""ระนอง!Q764"")+IMPORTRANGE(""https://docs.google.com/spreadsheets/d/"&amp;"1IbSCnFOKpZsnFogBHJnL_isstZVaOMnFiIN0fGTPZZw/edit?usp=sharing"",""สงขลา!Q764"")+IMPORTRANGE(""https://docs.google.com/spreadsheets/d/1q9nWasZJ-K8bFGvbE9n0qSRuKGA4Toe3Y89cKCiVtCU/edit?usp=sharing"",""สตูล!Q764"")+IMPORTRANGE(""https://docs.google.com/sprea"&amp;"dsheets/d/18T20gbkS_WBjdscyTOV05cvq_JqvqQ17C81mpxf7Ncs/edit?usp=sharing"",""สุราษฎร์ธานี!Q764"")"),0)</f>
        <v>0</v>
      </c>
      <c r="R764" s="49">
        <f ca="1">IFERROR(__xludf.DUMMYFUNCTION("IMPORTRANGE(""https://docs.google.com/spreadsheets/d/1kKUcYdkIfrgTSj8iHHHB2MD2FAtwyyocFgqGQn6ADyI/edit?usp=sharing"",""กระบี่!R764"")+IMPORTRANGE(""https://docs.google.com/spreadsheets/d/1GwtLaSlNZkLk7iDqcyZz22giiy40b_usZZBXYciEN1U/edit?usp=sharing"",""ชุ"&amp;"มพร!R764"")+IMPORTRANGE(""https://docs.google.com/spreadsheets/d/16pAz3pOhQEZBhvFNMa5KGgZS6iKWpsKX0pg6tQmwFpo/edit?usp=sharing"",""ตรัง!R764"")+IMPORTRANGE(""https://docs.google.com/spreadsheets/d/1Dj4jcHCTV9JXKCaMoheSXS52JE63kDKyG7bPXnFogHk/edit?usp=shar"&amp;"ing"",""นครศรีธรรมราช!R764"")+IMPORTRANGE(""https://docs.google.com/spreadsheets/d/1iodCdmuK2GR3jzUwk8tpccY2JHQQA-87DLOtJP-ooyU/edit?usp=sharing"",""นราธิวาส!R764"")+IMPORTRANGE(""https://docs.google.com/spreadsheets/d/1SDNX3JhDdYRuIOsj0Wh2M-Qa_eaXl0NbWmh"&amp;"AOTbfQAs/edit?usp=sharing"",""ปัตตานี!R764"")+IMPORTRANGE(""https://docs.google.com/spreadsheets/d/16JDLGguT8s5DsGCND1KcwHP_AWR_zDMTqLHPLJUKhaU/edit?usp=sharing"",""พังงา!R764"")+IMPORTRANGE(""https://docs.google.com/spreadsheets/d/17ht0gPKzzT3PObBL1XJkeR"&amp;"mntBXI7wGjpLV7QorqlTk/edit?usp=sharing"",""พัทลุง!R764"")+IMPORTRANGE(""https://docs.google.com/spreadsheets/d/1rd4qoM1q_hsgaolqNGfrim9gbsoLxQsda4-vOz5x_BM/edit?usp=sharing"",""ภูเก็ต!R764"")+IMPORTRANGE(""https://docs.google.com/spreadsheets/d/1woKwKjgoL"&amp;"ssDvPcPeVyezB5izizAn4X1JDrys69n6xI/edit?usp=sharing"",""ยะลา!R764"")+IMPORTRANGE(""https://docs.google.com/spreadsheets/d/1qfrKjzMhm2HJfxQ-qVlJlJQ25Hne1d0khsySbZyGtPA/edit?usp=sharing"",""ระนอง!R764"")+IMPORTRANGE(""https://docs.google.com/spreadsheets/d/"&amp;"1IbSCnFOKpZsnFogBHJnL_isstZVaOMnFiIN0fGTPZZw/edit?usp=sharing"",""สงขลา!R764"")+IMPORTRANGE(""https://docs.google.com/spreadsheets/d/1q9nWasZJ-K8bFGvbE9n0qSRuKGA4Toe3Y89cKCiVtCU/edit?usp=sharing"",""สตูล!R764"")+IMPORTRANGE(""https://docs.google.com/sprea"&amp;"dsheets/d/18T20gbkS_WBjdscyTOV05cvq_JqvqQ17C81mpxf7Ncs/edit?usp=sharing"",""สุราษฎร์ธานี!R764"")"),0)</f>
        <v>0</v>
      </c>
      <c r="S764" s="49">
        <f ca="1">IFERROR(__xludf.DUMMYFUNCTION("IMPORTRANGE(""https://docs.google.com/spreadsheets/d/1kKUcYdkIfrgTSj8iHHHB2MD2FAtwyyocFgqGQn6ADyI/edit?usp=sharing"",""กระบี่!S764"")+IMPORTRANGE(""https://docs.google.com/spreadsheets/d/1GwtLaSlNZkLk7iDqcyZz22giiy40b_usZZBXYciEN1U/edit?usp=sharing"",""ชุ"&amp;"มพร!S764"")+IMPORTRANGE(""https://docs.google.com/spreadsheets/d/16pAz3pOhQEZBhvFNMa5KGgZS6iKWpsKX0pg6tQmwFpo/edit?usp=sharing"",""ตรัง!S764"")+IMPORTRANGE(""https://docs.google.com/spreadsheets/d/1Dj4jcHCTV9JXKCaMoheSXS52JE63kDKyG7bPXnFogHk/edit?usp=shar"&amp;"ing"",""นครศรีธรรมราช!S764"")+IMPORTRANGE(""https://docs.google.com/spreadsheets/d/1iodCdmuK2GR3jzUwk8tpccY2JHQQA-87DLOtJP-ooyU/edit?usp=sharing"",""นราธิวาส!S764"")+IMPORTRANGE(""https://docs.google.com/spreadsheets/d/1SDNX3JhDdYRuIOsj0Wh2M-Qa_eaXl0NbWmh"&amp;"AOTbfQAs/edit?usp=sharing"",""ปัตตานี!S764"")+IMPORTRANGE(""https://docs.google.com/spreadsheets/d/16JDLGguT8s5DsGCND1KcwHP_AWR_zDMTqLHPLJUKhaU/edit?usp=sharing"",""พังงา!S764"")+IMPORTRANGE(""https://docs.google.com/spreadsheets/d/17ht0gPKzzT3PObBL1XJkeR"&amp;"mntBXI7wGjpLV7QorqlTk/edit?usp=sharing"",""พัทลุง!S764"")+IMPORTRANGE(""https://docs.google.com/spreadsheets/d/1rd4qoM1q_hsgaolqNGfrim9gbsoLxQsda4-vOz5x_BM/edit?usp=sharing"",""ภูเก็ต!S764"")+IMPORTRANGE(""https://docs.google.com/spreadsheets/d/1woKwKjgoL"&amp;"ssDvPcPeVyezB5izizAn4X1JDrys69n6xI/edit?usp=sharing"",""ยะลา!S764"")+IMPORTRANGE(""https://docs.google.com/spreadsheets/d/1qfrKjzMhm2HJfxQ-qVlJlJQ25Hne1d0khsySbZyGtPA/edit?usp=sharing"",""ระนอง!S764"")+IMPORTRANGE(""https://docs.google.com/spreadsheets/d/"&amp;"1IbSCnFOKpZsnFogBHJnL_isstZVaOMnFiIN0fGTPZZw/edit?usp=sharing"",""สงขลา!S764"")+IMPORTRANGE(""https://docs.google.com/spreadsheets/d/1q9nWasZJ-K8bFGvbE9n0qSRuKGA4Toe3Y89cKCiVtCU/edit?usp=sharing"",""สตูล!S764"")+IMPORTRANGE(""https://docs.google.com/sprea"&amp;"dsheets/d/18T20gbkS_WBjdscyTOV05cvq_JqvqQ17C81mpxf7Ncs/edit?usp=sharing"",""สุราษฎร์ธานี!S764"")"),0)</f>
        <v>0</v>
      </c>
      <c r="T764" s="49">
        <f t="shared" ca="1" si="525"/>
        <v>0</v>
      </c>
      <c r="U764" s="49">
        <f t="shared" ca="1" si="526"/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47">
        <f ca="1">IFERROR(__xludf.DUMMYFUNCTION("IMPORTRANGE(""https://docs.google.com/spreadsheets/d/1kKUcYdkIfrgTSj8iHHHB2MD2FAtwyyocFgqGQn6ADyI/edit?usp=sharing"",""กระบี่!L765"")+IMPORTRANGE(""https://docs.google.com/spreadsheets/d/1GwtLaSlNZkLk7iDqcyZz22giiy40b_usZZBXYciEN1U/edit?usp=sharing"",""ชุ"&amp;"มพร!L765"")+IMPORTRANGE(""https://docs.google.com/spreadsheets/d/16pAz3pOhQEZBhvFNMa5KGgZS6iKWpsKX0pg6tQmwFpo/edit?usp=sharing"",""ตรัง!L765"")+IMPORTRANGE(""https://docs.google.com/spreadsheets/d/1Dj4jcHCTV9JXKCaMoheSXS52JE63kDKyG7bPXnFogHk/edit?usp=shar"&amp;"ing"",""นครศรีธรรมราช!L765"")+IMPORTRANGE(""https://docs.google.com/spreadsheets/d/1iodCdmuK2GR3jzUwk8tpccY2JHQQA-87DLOtJP-ooyU/edit?usp=sharing"",""นราธิวาส!L765"")+IMPORTRANGE(""https://docs.google.com/spreadsheets/d/1SDNX3JhDdYRuIOsj0Wh2M-Qa_eaXl0NbWmh"&amp;"AOTbfQAs/edit?usp=sharing"",""ปัตตานี!L765"")+IMPORTRANGE(""https://docs.google.com/spreadsheets/d/16JDLGguT8s5DsGCND1KcwHP_AWR_zDMTqLHPLJUKhaU/edit?usp=sharing"",""พังงา!L765"")+IMPORTRANGE(""https://docs.google.com/spreadsheets/d/17ht0gPKzzT3PObBL1XJkeR"&amp;"mntBXI7wGjpLV7QorqlTk/edit?usp=sharing"",""พัทลุง!L765"")+IMPORTRANGE(""https://docs.google.com/spreadsheets/d/1rd4qoM1q_hsgaolqNGfrim9gbsoLxQsda4-vOz5x_BM/edit?usp=sharing"",""ภูเก็ต!L765"")+IMPORTRANGE(""https://docs.google.com/spreadsheets/d/1woKwKjgoL"&amp;"ssDvPcPeVyezB5izizAn4X1JDrys69n6xI/edit?usp=sharing"",""ยะลา!L765"")+IMPORTRANGE(""https://docs.google.com/spreadsheets/d/1qfrKjzMhm2HJfxQ-qVlJlJQ25Hne1d0khsySbZyGtPA/edit?usp=sharing"",""ระนอง!L765"")+IMPORTRANGE(""https://docs.google.com/spreadsheets/d/"&amp;"1IbSCnFOKpZsnFogBHJnL_isstZVaOMnFiIN0fGTPZZw/edit?usp=sharing"",""สงขลา!L765"")+IMPORTRANGE(""https://docs.google.com/spreadsheets/d/1q9nWasZJ-K8bFGvbE9n0qSRuKGA4Toe3Y89cKCiVtCU/edit?usp=sharing"",""สตูล!L765"")+IMPORTRANGE(""https://docs.google.com/sprea"&amp;"dsheets/d/18T20gbkS_WBjdscyTOV05cvq_JqvqQ17C81mpxf7Ncs/edit?usp=sharing"",""สุราษฎร์ธานี!L765"")"),0)</f>
        <v>0</v>
      </c>
      <c r="M765" s="47">
        <f ca="1">IFERROR(__xludf.DUMMYFUNCTION("IMPORTRANGE(""https://docs.google.com/spreadsheets/d/1kKUcYdkIfrgTSj8iHHHB2MD2FAtwyyocFgqGQn6ADyI/edit?usp=sharing"",""กระบี่!M765"")+IMPORTRANGE(""https://docs.google.com/spreadsheets/d/1GwtLaSlNZkLk7iDqcyZz22giiy40b_usZZBXYciEN1U/edit?usp=sharing"",""ชุ"&amp;"มพร!M765"")+IMPORTRANGE(""https://docs.google.com/spreadsheets/d/16pAz3pOhQEZBhvFNMa5KGgZS6iKWpsKX0pg6tQmwFpo/edit?usp=sharing"",""ตรัง!M765"")+IMPORTRANGE(""https://docs.google.com/spreadsheets/d/1Dj4jcHCTV9JXKCaMoheSXS52JE63kDKyG7bPXnFogHk/edit?usp=shar"&amp;"ing"",""นครศรีธรรมราช!M765"")+IMPORTRANGE(""https://docs.google.com/spreadsheets/d/1iodCdmuK2GR3jzUwk8tpccY2JHQQA-87DLOtJP-ooyU/edit?usp=sharing"",""นราธิวาส!M765"")+IMPORTRANGE(""https://docs.google.com/spreadsheets/d/1SDNX3JhDdYRuIOsj0Wh2M-Qa_eaXl0NbWmh"&amp;"AOTbfQAs/edit?usp=sharing"",""ปัตตานี!M765"")+IMPORTRANGE(""https://docs.google.com/spreadsheets/d/16JDLGguT8s5DsGCND1KcwHP_AWR_zDMTqLHPLJUKhaU/edit?usp=sharing"",""พังงา!M765"")+IMPORTRANGE(""https://docs.google.com/spreadsheets/d/17ht0gPKzzT3PObBL1XJkeR"&amp;"mntBXI7wGjpLV7QorqlTk/edit?usp=sharing"",""พัทลุง!M765"")+IMPORTRANGE(""https://docs.google.com/spreadsheets/d/1rd4qoM1q_hsgaolqNGfrim9gbsoLxQsda4-vOz5x_BM/edit?usp=sharing"",""ภูเก็ต!M765"")+IMPORTRANGE(""https://docs.google.com/spreadsheets/d/1woKwKjgoL"&amp;"ssDvPcPeVyezB5izizAn4X1JDrys69n6xI/edit?usp=sharing"",""ยะลา!M765"")+IMPORTRANGE(""https://docs.google.com/spreadsheets/d/1qfrKjzMhm2HJfxQ-qVlJlJQ25Hne1d0khsySbZyGtPA/edit?usp=sharing"",""ระนอง!M765"")+IMPORTRANGE(""https://docs.google.com/spreadsheets/d/"&amp;"1IbSCnFOKpZsnFogBHJnL_isstZVaOMnFiIN0fGTPZZw/edit?usp=sharing"",""สงขลา!M765"")+IMPORTRANGE(""https://docs.google.com/spreadsheets/d/1q9nWasZJ-K8bFGvbE9n0qSRuKGA4Toe3Y89cKCiVtCU/edit?usp=sharing"",""สตูล!M765"")+IMPORTRANGE(""https://docs.google.com/sprea"&amp;"dsheets/d/18T20gbkS_WBjdscyTOV05cvq_JqvqQ17C81mpxf7Ncs/edit?usp=sharing"",""สุราษฎร์ธานี!M765"")"),0)</f>
        <v>0</v>
      </c>
      <c r="N765" s="47">
        <f ca="1">IFERROR(__xludf.DUMMYFUNCTION("IMPORTRANGE(""https://docs.google.com/spreadsheets/d/1kKUcYdkIfrgTSj8iHHHB2MD2FAtwyyocFgqGQn6ADyI/edit?usp=sharing"",""กระบี่!N765"")+IMPORTRANGE(""https://docs.google.com/spreadsheets/d/1GwtLaSlNZkLk7iDqcyZz22giiy40b_usZZBXYciEN1U/edit?usp=sharing"",""ชุ"&amp;"มพร!N765"")+IMPORTRANGE(""https://docs.google.com/spreadsheets/d/16pAz3pOhQEZBhvFNMa5KGgZS6iKWpsKX0pg6tQmwFpo/edit?usp=sharing"",""ตรัง!N765"")+IMPORTRANGE(""https://docs.google.com/spreadsheets/d/1Dj4jcHCTV9JXKCaMoheSXS52JE63kDKyG7bPXnFogHk/edit?usp=shar"&amp;"ing"",""นครศรีธรรมราช!N765"")+IMPORTRANGE(""https://docs.google.com/spreadsheets/d/1iodCdmuK2GR3jzUwk8tpccY2JHQQA-87DLOtJP-ooyU/edit?usp=sharing"",""นราธิวาส!N765"")+IMPORTRANGE(""https://docs.google.com/spreadsheets/d/1SDNX3JhDdYRuIOsj0Wh2M-Qa_eaXl0NbWmh"&amp;"AOTbfQAs/edit?usp=sharing"",""ปัตตานี!N765"")+IMPORTRANGE(""https://docs.google.com/spreadsheets/d/16JDLGguT8s5DsGCND1KcwHP_AWR_zDMTqLHPLJUKhaU/edit?usp=sharing"",""พังงา!N765"")+IMPORTRANGE(""https://docs.google.com/spreadsheets/d/17ht0gPKzzT3PObBL1XJkeR"&amp;"mntBXI7wGjpLV7QorqlTk/edit?usp=sharing"",""พัทลุง!N765"")+IMPORTRANGE(""https://docs.google.com/spreadsheets/d/1rd4qoM1q_hsgaolqNGfrim9gbsoLxQsda4-vOz5x_BM/edit?usp=sharing"",""ภูเก็ต!N765"")+IMPORTRANGE(""https://docs.google.com/spreadsheets/d/1woKwKjgoL"&amp;"ssDvPcPeVyezB5izizAn4X1JDrys69n6xI/edit?usp=sharing"",""ยะลา!N765"")+IMPORTRANGE(""https://docs.google.com/spreadsheets/d/1qfrKjzMhm2HJfxQ-qVlJlJQ25Hne1d0khsySbZyGtPA/edit?usp=sharing"",""ระนอง!N765"")+IMPORTRANGE(""https://docs.google.com/spreadsheets/d/"&amp;"1IbSCnFOKpZsnFogBHJnL_isstZVaOMnFiIN0fGTPZZw/edit?usp=sharing"",""สงขลา!N765"")+IMPORTRANGE(""https://docs.google.com/spreadsheets/d/1q9nWasZJ-K8bFGvbE9n0qSRuKGA4Toe3Y89cKCiVtCU/edit?usp=sharing"",""สตูล!N765"")+IMPORTRANGE(""https://docs.google.com/sprea"&amp;"dsheets/d/18T20gbkS_WBjdscyTOV05cvq_JqvqQ17C81mpxf7Ncs/edit?usp=sharing"",""สุราษฎร์ธานี!N765"")"),0)</f>
        <v>0</v>
      </c>
      <c r="O765" s="47">
        <f t="shared" ca="1" si="522"/>
        <v>0</v>
      </c>
      <c r="P765" s="47">
        <f t="shared" ca="1" si="523"/>
        <v>0</v>
      </c>
      <c r="Q765" s="47">
        <f ca="1">IFERROR(__xludf.DUMMYFUNCTION("IMPORTRANGE(""https://docs.google.com/spreadsheets/d/1kKUcYdkIfrgTSj8iHHHB2MD2FAtwyyocFgqGQn6ADyI/edit?usp=sharing"",""กระบี่!Q765"")+IMPORTRANGE(""https://docs.google.com/spreadsheets/d/1GwtLaSlNZkLk7iDqcyZz22giiy40b_usZZBXYciEN1U/edit?usp=sharing"",""ชุ"&amp;"มพร!Q765"")+IMPORTRANGE(""https://docs.google.com/spreadsheets/d/16pAz3pOhQEZBhvFNMa5KGgZS6iKWpsKX0pg6tQmwFpo/edit?usp=sharing"",""ตรัง!Q765"")+IMPORTRANGE(""https://docs.google.com/spreadsheets/d/1Dj4jcHCTV9JXKCaMoheSXS52JE63kDKyG7bPXnFogHk/edit?usp=shar"&amp;"ing"",""นครศรีธรรมราช!Q765"")+IMPORTRANGE(""https://docs.google.com/spreadsheets/d/1iodCdmuK2GR3jzUwk8tpccY2JHQQA-87DLOtJP-ooyU/edit?usp=sharing"",""นราธิวาส!Q765"")+IMPORTRANGE(""https://docs.google.com/spreadsheets/d/1SDNX3JhDdYRuIOsj0Wh2M-Qa_eaXl0NbWmh"&amp;"AOTbfQAs/edit?usp=sharing"",""ปัตตานี!Q765"")+IMPORTRANGE(""https://docs.google.com/spreadsheets/d/16JDLGguT8s5DsGCND1KcwHP_AWR_zDMTqLHPLJUKhaU/edit?usp=sharing"",""พังงา!Q765"")+IMPORTRANGE(""https://docs.google.com/spreadsheets/d/17ht0gPKzzT3PObBL1XJkeR"&amp;"mntBXI7wGjpLV7QorqlTk/edit?usp=sharing"",""พัทลุง!Q765"")+IMPORTRANGE(""https://docs.google.com/spreadsheets/d/1rd4qoM1q_hsgaolqNGfrim9gbsoLxQsda4-vOz5x_BM/edit?usp=sharing"",""ภูเก็ต!Q765"")+IMPORTRANGE(""https://docs.google.com/spreadsheets/d/1woKwKjgoL"&amp;"ssDvPcPeVyezB5izizAn4X1JDrys69n6xI/edit?usp=sharing"",""ยะลา!Q765"")+IMPORTRANGE(""https://docs.google.com/spreadsheets/d/1qfrKjzMhm2HJfxQ-qVlJlJQ25Hne1d0khsySbZyGtPA/edit?usp=sharing"",""ระนอง!Q765"")+IMPORTRANGE(""https://docs.google.com/spreadsheets/d/"&amp;"1IbSCnFOKpZsnFogBHJnL_isstZVaOMnFiIN0fGTPZZw/edit?usp=sharing"",""สงขลา!Q765"")+IMPORTRANGE(""https://docs.google.com/spreadsheets/d/1q9nWasZJ-K8bFGvbE9n0qSRuKGA4Toe3Y89cKCiVtCU/edit?usp=sharing"",""สตูล!Q765"")+IMPORTRANGE(""https://docs.google.com/sprea"&amp;"dsheets/d/18T20gbkS_WBjdscyTOV05cvq_JqvqQ17C81mpxf7Ncs/edit?usp=sharing"",""สุราษฎร์ธานี!Q765"")"),2015140)</f>
        <v>2015140</v>
      </c>
      <c r="R765" s="47">
        <f ca="1">IFERROR(__xludf.DUMMYFUNCTION("IMPORTRANGE(""https://docs.google.com/spreadsheets/d/1kKUcYdkIfrgTSj8iHHHB2MD2FAtwyyocFgqGQn6ADyI/edit?usp=sharing"",""กระบี่!R765"")+IMPORTRANGE(""https://docs.google.com/spreadsheets/d/1GwtLaSlNZkLk7iDqcyZz22giiy40b_usZZBXYciEN1U/edit?usp=sharing"",""ชุ"&amp;"มพร!R765"")+IMPORTRANGE(""https://docs.google.com/spreadsheets/d/16pAz3pOhQEZBhvFNMa5KGgZS6iKWpsKX0pg6tQmwFpo/edit?usp=sharing"",""ตรัง!R765"")+IMPORTRANGE(""https://docs.google.com/spreadsheets/d/1Dj4jcHCTV9JXKCaMoheSXS52JE63kDKyG7bPXnFogHk/edit?usp=shar"&amp;"ing"",""นครศรีธรรมราช!R765"")+IMPORTRANGE(""https://docs.google.com/spreadsheets/d/1iodCdmuK2GR3jzUwk8tpccY2JHQQA-87DLOtJP-ooyU/edit?usp=sharing"",""นราธิวาส!R765"")+IMPORTRANGE(""https://docs.google.com/spreadsheets/d/1SDNX3JhDdYRuIOsj0Wh2M-Qa_eaXl0NbWmh"&amp;"AOTbfQAs/edit?usp=sharing"",""ปัตตานี!R765"")+IMPORTRANGE(""https://docs.google.com/spreadsheets/d/16JDLGguT8s5DsGCND1KcwHP_AWR_zDMTqLHPLJUKhaU/edit?usp=sharing"",""พังงา!R765"")+IMPORTRANGE(""https://docs.google.com/spreadsheets/d/17ht0gPKzzT3PObBL1XJkeR"&amp;"mntBXI7wGjpLV7QorqlTk/edit?usp=sharing"",""พัทลุง!R765"")+IMPORTRANGE(""https://docs.google.com/spreadsheets/d/1rd4qoM1q_hsgaolqNGfrim9gbsoLxQsda4-vOz5x_BM/edit?usp=sharing"",""ภูเก็ต!R765"")+IMPORTRANGE(""https://docs.google.com/spreadsheets/d/1woKwKjgoL"&amp;"ssDvPcPeVyezB5izizAn4X1JDrys69n6xI/edit?usp=sharing"",""ยะลา!R765"")+IMPORTRANGE(""https://docs.google.com/spreadsheets/d/1qfrKjzMhm2HJfxQ-qVlJlJQ25Hne1d0khsySbZyGtPA/edit?usp=sharing"",""ระนอง!R765"")+IMPORTRANGE(""https://docs.google.com/spreadsheets/d/"&amp;"1IbSCnFOKpZsnFogBHJnL_isstZVaOMnFiIN0fGTPZZw/edit?usp=sharing"",""สงขลา!R765"")+IMPORTRANGE(""https://docs.google.com/spreadsheets/d/1q9nWasZJ-K8bFGvbE9n0qSRuKGA4Toe3Y89cKCiVtCU/edit?usp=sharing"",""สตูล!R765"")+IMPORTRANGE(""https://docs.google.com/sprea"&amp;"dsheets/d/18T20gbkS_WBjdscyTOV05cvq_JqvqQ17C81mpxf7Ncs/edit?usp=sharing"",""สุราษฎร์ธานี!R765"")"),2015140)</f>
        <v>2015140</v>
      </c>
      <c r="S765" s="47">
        <f ca="1">IFERROR(__xludf.DUMMYFUNCTION("IMPORTRANGE(""https://docs.google.com/spreadsheets/d/1kKUcYdkIfrgTSj8iHHHB2MD2FAtwyyocFgqGQn6ADyI/edit?usp=sharing"",""กระบี่!S765"")+IMPORTRANGE(""https://docs.google.com/spreadsheets/d/1GwtLaSlNZkLk7iDqcyZz22giiy40b_usZZBXYciEN1U/edit?usp=sharing"",""ชุ"&amp;"มพร!S765"")+IMPORTRANGE(""https://docs.google.com/spreadsheets/d/16pAz3pOhQEZBhvFNMa5KGgZS6iKWpsKX0pg6tQmwFpo/edit?usp=sharing"",""ตรัง!S765"")+IMPORTRANGE(""https://docs.google.com/spreadsheets/d/1Dj4jcHCTV9JXKCaMoheSXS52JE63kDKyG7bPXnFogHk/edit?usp=shar"&amp;"ing"",""นครศรีธรรมราช!S765"")+IMPORTRANGE(""https://docs.google.com/spreadsheets/d/1iodCdmuK2GR3jzUwk8tpccY2JHQQA-87DLOtJP-ooyU/edit?usp=sharing"",""นราธิวาส!S765"")+IMPORTRANGE(""https://docs.google.com/spreadsheets/d/1SDNX3JhDdYRuIOsj0Wh2M-Qa_eaXl0NbWmh"&amp;"AOTbfQAs/edit?usp=sharing"",""ปัตตานี!S765"")+IMPORTRANGE(""https://docs.google.com/spreadsheets/d/16JDLGguT8s5DsGCND1KcwHP_AWR_zDMTqLHPLJUKhaU/edit?usp=sharing"",""พังงา!S765"")+IMPORTRANGE(""https://docs.google.com/spreadsheets/d/17ht0gPKzzT3PObBL1XJkeR"&amp;"mntBXI7wGjpLV7QorqlTk/edit?usp=sharing"",""พัทลุง!S765"")+IMPORTRANGE(""https://docs.google.com/spreadsheets/d/1rd4qoM1q_hsgaolqNGfrim9gbsoLxQsda4-vOz5x_BM/edit?usp=sharing"",""ภูเก็ต!S765"")+IMPORTRANGE(""https://docs.google.com/spreadsheets/d/1woKwKjgoL"&amp;"ssDvPcPeVyezB5izizAn4X1JDrys69n6xI/edit?usp=sharing"",""ยะลา!S765"")+IMPORTRANGE(""https://docs.google.com/spreadsheets/d/1qfrKjzMhm2HJfxQ-qVlJlJQ25Hne1d0khsySbZyGtPA/edit?usp=sharing"",""ระนอง!S765"")+IMPORTRANGE(""https://docs.google.com/spreadsheets/d/"&amp;"1IbSCnFOKpZsnFogBHJnL_isstZVaOMnFiIN0fGTPZZw/edit?usp=sharing"",""สงขลา!S765"")+IMPORTRANGE(""https://docs.google.com/spreadsheets/d/1q9nWasZJ-K8bFGvbE9n0qSRuKGA4Toe3Y89cKCiVtCU/edit?usp=sharing"",""สตูล!S765"")+IMPORTRANGE(""https://docs.google.com/sprea"&amp;"dsheets/d/18T20gbkS_WBjdscyTOV05cvq_JqvqQ17C81mpxf7Ncs/edit?usp=sharing"",""สุราษฎร์ธานี!S765"")"),995880.8)</f>
        <v>995880.8</v>
      </c>
      <c r="T765" s="47">
        <f t="shared" ca="1" si="525"/>
        <v>49.419931121410919</v>
      </c>
      <c r="U765" s="47">
        <f t="shared" ca="1" si="526"/>
        <v>49.419931121410919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47">
        <f t="shared" ref="L766:N766" ca="1" si="533">L767+L768</f>
        <v>0</v>
      </c>
      <c r="M766" s="47">
        <f t="shared" ca="1" si="533"/>
        <v>0</v>
      </c>
      <c r="N766" s="47">
        <f t="shared" ca="1" si="533"/>
        <v>0</v>
      </c>
      <c r="O766" s="47">
        <f t="shared" ca="1" si="522"/>
        <v>0</v>
      </c>
      <c r="P766" s="47">
        <f t="shared" ca="1" si="523"/>
        <v>0</v>
      </c>
      <c r="Q766" s="47">
        <f t="shared" ref="Q766:S766" ca="1" si="534">Q767+Q768</f>
        <v>0</v>
      </c>
      <c r="R766" s="47">
        <f t="shared" ca="1" si="534"/>
        <v>0</v>
      </c>
      <c r="S766" s="47">
        <f t="shared" ca="1" si="534"/>
        <v>0</v>
      </c>
      <c r="T766" s="47">
        <f t="shared" ca="1" si="525"/>
        <v>0</v>
      </c>
      <c r="U766" s="47">
        <f t="shared" ca="1" si="526"/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49">
        <f ca="1">IFERROR(__xludf.DUMMYFUNCTION("IMPORTRANGE(""https://docs.google.com/spreadsheets/d/1kKUcYdkIfrgTSj8iHHHB2MD2FAtwyyocFgqGQn6ADyI/edit?usp=sharing"",""กระบี่!L767"")+IMPORTRANGE(""https://docs.google.com/spreadsheets/d/1GwtLaSlNZkLk7iDqcyZz22giiy40b_usZZBXYciEN1U/edit?usp=sharing"",""ชุ"&amp;"มพร!L767"")+IMPORTRANGE(""https://docs.google.com/spreadsheets/d/16pAz3pOhQEZBhvFNMa5KGgZS6iKWpsKX0pg6tQmwFpo/edit?usp=sharing"",""ตรัง!L767"")+IMPORTRANGE(""https://docs.google.com/spreadsheets/d/1Dj4jcHCTV9JXKCaMoheSXS52JE63kDKyG7bPXnFogHk/edit?usp=shar"&amp;"ing"",""นครศรีธรรมราช!L767"")+IMPORTRANGE(""https://docs.google.com/spreadsheets/d/1iodCdmuK2GR3jzUwk8tpccY2JHQQA-87DLOtJP-ooyU/edit?usp=sharing"",""นราธิวาส!L767"")+IMPORTRANGE(""https://docs.google.com/spreadsheets/d/1SDNX3JhDdYRuIOsj0Wh2M-Qa_eaXl0NbWmh"&amp;"AOTbfQAs/edit?usp=sharing"",""ปัตตานี!L767"")+IMPORTRANGE(""https://docs.google.com/spreadsheets/d/16JDLGguT8s5DsGCND1KcwHP_AWR_zDMTqLHPLJUKhaU/edit?usp=sharing"",""พังงา!L767"")+IMPORTRANGE(""https://docs.google.com/spreadsheets/d/17ht0gPKzzT3PObBL1XJkeR"&amp;"mntBXI7wGjpLV7QorqlTk/edit?usp=sharing"",""พัทลุง!L767"")+IMPORTRANGE(""https://docs.google.com/spreadsheets/d/1rd4qoM1q_hsgaolqNGfrim9gbsoLxQsda4-vOz5x_BM/edit?usp=sharing"",""ภูเก็ต!L767"")+IMPORTRANGE(""https://docs.google.com/spreadsheets/d/1woKwKjgoL"&amp;"ssDvPcPeVyezB5izizAn4X1JDrys69n6xI/edit?usp=sharing"",""ยะลา!L767"")+IMPORTRANGE(""https://docs.google.com/spreadsheets/d/1qfrKjzMhm2HJfxQ-qVlJlJQ25Hne1d0khsySbZyGtPA/edit?usp=sharing"",""ระนอง!L767"")+IMPORTRANGE(""https://docs.google.com/spreadsheets/d/"&amp;"1IbSCnFOKpZsnFogBHJnL_isstZVaOMnFiIN0fGTPZZw/edit?usp=sharing"",""สงขลา!L767"")+IMPORTRANGE(""https://docs.google.com/spreadsheets/d/1q9nWasZJ-K8bFGvbE9n0qSRuKGA4Toe3Y89cKCiVtCU/edit?usp=sharing"",""สตูล!L767"")+IMPORTRANGE(""https://docs.google.com/sprea"&amp;"dsheets/d/18T20gbkS_WBjdscyTOV05cvq_JqvqQ17C81mpxf7Ncs/edit?usp=sharing"",""สุราษฎร์ธานี!L767"")"),0)</f>
        <v>0</v>
      </c>
      <c r="M767" s="49">
        <f ca="1">IFERROR(__xludf.DUMMYFUNCTION("IMPORTRANGE(""https://docs.google.com/spreadsheets/d/1kKUcYdkIfrgTSj8iHHHB2MD2FAtwyyocFgqGQn6ADyI/edit?usp=sharing"",""กระบี่!M767"")+IMPORTRANGE(""https://docs.google.com/spreadsheets/d/1GwtLaSlNZkLk7iDqcyZz22giiy40b_usZZBXYciEN1U/edit?usp=sharing"",""ชุ"&amp;"มพร!M767"")+IMPORTRANGE(""https://docs.google.com/spreadsheets/d/16pAz3pOhQEZBhvFNMa5KGgZS6iKWpsKX0pg6tQmwFpo/edit?usp=sharing"",""ตรัง!M767"")+IMPORTRANGE(""https://docs.google.com/spreadsheets/d/1Dj4jcHCTV9JXKCaMoheSXS52JE63kDKyG7bPXnFogHk/edit?usp=shar"&amp;"ing"",""นครศรีธรรมราช!M767"")+IMPORTRANGE(""https://docs.google.com/spreadsheets/d/1iodCdmuK2GR3jzUwk8tpccY2JHQQA-87DLOtJP-ooyU/edit?usp=sharing"",""นราธิวาส!M767"")+IMPORTRANGE(""https://docs.google.com/spreadsheets/d/1SDNX3JhDdYRuIOsj0Wh2M-Qa_eaXl0NbWmh"&amp;"AOTbfQAs/edit?usp=sharing"",""ปัตตานี!M767"")+IMPORTRANGE(""https://docs.google.com/spreadsheets/d/16JDLGguT8s5DsGCND1KcwHP_AWR_zDMTqLHPLJUKhaU/edit?usp=sharing"",""พังงา!M767"")+IMPORTRANGE(""https://docs.google.com/spreadsheets/d/17ht0gPKzzT3PObBL1XJkeR"&amp;"mntBXI7wGjpLV7QorqlTk/edit?usp=sharing"",""พัทลุง!M767"")+IMPORTRANGE(""https://docs.google.com/spreadsheets/d/1rd4qoM1q_hsgaolqNGfrim9gbsoLxQsda4-vOz5x_BM/edit?usp=sharing"",""ภูเก็ต!M767"")+IMPORTRANGE(""https://docs.google.com/spreadsheets/d/1woKwKjgoL"&amp;"ssDvPcPeVyezB5izizAn4X1JDrys69n6xI/edit?usp=sharing"",""ยะลา!M767"")+IMPORTRANGE(""https://docs.google.com/spreadsheets/d/1qfrKjzMhm2HJfxQ-qVlJlJQ25Hne1d0khsySbZyGtPA/edit?usp=sharing"",""ระนอง!M767"")+IMPORTRANGE(""https://docs.google.com/spreadsheets/d/"&amp;"1IbSCnFOKpZsnFogBHJnL_isstZVaOMnFiIN0fGTPZZw/edit?usp=sharing"",""สงขลา!M767"")+IMPORTRANGE(""https://docs.google.com/spreadsheets/d/1q9nWasZJ-K8bFGvbE9n0qSRuKGA4Toe3Y89cKCiVtCU/edit?usp=sharing"",""สตูล!M767"")+IMPORTRANGE(""https://docs.google.com/sprea"&amp;"dsheets/d/18T20gbkS_WBjdscyTOV05cvq_JqvqQ17C81mpxf7Ncs/edit?usp=sharing"",""สุราษฎร์ธานี!M767"")"),0)</f>
        <v>0</v>
      </c>
      <c r="N767" s="49">
        <f ca="1">IFERROR(__xludf.DUMMYFUNCTION("IMPORTRANGE(""https://docs.google.com/spreadsheets/d/1kKUcYdkIfrgTSj8iHHHB2MD2FAtwyyocFgqGQn6ADyI/edit?usp=sharing"",""กระบี่!N767"")+IMPORTRANGE(""https://docs.google.com/spreadsheets/d/1GwtLaSlNZkLk7iDqcyZz22giiy40b_usZZBXYciEN1U/edit?usp=sharing"",""ชุ"&amp;"มพร!N767"")+IMPORTRANGE(""https://docs.google.com/spreadsheets/d/16pAz3pOhQEZBhvFNMa5KGgZS6iKWpsKX0pg6tQmwFpo/edit?usp=sharing"",""ตรัง!N767"")+IMPORTRANGE(""https://docs.google.com/spreadsheets/d/1Dj4jcHCTV9JXKCaMoheSXS52JE63kDKyG7bPXnFogHk/edit?usp=shar"&amp;"ing"",""นครศรีธรรมราช!N767"")+IMPORTRANGE(""https://docs.google.com/spreadsheets/d/1iodCdmuK2GR3jzUwk8tpccY2JHQQA-87DLOtJP-ooyU/edit?usp=sharing"",""นราธิวาส!N767"")+IMPORTRANGE(""https://docs.google.com/spreadsheets/d/1SDNX3JhDdYRuIOsj0Wh2M-Qa_eaXl0NbWmh"&amp;"AOTbfQAs/edit?usp=sharing"",""ปัตตานี!N767"")+IMPORTRANGE(""https://docs.google.com/spreadsheets/d/16JDLGguT8s5DsGCND1KcwHP_AWR_zDMTqLHPLJUKhaU/edit?usp=sharing"",""พังงา!N767"")+IMPORTRANGE(""https://docs.google.com/spreadsheets/d/17ht0gPKzzT3PObBL1XJkeR"&amp;"mntBXI7wGjpLV7QorqlTk/edit?usp=sharing"",""พัทลุง!N767"")+IMPORTRANGE(""https://docs.google.com/spreadsheets/d/1rd4qoM1q_hsgaolqNGfrim9gbsoLxQsda4-vOz5x_BM/edit?usp=sharing"",""ภูเก็ต!N767"")+IMPORTRANGE(""https://docs.google.com/spreadsheets/d/1woKwKjgoL"&amp;"ssDvPcPeVyezB5izizAn4X1JDrys69n6xI/edit?usp=sharing"",""ยะลา!N767"")+IMPORTRANGE(""https://docs.google.com/spreadsheets/d/1qfrKjzMhm2HJfxQ-qVlJlJQ25Hne1d0khsySbZyGtPA/edit?usp=sharing"",""ระนอง!N767"")+IMPORTRANGE(""https://docs.google.com/spreadsheets/d/"&amp;"1IbSCnFOKpZsnFogBHJnL_isstZVaOMnFiIN0fGTPZZw/edit?usp=sharing"",""สงขลา!N767"")+IMPORTRANGE(""https://docs.google.com/spreadsheets/d/1q9nWasZJ-K8bFGvbE9n0qSRuKGA4Toe3Y89cKCiVtCU/edit?usp=sharing"",""สตูล!N767"")+IMPORTRANGE(""https://docs.google.com/sprea"&amp;"dsheets/d/18T20gbkS_WBjdscyTOV05cvq_JqvqQ17C81mpxf7Ncs/edit?usp=sharing"",""สุราษฎร์ธานี!N767"")"),0)</f>
        <v>0</v>
      </c>
      <c r="O767" s="49">
        <f t="shared" ca="1" si="522"/>
        <v>0</v>
      </c>
      <c r="P767" s="49">
        <f t="shared" ca="1" si="523"/>
        <v>0</v>
      </c>
      <c r="Q767" s="49">
        <f ca="1">IFERROR(__xludf.DUMMYFUNCTION("IMPORTRANGE(""https://docs.google.com/spreadsheets/d/1kKUcYdkIfrgTSj8iHHHB2MD2FAtwyyocFgqGQn6ADyI/edit?usp=sharing"",""กระบี่!Q767"")+IMPORTRANGE(""https://docs.google.com/spreadsheets/d/1GwtLaSlNZkLk7iDqcyZz22giiy40b_usZZBXYciEN1U/edit?usp=sharing"",""ชุ"&amp;"มพร!Q767"")+IMPORTRANGE(""https://docs.google.com/spreadsheets/d/16pAz3pOhQEZBhvFNMa5KGgZS6iKWpsKX0pg6tQmwFpo/edit?usp=sharing"",""ตรัง!Q767"")+IMPORTRANGE(""https://docs.google.com/spreadsheets/d/1Dj4jcHCTV9JXKCaMoheSXS52JE63kDKyG7bPXnFogHk/edit?usp=shar"&amp;"ing"",""นครศรีธรรมราช!Q767"")+IMPORTRANGE(""https://docs.google.com/spreadsheets/d/1iodCdmuK2GR3jzUwk8tpccY2JHQQA-87DLOtJP-ooyU/edit?usp=sharing"",""นราธิวาส!Q767"")+IMPORTRANGE(""https://docs.google.com/spreadsheets/d/1SDNX3JhDdYRuIOsj0Wh2M-Qa_eaXl0NbWmh"&amp;"AOTbfQAs/edit?usp=sharing"",""ปัตตานี!Q767"")+IMPORTRANGE(""https://docs.google.com/spreadsheets/d/16JDLGguT8s5DsGCND1KcwHP_AWR_zDMTqLHPLJUKhaU/edit?usp=sharing"",""พังงา!Q767"")+IMPORTRANGE(""https://docs.google.com/spreadsheets/d/17ht0gPKzzT3PObBL1XJkeR"&amp;"mntBXI7wGjpLV7QorqlTk/edit?usp=sharing"",""พัทลุง!Q767"")+IMPORTRANGE(""https://docs.google.com/spreadsheets/d/1rd4qoM1q_hsgaolqNGfrim9gbsoLxQsda4-vOz5x_BM/edit?usp=sharing"",""ภูเก็ต!Q767"")+IMPORTRANGE(""https://docs.google.com/spreadsheets/d/1woKwKjgoL"&amp;"ssDvPcPeVyezB5izizAn4X1JDrys69n6xI/edit?usp=sharing"",""ยะลา!Q767"")+IMPORTRANGE(""https://docs.google.com/spreadsheets/d/1qfrKjzMhm2HJfxQ-qVlJlJQ25Hne1d0khsySbZyGtPA/edit?usp=sharing"",""ระนอง!Q767"")+IMPORTRANGE(""https://docs.google.com/spreadsheets/d/"&amp;"1IbSCnFOKpZsnFogBHJnL_isstZVaOMnFiIN0fGTPZZw/edit?usp=sharing"",""สงขลา!Q767"")+IMPORTRANGE(""https://docs.google.com/spreadsheets/d/1q9nWasZJ-K8bFGvbE9n0qSRuKGA4Toe3Y89cKCiVtCU/edit?usp=sharing"",""สตูล!Q767"")+IMPORTRANGE(""https://docs.google.com/sprea"&amp;"dsheets/d/18T20gbkS_WBjdscyTOV05cvq_JqvqQ17C81mpxf7Ncs/edit?usp=sharing"",""สุราษฎร์ธานี!Q767"")"),0)</f>
        <v>0</v>
      </c>
      <c r="R767" s="49">
        <f ca="1">IFERROR(__xludf.DUMMYFUNCTION("IMPORTRANGE(""https://docs.google.com/spreadsheets/d/1kKUcYdkIfrgTSj8iHHHB2MD2FAtwyyocFgqGQn6ADyI/edit?usp=sharing"",""กระบี่!R767"")+IMPORTRANGE(""https://docs.google.com/spreadsheets/d/1GwtLaSlNZkLk7iDqcyZz22giiy40b_usZZBXYciEN1U/edit?usp=sharing"",""ชุ"&amp;"มพร!R767"")+IMPORTRANGE(""https://docs.google.com/spreadsheets/d/16pAz3pOhQEZBhvFNMa5KGgZS6iKWpsKX0pg6tQmwFpo/edit?usp=sharing"",""ตรัง!R767"")+IMPORTRANGE(""https://docs.google.com/spreadsheets/d/1Dj4jcHCTV9JXKCaMoheSXS52JE63kDKyG7bPXnFogHk/edit?usp=shar"&amp;"ing"",""นครศรีธรรมราช!R767"")+IMPORTRANGE(""https://docs.google.com/spreadsheets/d/1iodCdmuK2GR3jzUwk8tpccY2JHQQA-87DLOtJP-ooyU/edit?usp=sharing"",""นราธิวาส!R767"")+IMPORTRANGE(""https://docs.google.com/spreadsheets/d/1SDNX3JhDdYRuIOsj0Wh2M-Qa_eaXl0NbWmh"&amp;"AOTbfQAs/edit?usp=sharing"",""ปัตตานี!R767"")+IMPORTRANGE(""https://docs.google.com/spreadsheets/d/16JDLGguT8s5DsGCND1KcwHP_AWR_zDMTqLHPLJUKhaU/edit?usp=sharing"",""พังงา!R767"")+IMPORTRANGE(""https://docs.google.com/spreadsheets/d/17ht0gPKzzT3PObBL1XJkeR"&amp;"mntBXI7wGjpLV7QorqlTk/edit?usp=sharing"",""พัทลุง!R767"")+IMPORTRANGE(""https://docs.google.com/spreadsheets/d/1rd4qoM1q_hsgaolqNGfrim9gbsoLxQsda4-vOz5x_BM/edit?usp=sharing"",""ภูเก็ต!R767"")+IMPORTRANGE(""https://docs.google.com/spreadsheets/d/1woKwKjgoL"&amp;"ssDvPcPeVyezB5izizAn4X1JDrys69n6xI/edit?usp=sharing"",""ยะลา!R767"")+IMPORTRANGE(""https://docs.google.com/spreadsheets/d/1qfrKjzMhm2HJfxQ-qVlJlJQ25Hne1d0khsySbZyGtPA/edit?usp=sharing"",""ระนอง!R767"")+IMPORTRANGE(""https://docs.google.com/spreadsheets/d/"&amp;"1IbSCnFOKpZsnFogBHJnL_isstZVaOMnFiIN0fGTPZZw/edit?usp=sharing"",""สงขลา!R767"")+IMPORTRANGE(""https://docs.google.com/spreadsheets/d/1q9nWasZJ-K8bFGvbE9n0qSRuKGA4Toe3Y89cKCiVtCU/edit?usp=sharing"",""สตูล!R767"")+IMPORTRANGE(""https://docs.google.com/sprea"&amp;"dsheets/d/18T20gbkS_WBjdscyTOV05cvq_JqvqQ17C81mpxf7Ncs/edit?usp=sharing"",""สุราษฎร์ธานี!R767"")"),0)</f>
        <v>0</v>
      </c>
      <c r="S767" s="49">
        <f ca="1">IFERROR(__xludf.DUMMYFUNCTION("IMPORTRANGE(""https://docs.google.com/spreadsheets/d/1kKUcYdkIfrgTSj8iHHHB2MD2FAtwyyocFgqGQn6ADyI/edit?usp=sharing"",""กระบี่!S767"")+IMPORTRANGE(""https://docs.google.com/spreadsheets/d/1GwtLaSlNZkLk7iDqcyZz22giiy40b_usZZBXYciEN1U/edit?usp=sharing"",""ชุ"&amp;"มพร!S767"")+IMPORTRANGE(""https://docs.google.com/spreadsheets/d/16pAz3pOhQEZBhvFNMa5KGgZS6iKWpsKX0pg6tQmwFpo/edit?usp=sharing"",""ตรัง!S767"")+IMPORTRANGE(""https://docs.google.com/spreadsheets/d/1Dj4jcHCTV9JXKCaMoheSXS52JE63kDKyG7bPXnFogHk/edit?usp=shar"&amp;"ing"",""นครศรีธรรมราช!S767"")+IMPORTRANGE(""https://docs.google.com/spreadsheets/d/1iodCdmuK2GR3jzUwk8tpccY2JHQQA-87DLOtJP-ooyU/edit?usp=sharing"",""นราธิวาส!S767"")+IMPORTRANGE(""https://docs.google.com/spreadsheets/d/1SDNX3JhDdYRuIOsj0Wh2M-Qa_eaXl0NbWmh"&amp;"AOTbfQAs/edit?usp=sharing"",""ปัตตานี!S767"")+IMPORTRANGE(""https://docs.google.com/spreadsheets/d/16JDLGguT8s5DsGCND1KcwHP_AWR_zDMTqLHPLJUKhaU/edit?usp=sharing"",""พังงา!S767"")+IMPORTRANGE(""https://docs.google.com/spreadsheets/d/17ht0gPKzzT3PObBL1XJkeR"&amp;"mntBXI7wGjpLV7QorqlTk/edit?usp=sharing"",""พัทลุง!S767"")+IMPORTRANGE(""https://docs.google.com/spreadsheets/d/1rd4qoM1q_hsgaolqNGfrim9gbsoLxQsda4-vOz5x_BM/edit?usp=sharing"",""ภูเก็ต!S767"")+IMPORTRANGE(""https://docs.google.com/spreadsheets/d/1woKwKjgoL"&amp;"ssDvPcPeVyezB5izizAn4X1JDrys69n6xI/edit?usp=sharing"",""ยะลา!S767"")+IMPORTRANGE(""https://docs.google.com/spreadsheets/d/1qfrKjzMhm2HJfxQ-qVlJlJQ25Hne1d0khsySbZyGtPA/edit?usp=sharing"",""ระนอง!S767"")+IMPORTRANGE(""https://docs.google.com/spreadsheets/d/"&amp;"1IbSCnFOKpZsnFogBHJnL_isstZVaOMnFiIN0fGTPZZw/edit?usp=sharing"",""สงขลา!S767"")+IMPORTRANGE(""https://docs.google.com/spreadsheets/d/1q9nWasZJ-K8bFGvbE9n0qSRuKGA4Toe3Y89cKCiVtCU/edit?usp=sharing"",""สตูล!S767"")+IMPORTRANGE(""https://docs.google.com/sprea"&amp;"dsheets/d/18T20gbkS_WBjdscyTOV05cvq_JqvqQ17C81mpxf7Ncs/edit?usp=sharing"",""สุราษฎร์ธานี!S767"")"),0)</f>
        <v>0</v>
      </c>
      <c r="T767" s="49">
        <f t="shared" ca="1" si="525"/>
        <v>0</v>
      </c>
      <c r="U767" s="49">
        <f t="shared" ca="1" si="526"/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47">
        <f ca="1">IFERROR(__xludf.DUMMYFUNCTION("IMPORTRANGE(""https://docs.google.com/spreadsheets/d/1kKUcYdkIfrgTSj8iHHHB2MD2FAtwyyocFgqGQn6ADyI/edit?usp=sharing"",""กระบี่!L768"")+IMPORTRANGE(""https://docs.google.com/spreadsheets/d/1GwtLaSlNZkLk7iDqcyZz22giiy40b_usZZBXYciEN1U/edit?usp=sharing"",""ชุ"&amp;"มพร!L768"")+IMPORTRANGE(""https://docs.google.com/spreadsheets/d/16pAz3pOhQEZBhvFNMa5KGgZS6iKWpsKX0pg6tQmwFpo/edit?usp=sharing"",""ตรัง!L768"")+IMPORTRANGE(""https://docs.google.com/spreadsheets/d/1Dj4jcHCTV9JXKCaMoheSXS52JE63kDKyG7bPXnFogHk/edit?usp=shar"&amp;"ing"",""นครศรีธรรมราช!L768"")+IMPORTRANGE(""https://docs.google.com/spreadsheets/d/1iodCdmuK2GR3jzUwk8tpccY2JHQQA-87DLOtJP-ooyU/edit?usp=sharing"",""นราธิวาส!L768"")+IMPORTRANGE(""https://docs.google.com/spreadsheets/d/1SDNX3JhDdYRuIOsj0Wh2M-Qa_eaXl0NbWmh"&amp;"AOTbfQAs/edit?usp=sharing"",""ปัตตานี!L768"")+IMPORTRANGE(""https://docs.google.com/spreadsheets/d/16JDLGguT8s5DsGCND1KcwHP_AWR_zDMTqLHPLJUKhaU/edit?usp=sharing"",""พังงา!L768"")+IMPORTRANGE(""https://docs.google.com/spreadsheets/d/17ht0gPKzzT3PObBL1XJkeR"&amp;"mntBXI7wGjpLV7QorqlTk/edit?usp=sharing"",""พัทลุง!L768"")+IMPORTRANGE(""https://docs.google.com/spreadsheets/d/1rd4qoM1q_hsgaolqNGfrim9gbsoLxQsda4-vOz5x_BM/edit?usp=sharing"",""ภูเก็ต!L768"")+IMPORTRANGE(""https://docs.google.com/spreadsheets/d/1woKwKjgoL"&amp;"ssDvPcPeVyezB5izizAn4X1JDrys69n6xI/edit?usp=sharing"",""ยะลา!L768"")+IMPORTRANGE(""https://docs.google.com/spreadsheets/d/1qfrKjzMhm2HJfxQ-qVlJlJQ25Hne1d0khsySbZyGtPA/edit?usp=sharing"",""ระนอง!L768"")+IMPORTRANGE(""https://docs.google.com/spreadsheets/d/"&amp;"1IbSCnFOKpZsnFogBHJnL_isstZVaOMnFiIN0fGTPZZw/edit?usp=sharing"",""สงขลา!L768"")+IMPORTRANGE(""https://docs.google.com/spreadsheets/d/1q9nWasZJ-K8bFGvbE9n0qSRuKGA4Toe3Y89cKCiVtCU/edit?usp=sharing"",""สตูล!L768"")+IMPORTRANGE(""https://docs.google.com/sprea"&amp;"dsheets/d/18T20gbkS_WBjdscyTOV05cvq_JqvqQ17C81mpxf7Ncs/edit?usp=sharing"",""สุราษฎร์ธานี!L768"")"),0)</f>
        <v>0</v>
      </c>
      <c r="M768" s="47">
        <f ca="1">IFERROR(__xludf.DUMMYFUNCTION("IMPORTRANGE(""https://docs.google.com/spreadsheets/d/1kKUcYdkIfrgTSj8iHHHB2MD2FAtwyyocFgqGQn6ADyI/edit?usp=sharing"",""กระบี่!M768"")+IMPORTRANGE(""https://docs.google.com/spreadsheets/d/1GwtLaSlNZkLk7iDqcyZz22giiy40b_usZZBXYciEN1U/edit?usp=sharing"",""ชุ"&amp;"มพร!M768"")+IMPORTRANGE(""https://docs.google.com/spreadsheets/d/16pAz3pOhQEZBhvFNMa5KGgZS6iKWpsKX0pg6tQmwFpo/edit?usp=sharing"",""ตรัง!M768"")+IMPORTRANGE(""https://docs.google.com/spreadsheets/d/1Dj4jcHCTV9JXKCaMoheSXS52JE63kDKyG7bPXnFogHk/edit?usp=shar"&amp;"ing"",""นครศรีธรรมราช!M768"")+IMPORTRANGE(""https://docs.google.com/spreadsheets/d/1iodCdmuK2GR3jzUwk8tpccY2JHQQA-87DLOtJP-ooyU/edit?usp=sharing"",""นราธิวาส!M768"")+IMPORTRANGE(""https://docs.google.com/spreadsheets/d/1SDNX3JhDdYRuIOsj0Wh2M-Qa_eaXl0NbWmh"&amp;"AOTbfQAs/edit?usp=sharing"",""ปัตตานี!M768"")+IMPORTRANGE(""https://docs.google.com/spreadsheets/d/16JDLGguT8s5DsGCND1KcwHP_AWR_zDMTqLHPLJUKhaU/edit?usp=sharing"",""พังงา!M768"")+IMPORTRANGE(""https://docs.google.com/spreadsheets/d/17ht0gPKzzT3PObBL1XJkeR"&amp;"mntBXI7wGjpLV7QorqlTk/edit?usp=sharing"",""พัทลุง!M768"")+IMPORTRANGE(""https://docs.google.com/spreadsheets/d/1rd4qoM1q_hsgaolqNGfrim9gbsoLxQsda4-vOz5x_BM/edit?usp=sharing"",""ภูเก็ต!M768"")+IMPORTRANGE(""https://docs.google.com/spreadsheets/d/1woKwKjgoL"&amp;"ssDvPcPeVyezB5izizAn4X1JDrys69n6xI/edit?usp=sharing"",""ยะลา!M768"")+IMPORTRANGE(""https://docs.google.com/spreadsheets/d/1qfrKjzMhm2HJfxQ-qVlJlJQ25Hne1d0khsySbZyGtPA/edit?usp=sharing"",""ระนอง!M768"")+IMPORTRANGE(""https://docs.google.com/spreadsheets/d/"&amp;"1IbSCnFOKpZsnFogBHJnL_isstZVaOMnFiIN0fGTPZZw/edit?usp=sharing"",""สงขลา!M768"")+IMPORTRANGE(""https://docs.google.com/spreadsheets/d/1q9nWasZJ-K8bFGvbE9n0qSRuKGA4Toe3Y89cKCiVtCU/edit?usp=sharing"",""สตูล!M768"")+IMPORTRANGE(""https://docs.google.com/sprea"&amp;"dsheets/d/18T20gbkS_WBjdscyTOV05cvq_JqvqQ17C81mpxf7Ncs/edit?usp=sharing"",""สุราษฎร์ธานี!M768"")"),0)</f>
        <v>0</v>
      </c>
      <c r="N768" s="47">
        <f ca="1">IFERROR(__xludf.DUMMYFUNCTION("IMPORTRANGE(""https://docs.google.com/spreadsheets/d/1kKUcYdkIfrgTSj8iHHHB2MD2FAtwyyocFgqGQn6ADyI/edit?usp=sharing"",""กระบี่!N768"")+IMPORTRANGE(""https://docs.google.com/spreadsheets/d/1GwtLaSlNZkLk7iDqcyZz22giiy40b_usZZBXYciEN1U/edit?usp=sharing"",""ชุ"&amp;"มพร!N768"")+IMPORTRANGE(""https://docs.google.com/spreadsheets/d/16pAz3pOhQEZBhvFNMa5KGgZS6iKWpsKX0pg6tQmwFpo/edit?usp=sharing"",""ตรัง!N768"")+IMPORTRANGE(""https://docs.google.com/spreadsheets/d/1Dj4jcHCTV9JXKCaMoheSXS52JE63kDKyG7bPXnFogHk/edit?usp=shar"&amp;"ing"",""นครศรีธรรมราช!N768"")+IMPORTRANGE(""https://docs.google.com/spreadsheets/d/1iodCdmuK2GR3jzUwk8tpccY2JHQQA-87DLOtJP-ooyU/edit?usp=sharing"",""นราธิวาส!N768"")+IMPORTRANGE(""https://docs.google.com/spreadsheets/d/1SDNX3JhDdYRuIOsj0Wh2M-Qa_eaXl0NbWmh"&amp;"AOTbfQAs/edit?usp=sharing"",""ปัตตานี!N768"")+IMPORTRANGE(""https://docs.google.com/spreadsheets/d/16JDLGguT8s5DsGCND1KcwHP_AWR_zDMTqLHPLJUKhaU/edit?usp=sharing"",""พังงา!N768"")+IMPORTRANGE(""https://docs.google.com/spreadsheets/d/17ht0gPKzzT3PObBL1XJkeR"&amp;"mntBXI7wGjpLV7QorqlTk/edit?usp=sharing"",""พัทลุง!N768"")+IMPORTRANGE(""https://docs.google.com/spreadsheets/d/1rd4qoM1q_hsgaolqNGfrim9gbsoLxQsda4-vOz5x_BM/edit?usp=sharing"",""ภูเก็ต!N768"")+IMPORTRANGE(""https://docs.google.com/spreadsheets/d/1woKwKjgoL"&amp;"ssDvPcPeVyezB5izizAn4X1JDrys69n6xI/edit?usp=sharing"",""ยะลา!N768"")+IMPORTRANGE(""https://docs.google.com/spreadsheets/d/1qfrKjzMhm2HJfxQ-qVlJlJQ25Hne1d0khsySbZyGtPA/edit?usp=sharing"",""ระนอง!N768"")+IMPORTRANGE(""https://docs.google.com/spreadsheets/d/"&amp;"1IbSCnFOKpZsnFogBHJnL_isstZVaOMnFiIN0fGTPZZw/edit?usp=sharing"",""สงขลา!N768"")+IMPORTRANGE(""https://docs.google.com/spreadsheets/d/1q9nWasZJ-K8bFGvbE9n0qSRuKGA4Toe3Y89cKCiVtCU/edit?usp=sharing"",""สตูล!N768"")+IMPORTRANGE(""https://docs.google.com/sprea"&amp;"dsheets/d/18T20gbkS_WBjdscyTOV05cvq_JqvqQ17C81mpxf7Ncs/edit?usp=sharing"",""สุราษฎร์ธานี!N768"")"),0)</f>
        <v>0</v>
      </c>
      <c r="O768" s="47">
        <f t="shared" ca="1" si="522"/>
        <v>0</v>
      </c>
      <c r="P768" s="47">
        <f t="shared" ca="1" si="523"/>
        <v>0</v>
      </c>
      <c r="Q768" s="47">
        <f ca="1">IFERROR(__xludf.DUMMYFUNCTION("IMPORTRANGE(""https://docs.google.com/spreadsheets/d/1kKUcYdkIfrgTSj8iHHHB2MD2FAtwyyocFgqGQn6ADyI/edit?usp=sharing"",""กระบี่!Q768"")+IMPORTRANGE(""https://docs.google.com/spreadsheets/d/1GwtLaSlNZkLk7iDqcyZz22giiy40b_usZZBXYciEN1U/edit?usp=sharing"",""ชุ"&amp;"มพร!Q768"")+IMPORTRANGE(""https://docs.google.com/spreadsheets/d/16pAz3pOhQEZBhvFNMa5KGgZS6iKWpsKX0pg6tQmwFpo/edit?usp=sharing"",""ตรัง!Q768"")+IMPORTRANGE(""https://docs.google.com/spreadsheets/d/1Dj4jcHCTV9JXKCaMoheSXS52JE63kDKyG7bPXnFogHk/edit?usp=shar"&amp;"ing"",""นครศรีธรรมราช!Q768"")+IMPORTRANGE(""https://docs.google.com/spreadsheets/d/1iodCdmuK2GR3jzUwk8tpccY2JHQQA-87DLOtJP-ooyU/edit?usp=sharing"",""นราธิวาส!Q768"")+IMPORTRANGE(""https://docs.google.com/spreadsheets/d/1SDNX3JhDdYRuIOsj0Wh2M-Qa_eaXl0NbWmh"&amp;"AOTbfQAs/edit?usp=sharing"",""ปัตตานี!Q768"")+IMPORTRANGE(""https://docs.google.com/spreadsheets/d/16JDLGguT8s5DsGCND1KcwHP_AWR_zDMTqLHPLJUKhaU/edit?usp=sharing"",""พังงา!Q768"")+IMPORTRANGE(""https://docs.google.com/spreadsheets/d/17ht0gPKzzT3PObBL1XJkeR"&amp;"mntBXI7wGjpLV7QorqlTk/edit?usp=sharing"",""พัทลุง!Q768"")+IMPORTRANGE(""https://docs.google.com/spreadsheets/d/1rd4qoM1q_hsgaolqNGfrim9gbsoLxQsda4-vOz5x_BM/edit?usp=sharing"",""ภูเก็ต!Q768"")+IMPORTRANGE(""https://docs.google.com/spreadsheets/d/1woKwKjgoL"&amp;"ssDvPcPeVyezB5izizAn4X1JDrys69n6xI/edit?usp=sharing"",""ยะลา!Q768"")+IMPORTRANGE(""https://docs.google.com/spreadsheets/d/1qfrKjzMhm2HJfxQ-qVlJlJQ25Hne1d0khsySbZyGtPA/edit?usp=sharing"",""ระนอง!Q768"")+IMPORTRANGE(""https://docs.google.com/spreadsheets/d/"&amp;"1IbSCnFOKpZsnFogBHJnL_isstZVaOMnFiIN0fGTPZZw/edit?usp=sharing"",""สงขลา!Q768"")+IMPORTRANGE(""https://docs.google.com/spreadsheets/d/1q9nWasZJ-K8bFGvbE9n0qSRuKGA4Toe3Y89cKCiVtCU/edit?usp=sharing"",""สตูล!Q768"")+IMPORTRANGE(""https://docs.google.com/sprea"&amp;"dsheets/d/18T20gbkS_WBjdscyTOV05cvq_JqvqQ17C81mpxf7Ncs/edit?usp=sharing"",""สุราษฎร์ธานี!Q768"")"),0)</f>
        <v>0</v>
      </c>
      <c r="R768" s="47">
        <f ca="1">IFERROR(__xludf.DUMMYFUNCTION("IMPORTRANGE(""https://docs.google.com/spreadsheets/d/1kKUcYdkIfrgTSj8iHHHB2MD2FAtwyyocFgqGQn6ADyI/edit?usp=sharing"",""กระบี่!R768"")+IMPORTRANGE(""https://docs.google.com/spreadsheets/d/1GwtLaSlNZkLk7iDqcyZz22giiy40b_usZZBXYciEN1U/edit?usp=sharing"",""ชุ"&amp;"มพร!R768"")+IMPORTRANGE(""https://docs.google.com/spreadsheets/d/16pAz3pOhQEZBhvFNMa5KGgZS6iKWpsKX0pg6tQmwFpo/edit?usp=sharing"",""ตรัง!R768"")+IMPORTRANGE(""https://docs.google.com/spreadsheets/d/1Dj4jcHCTV9JXKCaMoheSXS52JE63kDKyG7bPXnFogHk/edit?usp=shar"&amp;"ing"",""นครศรีธรรมราช!R768"")+IMPORTRANGE(""https://docs.google.com/spreadsheets/d/1iodCdmuK2GR3jzUwk8tpccY2JHQQA-87DLOtJP-ooyU/edit?usp=sharing"",""นราธิวาส!R768"")+IMPORTRANGE(""https://docs.google.com/spreadsheets/d/1SDNX3JhDdYRuIOsj0Wh2M-Qa_eaXl0NbWmh"&amp;"AOTbfQAs/edit?usp=sharing"",""ปัตตานี!R768"")+IMPORTRANGE(""https://docs.google.com/spreadsheets/d/16JDLGguT8s5DsGCND1KcwHP_AWR_zDMTqLHPLJUKhaU/edit?usp=sharing"",""พังงา!R768"")+IMPORTRANGE(""https://docs.google.com/spreadsheets/d/17ht0gPKzzT3PObBL1XJkeR"&amp;"mntBXI7wGjpLV7QorqlTk/edit?usp=sharing"",""พัทลุง!R768"")+IMPORTRANGE(""https://docs.google.com/spreadsheets/d/1rd4qoM1q_hsgaolqNGfrim9gbsoLxQsda4-vOz5x_BM/edit?usp=sharing"",""ภูเก็ต!R768"")+IMPORTRANGE(""https://docs.google.com/spreadsheets/d/1woKwKjgoL"&amp;"ssDvPcPeVyezB5izizAn4X1JDrys69n6xI/edit?usp=sharing"",""ยะลา!R768"")+IMPORTRANGE(""https://docs.google.com/spreadsheets/d/1qfrKjzMhm2HJfxQ-qVlJlJQ25Hne1d0khsySbZyGtPA/edit?usp=sharing"",""ระนอง!R768"")+IMPORTRANGE(""https://docs.google.com/spreadsheets/d/"&amp;"1IbSCnFOKpZsnFogBHJnL_isstZVaOMnFiIN0fGTPZZw/edit?usp=sharing"",""สงขลา!R768"")+IMPORTRANGE(""https://docs.google.com/spreadsheets/d/1q9nWasZJ-K8bFGvbE9n0qSRuKGA4Toe3Y89cKCiVtCU/edit?usp=sharing"",""สตูล!R768"")+IMPORTRANGE(""https://docs.google.com/sprea"&amp;"dsheets/d/18T20gbkS_WBjdscyTOV05cvq_JqvqQ17C81mpxf7Ncs/edit?usp=sharing"",""สุราษฎร์ธานี!R768"")"),0)</f>
        <v>0</v>
      </c>
      <c r="S768" s="47">
        <f ca="1">IFERROR(__xludf.DUMMYFUNCTION("IMPORTRANGE(""https://docs.google.com/spreadsheets/d/1kKUcYdkIfrgTSj8iHHHB2MD2FAtwyyocFgqGQn6ADyI/edit?usp=sharing"",""กระบี่!S768"")+IMPORTRANGE(""https://docs.google.com/spreadsheets/d/1GwtLaSlNZkLk7iDqcyZz22giiy40b_usZZBXYciEN1U/edit?usp=sharing"",""ชุ"&amp;"มพร!S768"")+IMPORTRANGE(""https://docs.google.com/spreadsheets/d/16pAz3pOhQEZBhvFNMa5KGgZS6iKWpsKX0pg6tQmwFpo/edit?usp=sharing"",""ตรัง!S768"")+IMPORTRANGE(""https://docs.google.com/spreadsheets/d/1Dj4jcHCTV9JXKCaMoheSXS52JE63kDKyG7bPXnFogHk/edit?usp=shar"&amp;"ing"",""นครศรีธรรมราช!S768"")+IMPORTRANGE(""https://docs.google.com/spreadsheets/d/1iodCdmuK2GR3jzUwk8tpccY2JHQQA-87DLOtJP-ooyU/edit?usp=sharing"",""นราธิวาส!S768"")+IMPORTRANGE(""https://docs.google.com/spreadsheets/d/1SDNX3JhDdYRuIOsj0Wh2M-Qa_eaXl0NbWmh"&amp;"AOTbfQAs/edit?usp=sharing"",""ปัตตานี!S768"")+IMPORTRANGE(""https://docs.google.com/spreadsheets/d/16JDLGguT8s5DsGCND1KcwHP_AWR_zDMTqLHPLJUKhaU/edit?usp=sharing"",""พังงา!S768"")+IMPORTRANGE(""https://docs.google.com/spreadsheets/d/17ht0gPKzzT3PObBL1XJkeR"&amp;"mntBXI7wGjpLV7QorqlTk/edit?usp=sharing"",""พัทลุง!S768"")+IMPORTRANGE(""https://docs.google.com/spreadsheets/d/1rd4qoM1q_hsgaolqNGfrim9gbsoLxQsda4-vOz5x_BM/edit?usp=sharing"",""ภูเก็ต!S768"")+IMPORTRANGE(""https://docs.google.com/spreadsheets/d/1woKwKjgoL"&amp;"ssDvPcPeVyezB5izizAn4X1JDrys69n6xI/edit?usp=sharing"",""ยะลา!S768"")+IMPORTRANGE(""https://docs.google.com/spreadsheets/d/1qfrKjzMhm2HJfxQ-qVlJlJQ25Hne1d0khsySbZyGtPA/edit?usp=sharing"",""ระนอง!S768"")+IMPORTRANGE(""https://docs.google.com/spreadsheets/d/"&amp;"1IbSCnFOKpZsnFogBHJnL_isstZVaOMnFiIN0fGTPZZw/edit?usp=sharing"",""สงขลา!S768"")+IMPORTRANGE(""https://docs.google.com/spreadsheets/d/1q9nWasZJ-K8bFGvbE9n0qSRuKGA4Toe3Y89cKCiVtCU/edit?usp=sharing"",""สตูล!S768"")+IMPORTRANGE(""https://docs.google.com/sprea"&amp;"dsheets/d/18T20gbkS_WBjdscyTOV05cvq_JqvqQ17C81mpxf7Ncs/edit?usp=sharing"",""สุราษฎร์ธานี!S768"")"),0)</f>
        <v>0</v>
      </c>
      <c r="T768" s="47">
        <f t="shared" ca="1" si="525"/>
        <v>0</v>
      </c>
      <c r="U768" s="47">
        <f t="shared" ca="1" si="526"/>
        <v>0</v>
      </c>
    </row>
    <row r="769" spans="1:21" ht="19.5" x14ac:dyDescent="0.3">
      <c r="A769" s="138"/>
      <c r="B769" s="139"/>
      <c r="C769" s="503" t="s">
        <v>18</v>
      </c>
      <c r="D769" s="471" t="s">
        <v>38</v>
      </c>
      <c r="E769" s="212"/>
      <c r="F769" s="141"/>
      <c r="G769" s="142"/>
      <c r="H769" s="189"/>
      <c r="I769" s="45"/>
      <c r="J769" s="45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kKUcYdkIfrgTSj8iHHHB2MD2FAtwyyocFgqGQn6ADyI/edit?usp=sharing"",""กระบี่!I770"")+IMPORTRANGE(""https://docs.google.com/spreadsheets/d/1GwtLaSlNZkLk7iDqcyZz22giiy40b_usZZBXYciEN1U/edit?usp=sharing"",""ชุ"&amp;"มพร!I770"")+IMPORTRANGE(""https://docs.google.com/spreadsheets/d/16pAz3pOhQEZBhvFNMa5KGgZS6iKWpsKX0pg6tQmwFpo/edit?usp=sharing"",""ตรัง!I770"")+IMPORTRANGE(""https://docs.google.com/spreadsheets/d/1Dj4jcHCTV9JXKCaMoheSXS52JE63kDKyG7bPXnFogHk/edit?usp=shar"&amp;"ing"",""นครศรีธรรมราช!I770"")+IMPORTRANGE(""https://docs.google.com/spreadsheets/d/1iodCdmuK2GR3jzUwk8tpccY2JHQQA-87DLOtJP-ooyU/edit?usp=sharing"",""นราธิวาส!I770"")+IMPORTRANGE(""https://docs.google.com/spreadsheets/d/1SDNX3JhDdYRuIOsj0Wh2M-Qa_eaXl0NbWmh"&amp;"AOTbfQAs/edit?usp=sharing"",""ปัตตานี!I770"")+IMPORTRANGE(""https://docs.google.com/spreadsheets/d/16JDLGguT8s5DsGCND1KcwHP_AWR_zDMTqLHPLJUKhaU/edit?usp=sharing"",""พังงา!I770"")+IMPORTRANGE(""https://docs.google.com/spreadsheets/d/17ht0gPKzzT3PObBL1XJkeR"&amp;"mntBXI7wGjpLV7QorqlTk/edit?usp=sharing"",""พัทลุง!I770"")+IMPORTRANGE(""https://docs.google.com/spreadsheets/d/1rd4qoM1q_hsgaolqNGfrim9gbsoLxQsda4-vOz5x_BM/edit?usp=sharing"",""ภูเก็ต!I770"")+IMPORTRANGE(""https://docs.google.com/spreadsheets/d/1woKwKjgoL"&amp;"ssDvPcPeVyezB5izizAn4X1JDrys69n6xI/edit?usp=sharing"",""ยะลา!I770"")+IMPORTRANGE(""https://docs.google.com/spreadsheets/d/1qfrKjzMhm2HJfxQ-qVlJlJQ25Hne1d0khsySbZyGtPA/edit?usp=sharing"",""ระนอง!I770"")+IMPORTRANGE(""https://docs.google.com/spreadsheets/d/"&amp;"1IbSCnFOKpZsnFogBHJnL_isstZVaOMnFiIN0fGTPZZw/edit?usp=sharing"",""สงขลา!I770"")+IMPORTRANGE(""https://docs.google.com/spreadsheets/d/1q9nWasZJ-K8bFGvbE9n0qSRuKGA4Toe3Y89cKCiVtCU/edit?usp=sharing"",""สตูล!I770"")+IMPORTRANGE(""https://docs.google.com/sprea"&amp;"dsheets/d/18T20gbkS_WBjdscyTOV05cvq_JqvqQ17C81mpxf7Ncs/edit?usp=sharing"",""สุราษฎร์ธานี!I770"")"),0)</f>
        <v>0</v>
      </c>
      <c r="J770" s="495">
        <f ca="1">IFERROR(__xludf.DUMMYFUNCTION("IMPORTRANGE(""https://docs.google.com/spreadsheets/d/1kKUcYdkIfrgTSj8iHHHB2MD2FAtwyyocFgqGQn6ADyI/edit?usp=sharing"",""กระบี่!J770"")+IMPORTRANGE(""https://docs.google.com/spreadsheets/d/1GwtLaSlNZkLk7iDqcyZz22giiy40b_usZZBXYciEN1U/edit?usp=sharing"",""ชุ"&amp;"มพร!J770"")+IMPORTRANGE(""https://docs.google.com/spreadsheets/d/16pAz3pOhQEZBhvFNMa5KGgZS6iKWpsKX0pg6tQmwFpo/edit?usp=sharing"",""ตรัง!J770"")+IMPORTRANGE(""https://docs.google.com/spreadsheets/d/1Dj4jcHCTV9JXKCaMoheSXS52JE63kDKyG7bPXnFogHk/edit?usp=shar"&amp;"ing"",""นครศรีธรรมราช!J770"")+IMPORTRANGE(""https://docs.google.com/spreadsheets/d/1iodCdmuK2GR3jzUwk8tpccY2JHQQA-87DLOtJP-ooyU/edit?usp=sharing"",""นราธิวาส!J770"")+IMPORTRANGE(""https://docs.google.com/spreadsheets/d/1SDNX3JhDdYRuIOsj0Wh2M-Qa_eaXl0NbWmh"&amp;"AOTbfQAs/edit?usp=sharing"",""ปัตตานี!J770"")+IMPORTRANGE(""https://docs.google.com/spreadsheets/d/16JDLGguT8s5DsGCND1KcwHP_AWR_zDMTqLHPLJUKhaU/edit?usp=sharing"",""พังงา!J770"")+IMPORTRANGE(""https://docs.google.com/spreadsheets/d/17ht0gPKzzT3PObBL1XJkeR"&amp;"mntBXI7wGjpLV7QorqlTk/edit?usp=sharing"",""พัทลุง!J770"")+IMPORTRANGE(""https://docs.google.com/spreadsheets/d/1rd4qoM1q_hsgaolqNGfrim9gbsoLxQsda4-vOz5x_BM/edit?usp=sharing"",""ภูเก็ต!J770"")+IMPORTRANGE(""https://docs.google.com/spreadsheets/d/1woKwKjgoL"&amp;"ssDvPcPeVyezB5izizAn4X1JDrys69n6xI/edit?usp=sharing"",""ยะลา!J770"")+IMPORTRANGE(""https://docs.google.com/spreadsheets/d/1qfrKjzMhm2HJfxQ-qVlJlJQ25Hne1d0khsySbZyGtPA/edit?usp=sharing"",""ระนอง!J770"")+IMPORTRANGE(""https://docs.google.com/spreadsheets/d/"&amp;"1IbSCnFOKpZsnFogBHJnL_isstZVaOMnFiIN0fGTPZZw/edit?usp=sharing"",""สงขลา!J770"")+IMPORTRANGE(""https://docs.google.com/spreadsheets/d/1q9nWasZJ-K8bFGvbE9n0qSRuKGA4Toe3Y89cKCiVtCU/edit?usp=sharing"",""สตูล!J770"")+IMPORTRANGE(""https://docs.google.com/sprea"&amp;"dsheets/d/18T20gbkS_WBjdscyTOV05cvq_JqvqQ17C81mpxf7Ncs/edit?usp=sharing"",""สุราษฎร์ธานี!J770"")"),0)</f>
        <v>0</v>
      </c>
      <c r="K770" s="49">
        <f ca="1">IF(I770&gt;0,J770*100/I770,0)</f>
        <v>0</v>
      </c>
      <c r="L770" s="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kKUcYdkIfrgTSj8iHHHB2MD2FAtwyyocFgqGQn6ADyI/edit?usp=sharing"",""กระบี่!I772"")+IMPORTRANGE(""https://docs.google.com/spreadsheets/d/1GwtLaSlNZkLk7iDqcyZz22giiy40b_usZZBXYciEN1U/edit?usp=sharing"",""ชุ"&amp;"มพร!I772"")+IMPORTRANGE(""https://docs.google.com/spreadsheets/d/16pAz3pOhQEZBhvFNMa5KGgZS6iKWpsKX0pg6tQmwFpo/edit?usp=sharing"",""ตรัง!I772"")+IMPORTRANGE(""https://docs.google.com/spreadsheets/d/1Dj4jcHCTV9JXKCaMoheSXS52JE63kDKyG7bPXnFogHk/edit?usp=shar"&amp;"ing"",""นครศรีธรรมราช!I772"")+IMPORTRANGE(""https://docs.google.com/spreadsheets/d/1iodCdmuK2GR3jzUwk8tpccY2JHQQA-87DLOtJP-ooyU/edit?usp=sharing"",""นราธิวาส!I772"")+IMPORTRANGE(""https://docs.google.com/spreadsheets/d/1SDNX3JhDdYRuIOsj0Wh2M-Qa_eaXl0NbWmh"&amp;"AOTbfQAs/edit?usp=sharing"",""ปัตตานี!I772"")+IMPORTRANGE(""https://docs.google.com/spreadsheets/d/16JDLGguT8s5DsGCND1KcwHP_AWR_zDMTqLHPLJUKhaU/edit?usp=sharing"",""พังงา!I772"")+IMPORTRANGE(""https://docs.google.com/spreadsheets/d/17ht0gPKzzT3PObBL1XJkeR"&amp;"mntBXI7wGjpLV7QorqlTk/edit?usp=sharing"",""พัทลุง!I772"")+IMPORTRANGE(""https://docs.google.com/spreadsheets/d/1rd4qoM1q_hsgaolqNGfrim9gbsoLxQsda4-vOz5x_BM/edit?usp=sharing"",""ภูเก็ต!I772"")+IMPORTRANGE(""https://docs.google.com/spreadsheets/d/1woKwKjgoL"&amp;"ssDvPcPeVyezB5izizAn4X1JDrys69n6xI/edit?usp=sharing"",""ยะลา!I772"")+IMPORTRANGE(""https://docs.google.com/spreadsheets/d/1qfrKjzMhm2HJfxQ-qVlJlJQ25Hne1d0khsySbZyGtPA/edit?usp=sharing"",""ระนอง!I772"")+IMPORTRANGE(""https://docs.google.com/spreadsheets/d/"&amp;"1IbSCnFOKpZsnFogBHJnL_isstZVaOMnFiIN0fGTPZZw/edit?usp=sharing"",""สงขลา!I772"")+IMPORTRANGE(""https://docs.google.com/spreadsheets/d/1q9nWasZJ-K8bFGvbE9n0qSRuKGA4Toe3Y89cKCiVtCU/edit?usp=sharing"",""สตูล!I772"")+IMPORTRANGE(""https://docs.google.com/sprea"&amp;"dsheets/d/18T20gbkS_WBjdscyTOV05cvq_JqvqQ17C81mpxf7Ncs/edit?usp=sharing"",""สุราษฎร์ธานี!I772"")"),240)</f>
        <v>240</v>
      </c>
      <c r="J772" s="167">
        <f ca="1">IFERROR(__xludf.DUMMYFUNCTION("IMPORTRANGE(""https://docs.google.com/spreadsheets/d/1kKUcYdkIfrgTSj8iHHHB2MD2FAtwyyocFgqGQn6ADyI/edit?usp=sharing"",""กระบี่!J772"")+IMPORTRANGE(""https://docs.google.com/spreadsheets/d/1GwtLaSlNZkLk7iDqcyZz22giiy40b_usZZBXYciEN1U/edit?usp=sharing"",""ชุ"&amp;"มพร!J772"")+IMPORTRANGE(""https://docs.google.com/spreadsheets/d/16pAz3pOhQEZBhvFNMa5KGgZS6iKWpsKX0pg6tQmwFpo/edit?usp=sharing"",""ตรัง!J772"")+IMPORTRANGE(""https://docs.google.com/spreadsheets/d/1Dj4jcHCTV9JXKCaMoheSXS52JE63kDKyG7bPXnFogHk/edit?usp=shar"&amp;"ing"",""นครศรีธรรมราช!J772"")+IMPORTRANGE(""https://docs.google.com/spreadsheets/d/1iodCdmuK2GR3jzUwk8tpccY2JHQQA-87DLOtJP-ooyU/edit?usp=sharing"",""นราธิวาส!J772"")+IMPORTRANGE(""https://docs.google.com/spreadsheets/d/1SDNX3JhDdYRuIOsj0Wh2M-Qa_eaXl0NbWmh"&amp;"AOTbfQAs/edit?usp=sharing"",""ปัตตานี!J772"")+IMPORTRANGE(""https://docs.google.com/spreadsheets/d/16JDLGguT8s5DsGCND1KcwHP_AWR_zDMTqLHPLJUKhaU/edit?usp=sharing"",""พังงา!J772"")+IMPORTRANGE(""https://docs.google.com/spreadsheets/d/17ht0gPKzzT3PObBL1XJkeR"&amp;"mntBXI7wGjpLV7QorqlTk/edit?usp=sharing"",""พัทลุง!J772"")+IMPORTRANGE(""https://docs.google.com/spreadsheets/d/1rd4qoM1q_hsgaolqNGfrim9gbsoLxQsda4-vOz5x_BM/edit?usp=sharing"",""ภูเก็ต!J772"")+IMPORTRANGE(""https://docs.google.com/spreadsheets/d/1woKwKjgoL"&amp;"ssDvPcPeVyezB5izizAn4X1JDrys69n6xI/edit?usp=sharing"",""ยะลา!J772"")+IMPORTRANGE(""https://docs.google.com/spreadsheets/d/1qfrKjzMhm2HJfxQ-qVlJlJQ25Hne1d0khsySbZyGtPA/edit?usp=sharing"",""ระนอง!J772"")+IMPORTRANGE(""https://docs.google.com/spreadsheets/d/"&amp;"1IbSCnFOKpZsnFogBHJnL_isstZVaOMnFiIN0fGTPZZw/edit?usp=sharing"",""สงขลา!J772"")+IMPORTRANGE(""https://docs.google.com/spreadsheets/d/1q9nWasZJ-K8bFGvbE9n0qSRuKGA4Toe3Y89cKCiVtCU/edit?usp=sharing"",""สตูล!J772"")+IMPORTRANGE(""https://docs.google.com/sprea"&amp;"dsheets/d/18T20gbkS_WBjdscyTOV05cvq_JqvqQ17C81mpxf7Ncs/edit?usp=sharing"",""สุราษฎร์ธานี!J772"")"),150)</f>
        <v>150</v>
      </c>
      <c r="K772" s="47">
        <f ca="1">IF(I772&gt;0,J772*100/I772,0)</f>
        <v>62.5</v>
      </c>
      <c r="L772" s="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kKUcYdkIfrgTSj8iHHHB2MD2FAtwyyocFgqGQn6ADyI/edit?usp=sharing"",""กระบี่!I774"")+IMPORTRANGE(""https://docs.google.com/spreadsheets/d/1GwtLaSlNZkLk7iDqcyZz22giiy40b_usZZBXYciEN1U/edit?usp=sharing"",""ชุ"&amp;"มพร!I774"")+IMPORTRANGE(""https://docs.google.com/spreadsheets/d/16pAz3pOhQEZBhvFNMa5KGgZS6iKWpsKX0pg6tQmwFpo/edit?usp=sharing"",""ตรัง!I774"")+IMPORTRANGE(""https://docs.google.com/spreadsheets/d/1Dj4jcHCTV9JXKCaMoheSXS52JE63kDKyG7bPXnFogHk/edit?usp=shar"&amp;"ing"",""นครศรีธรรมราช!I774"")+IMPORTRANGE(""https://docs.google.com/spreadsheets/d/1iodCdmuK2GR3jzUwk8tpccY2JHQQA-87DLOtJP-ooyU/edit?usp=sharing"",""นราธิวาส!I774"")+IMPORTRANGE(""https://docs.google.com/spreadsheets/d/1SDNX3JhDdYRuIOsj0Wh2M-Qa_eaXl0NbWmh"&amp;"AOTbfQAs/edit?usp=sharing"",""ปัตตานี!I774"")+IMPORTRANGE(""https://docs.google.com/spreadsheets/d/16JDLGguT8s5DsGCND1KcwHP_AWR_zDMTqLHPLJUKhaU/edit?usp=sharing"",""พังงา!I774"")+IMPORTRANGE(""https://docs.google.com/spreadsheets/d/17ht0gPKzzT3PObBL1XJkeR"&amp;"mntBXI7wGjpLV7QorqlTk/edit?usp=sharing"",""พัทลุง!I774"")+IMPORTRANGE(""https://docs.google.com/spreadsheets/d/1rd4qoM1q_hsgaolqNGfrim9gbsoLxQsda4-vOz5x_BM/edit?usp=sharing"",""ภูเก็ต!I774"")+IMPORTRANGE(""https://docs.google.com/spreadsheets/d/1woKwKjgoL"&amp;"ssDvPcPeVyezB5izizAn4X1JDrys69n6xI/edit?usp=sharing"",""ยะลา!I774"")+IMPORTRANGE(""https://docs.google.com/spreadsheets/d/1qfrKjzMhm2HJfxQ-qVlJlJQ25Hne1d0khsySbZyGtPA/edit?usp=sharing"",""ระนอง!I774"")+IMPORTRANGE(""https://docs.google.com/spreadsheets/d/"&amp;"1IbSCnFOKpZsnFogBHJnL_isstZVaOMnFiIN0fGTPZZw/edit?usp=sharing"",""สงขลา!I774"")+IMPORTRANGE(""https://docs.google.com/spreadsheets/d/1q9nWasZJ-K8bFGvbE9n0qSRuKGA4Toe3Y89cKCiVtCU/edit?usp=sharing"",""สตูล!I774"")+IMPORTRANGE(""https://docs.google.com/sprea"&amp;"dsheets/d/18T20gbkS_WBjdscyTOV05cvq_JqvqQ17C81mpxf7Ncs/edit?usp=sharing"",""สุราษฎร์ธานี!I774"")"),625)</f>
        <v>625</v>
      </c>
      <c r="J774" s="167">
        <f ca="1">IFERROR(__xludf.DUMMYFUNCTION("IMPORTRANGE(""https://docs.google.com/spreadsheets/d/1kKUcYdkIfrgTSj8iHHHB2MD2FAtwyyocFgqGQn6ADyI/edit?usp=sharing"",""กระบี่!J774"")+IMPORTRANGE(""https://docs.google.com/spreadsheets/d/1GwtLaSlNZkLk7iDqcyZz22giiy40b_usZZBXYciEN1U/edit?usp=sharing"",""ชุ"&amp;"มพร!J774"")+IMPORTRANGE(""https://docs.google.com/spreadsheets/d/16pAz3pOhQEZBhvFNMa5KGgZS6iKWpsKX0pg6tQmwFpo/edit?usp=sharing"",""ตรัง!J774"")+IMPORTRANGE(""https://docs.google.com/spreadsheets/d/1Dj4jcHCTV9JXKCaMoheSXS52JE63kDKyG7bPXnFogHk/edit?usp=shar"&amp;"ing"",""นครศรีธรรมราช!J774"")+IMPORTRANGE(""https://docs.google.com/spreadsheets/d/1iodCdmuK2GR3jzUwk8tpccY2JHQQA-87DLOtJP-ooyU/edit?usp=sharing"",""นราธิวาส!J774"")+IMPORTRANGE(""https://docs.google.com/spreadsheets/d/1SDNX3JhDdYRuIOsj0Wh2M-Qa_eaXl0NbWmh"&amp;"AOTbfQAs/edit?usp=sharing"",""ปัตตานี!J774"")+IMPORTRANGE(""https://docs.google.com/spreadsheets/d/16JDLGguT8s5DsGCND1KcwHP_AWR_zDMTqLHPLJUKhaU/edit?usp=sharing"",""พังงา!J774"")+IMPORTRANGE(""https://docs.google.com/spreadsheets/d/17ht0gPKzzT3PObBL1XJkeR"&amp;"mntBXI7wGjpLV7QorqlTk/edit?usp=sharing"",""พัทลุง!J774"")+IMPORTRANGE(""https://docs.google.com/spreadsheets/d/1rd4qoM1q_hsgaolqNGfrim9gbsoLxQsda4-vOz5x_BM/edit?usp=sharing"",""ภูเก็ต!J774"")+IMPORTRANGE(""https://docs.google.com/spreadsheets/d/1woKwKjgoL"&amp;"ssDvPcPeVyezB5izizAn4X1JDrys69n6xI/edit?usp=sharing"",""ยะลา!J774"")+IMPORTRANGE(""https://docs.google.com/spreadsheets/d/1qfrKjzMhm2HJfxQ-qVlJlJQ25Hne1d0khsySbZyGtPA/edit?usp=sharing"",""ระนอง!J774"")+IMPORTRANGE(""https://docs.google.com/spreadsheets/d/"&amp;"1IbSCnFOKpZsnFogBHJnL_isstZVaOMnFiIN0fGTPZZw/edit?usp=sharing"",""สงขลา!J774"")+IMPORTRANGE(""https://docs.google.com/spreadsheets/d/1q9nWasZJ-K8bFGvbE9n0qSRuKGA4Toe3Y89cKCiVtCU/edit?usp=sharing"",""สตูล!J774"")+IMPORTRANGE(""https://docs.google.com/sprea"&amp;"dsheets/d/18T20gbkS_WBjdscyTOV05cvq_JqvqQ17C81mpxf7Ncs/edit?usp=sharing"",""สุราษฎร์ธานี!J774"")"),350)</f>
        <v>350</v>
      </c>
      <c r="K774" s="47">
        <f ca="1">IF(I774&gt;0,J774*100/I774,0)</f>
        <v>56</v>
      </c>
      <c r="L774" s="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kKUcYdkIfrgTSj8iHHHB2MD2FAtwyyocFgqGQn6ADyI/edit?usp=sharing"",""กระบี่!I775"")+IMPORTRANGE(""https://docs.google.com/spreadsheets/d/1GwtLaSlNZkLk7iDqcyZz22giiy40b_usZZBXYciEN1U/edit?usp=sharing"",""ชุ"&amp;"มพร!I775"")+IMPORTRANGE(""https://docs.google.com/spreadsheets/d/16pAz3pOhQEZBhvFNMa5KGgZS6iKWpsKX0pg6tQmwFpo/edit?usp=sharing"",""ตรัง!I775"")+IMPORTRANGE(""https://docs.google.com/spreadsheets/d/1Dj4jcHCTV9JXKCaMoheSXS52JE63kDKyG7bPXnFogHk/edit?usp=shar"&amp;"ing"",""นครศรีธรรมราช!I775"")+IMPORTRANGE(""https://docs.google.com/spreadsheets/d/1iodCdmuK2GR3jzUwk8tpccY2JHQQA-87DLOtJP-ooyU/edit?usp=sharing"",""นราธิวาส!I775"")+IMPORTRANGE(""https://docs.google.com/spreadsheets/d/1SDNX3JhDdYRuIOsj0Wh2M-Qa_eaXl0NbWmh"&amp;"AOTbfQAs/edit?usp=sharing"",""ปัตตานี!I775"")+IMPORTRANGE(""https://docs.google.com/spreadsheets/d/16JDLGguT8s5DsGCND1KcwHP_AWR_zDMTqLHPLJUKhaU/edit?usp=sharing"",""พังงา!I775"")+IMPORTRANGE(""https://docs.google.com/spreadsheets/d/17ht0gPKzzT3PObBL1XJkeR"&amp;"mntBXI7wGjpLV7QorqlTk/edit?usp=sharing"",""พัทลุง!I775"")+IMPORTRANGE(""https://docs.google.com/spreadsheets/d/1rd4qoM1q_hsgaolqNGfrim9gbsoLxQsda4-vOz5x_BM/edit?usp=sharing"",""ภูเก็ต!I775"")+IMPORTRANGE(""https://docs.google.com/spreadsheets/d/1woKwKjgoL"&amp;"ssDvPcPeVyezB5izizAn4X1JDrys69n6xI/edit?usp=sharing"",""ยะลา!I775"")+IMPORTRANGE(""https://docs.google.com/spreadsheets/d/1qfrKjzMhm2HJfxQ-qVlJlJQ25Hne1d0khsySbZyGtPA/edit?usp=sharing"",""ระนอง!I775"")+IMPORTRANGE(""https://docs.google.com/spreadsheets/d/"&amp;"1IbSCnFOKpZsnFogBHJnL_isstZVaOMnFiIN0fGTPZZw/edit?usp=sharing"",""สงขลา!I775"")+IMPORTRANGE(""https://docs.google.com/spreadsheets/d/1q9nWasZJ-K8bFGvbE9n0qSRuKGA4Toe3Y89cKCiVtCU/edit?usp=sharing"",""สตูล!I775"")+IMPORTRANGE(""https://docs.google.com/sprea"&amp;"dsheets/d/18T20gbkS_WBjdscyTOV05cvq_JqvqQ17C81mpxf7Ncs/edit?usp=sharing"",""สุราษฎร์ธานี!I775"")"),625)</f>
        <v>625</v>
      </c>
      <c r="J775" s="167">
        <f ca="1">IFERROR(__xludf.DUMMYFUNCTION("IMPORTRANGE(""https://docs.google.com/spreadsheets/d/1kKUcYdkIfrgTSj8iHHHB2MD2FAtwyyocFgqGQn6ADyI/edit?usp=sharing"",""กระบี่!J775"")+IMPORTRANGE(""https://docs.google.com/spreadsheets/d/1GwtLaSlNZkLk7iDqcyZz22giiy40b_usZZBXYciEN1U/edit?usp=sharing"",""ชุ"&amp;"มพร!J775"")+IMPORTRANGE(""https://docs.google.com/spreadsheets/d/16pAz3pOhQEZBhvFNMa5KGgZS6iKWpsKX0pg6tQmwFpo/edit?usp=sharing"",""ตรัง!J775"")+IMPORTRANGE(""https://docs.google.com/spreadsheets/d/1Dj4jcHCTV9JXKCaMoheSXS52JE63kDKyG7bPXnFogHk/edit?usp=shar"&amp;"ing"",""นครศรีธรรมราช!J775"")+IMPORTRANGE(""https://docs.google.com/spreadsheets/d/1iodCdmuK2GR3jzUwk8tpccY2JHQQA-87DLOtJP-ooyU/edit?usp=sharing"",""นราธิวาส!J775"")+IMPORTRANGE(""https://docs.google.com/spreadsheets/d/1SDNX3JhDdYRuIOsj0Wh2M-Qa_eaXl0NbWmh"&amp;"AOTbfQAs/edit?usp=sharing"",""ปัตตานี!J775"")+IMPORTRANGE(""https://docs.google.com/spreadsheets/d/16JDLGguT8s5DsGCND1KcwHP_AWR_zDMTqLHPLJUKhaU/edit?usp=sharing"",""พังงา!J775"")+IMPORTRANGE(""https://docs.google.com/spreadsheets/d/17ht0gPKzzT3PObBL1XJkeR"&amp;"mntBXI7wGjpLV7QorqlTk/edit?usp=sharing"",""พัทลุง!J775"")+IMPORTRANGE(""https://docs.google.com/spreadsheets/d/1rd4qoM1q_hsgaolqNGfrim9gbsoLxQsda4-vOz5x_BM/edit?usp=sharing"",""ภูเก็ต!J775"")+IMPORTRANGE(""https://docs.google.com/spreadsheets/d/1woKwKjgoL"&amp;"ssDvPcPeVyezB5izizAn4X1JDrys69n6xI/edit?usp=sharing"",""ยะลา!J775"")+IMPORTRANGE(""https://docs.google.com/spreadsheets/d/1qfrKjzMhm2HJfxQ-qVlJlJQ25Hne1d0khsySbZyGtPA/edit?usp=sharing"",""ระนอง!J775"")+IMPORTRANGE(""https://docs.google.com/spreadsheets/d/"&amp;"1IbSCnFOKpZsnFogBHJnL_isstZVaOMnFiIN0fGTPZZw/edit?usp=sharing"",""สงขลา!J775"")+IMPORTRANGE(""https://docs.google.com/spreadsheets/d/1q9nWasZJ-K8bFGvbE9n0qSRuKGA4Toe3Y89cKCiVtCU/edit?usp=sharing"",""สตูล!J775"")+IMPORTRANGE(""https://docs.google.com/sprea"&amp;"dsheets/d/18T20gbkS_WBjdscyTOV05cvq_JqvqQ17C81mpxf7Ncs/edit?usp=sharing"",""สุราษฎร์ธานี!J775"")"),20)</f>
        <v>20</v>
      </c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kKUcYdkIfrgTSj8iHHHB2MD2FAtwyyocFgqGQn6ADyI/edit?usp=sharing"",""กระบี่!I776"")+IMPORTRANGE(""https://docs.google.com/spreadsheets/d/1GwtLaSlNZkLk7iDqcyZz22giiy40b_usZZBXYciEN1U/edit?usp=sharing"",""ชุ"&amp;"มพร!I776"")+IMPORTRANGE(""https://docs.google.com/spreadsheets/d/16pAz3pOhQEZBhvFNMa5KGgZS6iKWpsKX0pg6tQmwFpo/edit?usp=sharing"",""ตรัง!I776"")+IMPORTRANGE(""https://docs.google.com/spreadsheets/d/1Dj4jcHCTV9JXKCaMoheSXS52JE63kDKyG7bPXnFogHk/edit?usp=shar"&amp;"ing"",""นครศรีธรรมราช!I776"")+IMPORTRANGE(""https://docs.google.com/spreadsheets/d/1iodCdmuK2GR3jzUwk8tpccY2JHQQA-87DLOtJP-ooyU/edit?usp=sharing"",""นราธิวาส!I776"")+IMPORTRANGE(""https://docs.google.com/spreadsheets/d/1SDNX3JhDdYRuIOsj0Wh2M-Qa_eaXl0NbWmh"&amp;"AOTbfQAs/edit?usp=sharing"",""ปัตตานี!I776"")+IMPORTRANGE(""https://docs.google.com/spreadsheets/d/16JDLGguT8s5DsGCND1KcwHP_AWR_zDMTqLHPLJUKhaU/edit?usp=sharing"",""พังงา!I776"")+IMPORTRANGE(""https://docs.google.com/spreadsheets/d/17ht0gPKzzT3PObBL1XJkeR"&amp;"mntBXI7wGjpLV7QorqlTk/edit?usp=sharing"",""พัทลุง!I776"")+IMPORTRANGE(""https://docs.google.com/spreadsheets/d/1rd4qoM1q_hsgaolqNGfrim9gbsoLxQsda4-vOz5x_BM/edit?usp=sharing"",""ภูเก็ต!I776"")+IMPORTRANGE(""https://docs.google.com/spreadsheets/d/1woKwKjgoL"&amp;"ssDvPcPeVyezB5izizAn4X1JDrys69n6xI/edit?usp=sharing"",""ยะลา!I776"")+IMPORTRANGE(""https://docs.google.com/spreadsheets/d/1qfrKjzMhm2HJfxQ-qVlJlJQ25Hne1d0khsySbZyGtPA/edit?usp=sharing"",""ระนอง!I776"")+IMPORTRANGE(""https://docs.google.com/spreadsheets/d/"&amp;"1IbSCnFOKpZsnFogBHJnL_isstZVaOMnFiIN0fGTPZZw/edit?usp=sharing"",""สงขลา!I776"")+IMPORTRANGE(""https://docs.google.com/spreadsheets/d/1q9nWasZJ-K8bFGvbE9n0qSRuKGA4Toe3Y89cKCiVtCU/edit?usp=sharing"",""สตูล!I776"")+IMPORTRANGE(""https://docs.google.com/sprea"&amp;"dsheets/d/18T20gbkS_WBjdscyTOV05cvq_JqvqQ17C81mpxf7Ncs/edit?usp=sharing"",""สุราษฎร์ธานี!I776"")"),240)</f>
        <v>240</v>
      </c>
      <c r="J776" s="355">
        <f ca="1">IFERROR(__xludf.DUMMYFUNCTION("IMPORTRANGE(""https://docs.google.com/spreadsheets/d/1kKUcYdkIfrgTSj8iHHHB2MD2FAtwyyocFgqGQn6ADyI/edit?usp=sharing"",""กระบี่!J776"")+IMPORTRANGE(""https://docs.google.com/spreadsheets/d/1GwtLaSlNZkLk7iDqcyZz22giiy40b_usZZBXYciEN1U/edit?usp=sharing"",""ชุ"&amp;"มพร!J776"")+IMPORTRANGE(""https://docs.google.com/spreadsheets/d/16pAz3pOhQEZBhvFNMa5KGgZS6iKWpsKX0pg6tQmwFpo/edit?usp=sharing"",""ตรัง!J776"")+IMPORTRANGE(""https://docs.google.com/spreadsheets/d/1Dj4jcHCTV9JXKCaMoheSXS52JE63kDKyG7bPXnFogHk/edit?usp=shar"&amp;"ing"",""นครศรีธรรมราช!J776"")+IMPORTRANGE(""https://docs.google.com/spreadsheets/d/1iodCdmuK2GR3jzUwk8tpccY2JHQQA-87DLOtJP-ooyU/edit?usp=sharing"",""นราธิวาส!J776"")+IMPORTRANGE(""https://docs.google.com/spreadsheets/d/1SDNX3JhDdYRuIOsj0Wh2M-Qa_eaXl0NbWmh"&amp;"AOTbfQAs/edit?usp=sharing"",""ปัตตานี!J776"")+IMPORTRANGE(""https://docs.google.com/spreadsheets/d/16JDLGguT8s5DsGCND1KcwHP_AWR_zDMTqLHPLJUKhaU/edit?usp=sharing"",""พังงา!J776"")+IMPORTRANGE(""https://docs.google.com/spreadsheets/d/17ht0gPKzzT3PObBL1XJkeR"&amp;"mntBXI7wGjpLV7QorqlTk/edit?usp=sharing"",""พัทลุง!J776"")+IMPORTRANGE(""https://docs.google.com/spreadsheets/d/1rd4qoM1q_hsgaolqNGfrim9gbsoLxQsda4-vOz5x_BM/edit?usp=sharing"",""ภูเก็ต!J776"")+IMPORTRANGE(""https://docs.google.com/spreadsheets/d/1woKwKjgoL"&amp;"ssDvPcPeVyezB5izizAn4X1JDrys69n6xI/edit?usp=sharing"",""ยะลา!J776"")+IMPORTRANGE(""https://docs.google.com/spreadsheets/d/1qfrKjzMhm2HJfxQ-qVlJlJQ25Hne1d0khsySbZyGtPA/edit?usp=sharing"",""ระนอง!J776"")+IMPORTRANGE(""https://docs.google.com/spreadsheets/d/"&amp;"1IbSCnFOKpZsnFogBHJnL_isstZVaOMnFiIN0fGTPZZw/edit?usp=sharing"",""สงขลา!J776"")+IMPORTRANGE(""https://docs.google.com/spreadsheets/d/1q9nWasZJ-K8bFGvbE9n0qSRuKGA4Toe3Y89cKCiVtCU/edit?usp=sharing"",""สตูล!J776"")+IMPORTRANGE(""https://docs.google.com/sprea"&amp;"dsheets/d/18T20gbkS_WBjdscyTOV05cvq_JqvqQ17C81mpxf7Ncs/edit?usp=sharing"",""สุราษฎร์ธานี!J776"")"),10)</f>
        <v>10</v>
      </c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05" t="s">
        <v>294</v>
      </c>
      <c r="B777" s="506"/>
      <c r="C777" s="506"/>
      <c r="D777" s="506"/>
      <c r="E777" s="507"/>
      <c r="F777" s="507"/>
      <c r="G777" s="508"/>
      <c r="H777" s="509" t="str">
        <f ca="1">IFERROR(__xludf.DUMMYFUNCTION("IMPORTRANGE(""https://docs.google.com/spreadsheets/d/1gNPQPjxUj63ZZXIIIm2aX4x3w7PhAZpC9JuXdbpWwUQ/edit?usp=sharing"",""Sheet1!b2"")")," (ข้อมูล ณ 30 เม.ย. 67)")</f>
        <v xml:space="preserve"> 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217"/>
      <c r="B778" s="218" t="s">
        <v>295</v>
      </c>
      <c r="C778" s="159"/>
      <c r="D778" s="159"/>
      <c r="E778" s="41"/>
      <c r="F778" s="41"/>
      <c r="G778" s="43"/>
      <c r="H778" s="133" t="s">
        <v>14</v>
      </c>
      <c r="I778" s="152">
        <f ca="1">IFERROR(__xludf.DUMMYFUNCTION("IMPORTRANGE(""https://docs.google.com/spreadsheets/d/1kKUcYdkIfrgTSj8iHHHB2MD2FAtwyyocFgqGQn6ADyI/edit?usp=sharing"",""กระบี่!I778"")+IMPORTRANGE(""https://docs.google.com/spreadsheets/d/1GwtLaSlNZkLk7iDqcyZz22giiy40b_usZZBXYciEN1U/edit?usp=sharing"",""ชุ"&amp;"มพร!I778"")+IMPORTRANGE(""https://docs.google.com/spreadsheets/d/16pAz3pOhQEZBhvFNMa5KGgZS6iKWpsKX0pg6tQmwFpo/edit?usp=sharing"",""ตรัง!I778"")+IMPORTRANGE(""https://docs.google.com/spreadsheets/d/1Dj4jcHCTV9JXKCaMoheSXS52JE63kDKyG7bPXnFogHk/edit?usp=shar"&amp;"ing"",""นครศรีธรรมราช!I778"")+IMPORTRANGE(""https://docs.google.com/spreadsheets/d/1iodCdmuK2GR3jzUwk8tpccY2JHQQA-87DLOtJP-ooyU/edit?usp=sharing"",""นราธิวาส!I778"")+IMPORTRANGE(""https://docs.google.com/spreadsheets/d/1SDNX3JhDdYRuIOsj0Wh2M-Qa_eaXl0NbWmh"&amp;"AOTbfQAs/edit?usp=sharing"",""ปัตตานี!I778"")+IMPORTRANGE(""https://docs.google.com/spreadsheets/d/16JDLGguT8s5DsGCND1KcwHP_AWR_zDMTqLHPLJUKhaU/edit?usp=sharing"",""พังงา!I778"")+IMPORTRANGE(""https://docs.google.com/spreadsheets/d/17ht0gPKzzT3PObBL1XJkeR"&amp;"mntBXI7wGjpLV7QorqlTk/edit?usp=sharing"",""พัทลุง!I778"")+IMPORTRANGE(""https://docs.google.com/spreadsheets/d/1rd4qoM1q_hsgaolqNGfrim9gbsoLxQsda4-vOz5x_BM/edit?usp=sharing"",""ภูเก็ต!I778"")+IMPORTRANGE(""https://docs.google.com/spreadsheets/d/1woKwKjgoL"&amp;"ssDvPcPeVyezB5izizAn4X1JDrys69n6xI/edit?usp=sharing"",""ยะลา!I778"")+IMPORTRANGE(""https://docs.google.com/spreadsheets/d/1qfrKjzMhm2HJfxQ-qVlJlJQ25Hne1d0khsySbZyGtPA/edit?usp=sharing"",""ระนอง!I778"")+IMPORTRANGE(""https://docs.google.com/spreadsheets/d/"&amp;"1IbSCnFOKpZsnFogBHJnL_isstZVaOMnFiIN0fGTPZZw/edit?usp=sharing"",""สงขลา!I778"")+IMPORTRANGE(""https://docs.google.com/spreadsheets/d/1q9nWasZJ-K8bFGvbE9n0qSRuKGA4Toe3Y89cKCiVtCU/edit?usp=sharing"",""สตูล!I778"")+IMPORTRANGE(""https://docs.google.com/sprea"&amp;"dsheets/d/18T20gbkS_WBjdscyTOV05cvq_JqvqQ17C81mpxf7Ncs/edit?usp=sharing"",""สุราษฎร์ธานี!I778"")"),12525907.8099999)</f>
        <v>12525907.8099999</v>
      </c>
      <c r="J778" s="152">
        <f ca="1">IFERROR(__xludf.DUMMYFUNCTION("IMPORTRANGE(""https://docs.google.com/spreadsheets/d/1kKUcYdkIfrgTSj8iHHHB2MD2FAtwyyocFgqGQn6ADyI/edit?usp=sharing"",""กระบี่!J778"")+IMPORTRANGE(""https://docs.google.com/spreadsheets/d/1GwtLaSlNZkLk7iDqcyZz22giiy40b_usZZBXYciEN1U/edit?usp=sharing"",""ชุ"&amp;"มพร!J778"")+IMPORTRANGE(""https://docs.google.com/spreadsheets/d/16pAz3pOhQEZBhvFNMa5KGgZS6iKWpsKX0pg6tQmwFpo/edit?usp=sharing"",""ตรัง!J778"")+IMPORTRANGE(""https://docs.google.com/spreadsheets/d/1Dj4jcHCTV9JXKCaMoheSXS52JE63kDKyG7bPXnFogHk/edit?usp=shar"&amp;"ing"",""นครศรีธรรมราช!J778"")+IMPORTRANGE(""https://docs.google.com/spreadsheets/d/1iodCdmuK2GR3jzUwk8tpccY2JHQQA-87DLOtJP-ooyU/edit?usp=sharing"",""นราธิวาส!J778"")+IMPORTRANGE(""https://docs.google.com/spreadsheets/d/1SDNX3JhDdYRuIOsj0Wh2M-Qa_eaXl0NbWmh"&amp;"AOTbfQAs/edit?usp=sharing"",""ปัตตานี!J778"")+IMPORTRANGE(""https://docs.google.com/spreadsheets/d/16JDLGguT8s5DsGCND1KcwHP_AWR_zDMTqLHPLJUKhaU/edit?usp=sharing"",""พังงา!J778"")+IMPORTRANGE(""https://docs.google.com/spreadsheets/d/17ht0gPKzzT3PObBL1XJkeR"&amp;"mntBXI7wGjpLV7QorqlTk/edit?usp=sharing"",""พัทลุง!J778"")+IMPORTRANGE(""https://docs.google.com/spreadsheets/d/1rd4qoM1q_hsgaolqNGfrim9gbsoLxQsda4-vOz5x_BM/edit?usp=sharing"",""ภูเก็ต!J778"")+IMPORTRANGE(""https://docs.google.com/spreadsheets/d/1woKwKjgoL"&amp;"ssDvPcPeVyezB5izizAn4X1JDrys69n6xI/edit?usp=sharing"",""ยะลา!J778"")+IMPORTRANGE(""https://docs.google.com/spreadsheets/d/1qfrKjzMhm2HJfxQ-qVlJlJQ25Hne1d0khsySbZyGtPA/edit?usp=sharing"",""ระนอง!J778"")+IMPORTRANGE(""https://docs.google.com/spreadsheets/d/"&amp;"1IbSCnFOKpZsnFogBHJnL_isstZVaOMnFiIN0fGTPZZw/edit?usp=sharing"",""สงขลา!J778"")+IMPORTRANGE(""https://docs.google.com/spreadsheets/d/1q9nWasZJ-K8bFGvbE9n0qSRuKGA4Toe3Y89cKCiVtCU/edit?usp=sharing"",""สตูล!J778"")+IMPORTRANGE(""https://docs.google.com/sprea"&amp;"dsheets/d/18T20gbkS_WBjdscyTOV05cvq_JqvqQ17C81mpxf7Ncs/edit?usp=sharing"",""สุราษฎร์ธานี!J778"")"),8318822.28)</f>
        <v>8318822.2800000003</v>
      </c>
      <c r="K778" s="47">
        <f t="shared" ref="K778:K785" ca="1" si="535">IF(I778&gt;0,J778*100/I778,0)</f>
        <v>66.412929155991179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217"/>
      <c r="B779" s="159"/>
      <c r="C779" s="159"/>
      <c r="D779" s="159"/>
      <c r="E779" s="41"/>
      <c r="F779" s="41"/>
      <c r="G779" s="43"/>
      <c r="H779" s="133" t="s">
        <v>35</v>
      </c>
      <c r="I779" s="152">
        <f ca="1">IFERROR(__xludf.DUMMYFUNCTION("IMPORTRANGE(""https://docs.google.com/spreadsheets/d/1kKUcYdkIfrgTSj8iHHHB2MD2FAtwyyocFgqGQn6ADyI/edit?usp=sharing"",""กระบี่!I779"")+IMPORTRANGE(""https://docs.google.com/spreadsheets/d/1GwtLaSlNZkLk7iDqcyZz22giiy40b_usZZBXYciEN1U/edit?usp=sharing"",""ชุ"&amp;"มพร!I779"")+IMPORTRANGE(""https://docs.google.com/spreadsheets/d/16pAz3pOhQEZBhvFNMa5KGgZS6iKWpsKX0pg6tQmwFpo/edit?usp=sharing"",""ตรัง!I779"")+IMPORTRANGE(""https://docs.google.com/spreadsheets/d/1Dj4jcHCTV9JXKCaMoheSXS52JE63kDKyG7bPXnFogHk/edit?usp=shar"&amp;"ing"",""นครศรีธรรมราช!I779"")+IMPORTRANGE(""https://docs.google.com/spreadsheets/d/1iodCdmuK2GR3jzUwk8tpccY2JHQQA-87DLOtJP-ooyU/edit?usp=sharing"",""นราธิวาส!I779"")+IMPORTRANGE(""https://docs.google.com/spreadsheets/d/1SDNX3JhDdYRuIOsj0Wh2M-Qa_eaXl0NbWmh"&amp;"AOTbfQAs/edit?usp=sharing"",""ปัตตานี!I779"")+IMPORTRANGE(""https://docs.google.com/spreadsheets/d/16JDLGguT8s5DsGCND1KcwHP_AWR_zDMTqLHPLJUKhaU/edit?usp=sharing"",""พังงา!I779"")+IMPORTRANGE(""https://docs.google.com/spreadsheets/d/17ht0gPKzzT3PObBL1XJkeR"&amp;"mntBXI7wGjpLV7QorqlTk/edit?usp=sharing"",""พัทลุง!I779"")+IMPORTRANGE(""https://docs.google.com/spreadsheets/d/1rd4qoM1q_hsgaolqNGfrim9gbsoLxQsda4-vOz5x_BM/edit?usp=sharing"",""ภูเก็ต!I779"")+IMPORTRANGE(""https://docs.google.com/spreadsheets/d/1woKwKjgoL"&amp;"ssDvPcPeVyezB5izizAn4X1JDrys69n6xI/edit?usp=sharing"",""ยะลา!I779"")+IMPORTRANGE(""https://docs.google.com/spreadsheets/d/1qfrKjzMhm2HJfxQ-qVlJlJQ25Hne1d0khsySbZyGtPA/edit?usp=sharing"",""ระนอง!I779"")+IMPORTRANGE(""https://docs.google.com/spreadsheets/d/"&amp;"1IbSCnFOKpZsnFogBHJnL_isstZVaOMnFiIN0fGTPZZw/edit?usp=sharing"",""สงขลา!I779"")+IMPORTRANGE(""https://docs.google.com/spreadsheets/d/1q9nWasZJ-K8bFGvbE9n0qSRuKGA4Toe3Y89cKCiVtCU/edit?usp=sharing"",""สตูล!I779"")+IMPORTRANGE(""https://docs.google.com/sprea"&amp;"dsheets/d/18T20gbkS_WBjdscyTOV05cvq_JqvqQ17C81mpxf7Ncs/edit?usp=sharing"",""สุราษฎร์ธานี!I779"")"),990)</f>
        <v>990</v>
      </c>
      <c r="J779" s="152">
        <f ca="1">IFERROR(__xludf.DUMMYFUNCTION("IMPORTRANGE(""https://docs.google.com/spreadsheets/d/1kKUcYdkIfrgTSj8iHHHB2MD2FAtwyyocFgqGQn6ADyI/edit?usp=sharing"",""กระบี่!J779"")+IMPORTRANGE(""https://docs.google.com/spreadsheets/d/1GwtLaSlNZkLk7iDqcyZz22giiy40b_usZZBXYciEN1U/edit?usp=sharing"",""ชุ"&amp;"มพร!J779"")+IMPORTRANGE(""https://docs.google.com/spreadsheets/d/16pAz3pOhQEZBhvFNMa5KGgZS6iKWpsKX0pg6tQmwFpo/edit?usp=sharing"",""ตรัง!J779"")+IMPORTRANGE(""https://docs.google.com/spreadsheets/d/1Dj4jcHCTV9JXKCaMoheSXS52JE63kDKyG7bPXnFogHk/edit?usp=shar"&amp;"ing"",""นครศรีธรรมราช!J779"")+IMPORTRANGE(""https://docs.google.com/spreadsheets/d/1iodCdmuK2GR3jzUwk8tpccY2JHQQA-87DLOtJP-ooyU/edit?usp=sharing"",""นราธิวาส!J779"")+IMPORTRANGE(""https://docs.google.com/spreadsheets/d/1SDNX3JhDdYRuIOsj0Wh2M-Qa_eaXl0NbWmh"&amp;"AOTbfQAs/edit?usp=sharing"",""ปัตตานี!J779"")+IMPORTRANGE(""https://docs.google.com/spreadsheets/d/16JDLGguT8s5DsGCND1KcwHP_AWR_zDMTqLHPLJUKhaU/edit?usp=sharing"",""พังงา!J779"")+IMPORTRANGE(""https://docs.google.com/spreadsheets/d/17ht0gPKzzT3PObBL1XJkeR"&amp;"mntBXI7wGjpLV7QorqlTk/edit?usp=sharing"",""พัทลุง!J779"")+IMPORTRANGE(""https://docs.google.com/spreadsheets/d/1rd4qoM1q_hsgaolqNGfrim9gbsoLxQsda4-vOz5x_BM/edit?usp=sharing"",""ภูเก็ต!J779"")+IMPORTRANGE(""https://docs.google.com/spreadsheets/d/1woKwKjgoL"&amp;"ssDvPcPeVyezB5izizAn4X1JDrys69n6xI/edit?usp=sharing"",""ยะลา!J779"")+IMPORTRANGE(""https://docs.google.com/spreadsheets/d/1qfrKjzMhm2HJfxQ-qVlJlJQ25Hne1d0khsySbZyGtPA/edit?usp=sharing"",""ระนอง!J779"")+IMPORTRANGE(""https://docs.google.com/spreadsheets/d/"&amp;"1IbSCnFOKpZsnFogBHJnL_isstZVaOMnFiIN0fGTPZZw/edit?usp=sharing"",""สงขลา!J779"")+IMPORTRANGE(""https://docs.google.com/spreadsheets/d/1q9nWasZJ-K8bFGvbE9n0qSRuKGA4Toe3Y89cKCiVtCU/edit?usp=sharing"",""สตูล!J779"")+IMPORTRANGE(""https://docs.google.com/sprea"&amp;"dsheets/d/18T20gbkS_WBjdscyTOV05cvq_JqvqQ17C81mpxf7Ncs/edit?usp=sharing"",""สุราษฎร์ธานี!J779"")"),695)</f>
        <v>695</v>
      </c>
      <c r="K779" s="47">
        <f t="shared" ca="1" si="535"/>
        <v>70.202020202020208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217"/>
      <c r="B780" s="218" t="s">
        <v>296</v>
      </c>
      <c r="C780" s="159"/>
      <c r="D780" s="159"/>
      <c r="E780" s="41"/>
      <c r="F780" s="41"/>
      <c r="G780" s="43"/>
      <c r="H780" s="133" t="s">
        <v>14</v>
      </c>
      <c r="I780" s="152">
        <f ca="1">IFERROR(__xludf.DUMMYFUNCTION("IMPORTRANGE(""https://docs.google.com/spreadsheets/d/1kKUcYdkIfrgTSj8iHHHB2MD2FAtwyyocFgqGQn6ADyI/edit?usp=sharing"",""กระบี่!I780"")+IMPORTRANGE(""https://docs.google.com/spreadsheets/d/1GwtLaSlNZkLk7iDqcyZz22giiy40b_usZZBXYciEN1U/edit?usp=sharing"",""ชุ"&amp;"มพร!I780"")+IMPORTRANGE(""https://docs.google.com/spreadsheets/d/16pAz3pOhQEZBhvFNMa5KGgZS6iKWpsKX0pg6tQmwFpo/edit?usp=sharing"",""ตรัง!I780"")+IMPORTRANGE(""https://docs.google.com/spreadsheets/d/1Dj4jcHCTV9JXKCaMoheSXS52JE63kDKyG7bPXnFogHk/edit?usp=shar"&amp;"ing"",""นครศรีธรรมราช!I780"")+IMPORTRANGE(""https://docs.google.com/spreadsheets/d/1iodCdmuK2GR3jzUwk8tpccY2JHQQA-87DLOtJP-ooyU/edit?usp=sharing"",""นราธิวาส!I780"")+IMPORTRANGE(""https://docs.google.com/spreadsheets/d/1SDNX3JhDdYRuIOsj0Wh2M-Qa_eaXl0NbWmh"&amp;"AOTbfQAs/edit?usp=sharing"",""ปัตตานี!I780"")+IMPORTRANGE(""https://docs.google.com/spreadsheets/d/16JDLGguT8s5DsGCND1KcwHP_AWR_zDMTqLHPLJUKhaU/edit?usp=sharing"",""พังงา!I780"")+IMPORTRANGE(""https://docs.google.com/spreadsheets/d/17ht0gPKzzT3PObBL1XJkeR"&amp;"mntBXI7wGjpLV7QorqlTk/edit?usp=sharing"",""พัทลุง!I780"")+IMPORTRANGE(""https://docs.google.com/spreadsheets/d/1rd4qoM1q_hsgaolqNGfrim9gbsoLxQsda4-vOz5x_BM/edit?usp=sharing"",""ภูเก็ต!I780"")+IMPORTRANGE(""https://docs.google.com/spreadsheets/d/1woKwKjgoL"&amp;"ssDvPcPeVyezB5izizAn4X1JDrys69n6xI/edit?usp=sharing"",""ยะลา!I780"")+IMPORTRANGE(""https://docs.google.com/spreadsheets/d/1qfrKjzMhm2HJfxQ-qVlJlJQ25Hne1d0khsySbZyGtPA/edit?usp=sharing"",""ระนอง!I780"")+IMPORTRANGE(""https://docs.google.com/spreadsheets/d/"&amp;"1IbSCnFOKpZsnFogBHJnL_isstZVaOMnFiIN0fGTPZZw/edit?usp=sharing"",""สงขลา!I780"")+IMPORTRANGE(""https://docs.google.com/spreadsheets/d/1q9nWasZJ-K8bFGvbE9n0qSRuKGA4Toe3Y89cKCiVtCU/edit?usp=sharing"",""สตูล!I780"")+IMPORTRANGE(""https://docs.google.com/sprea"&amp;"dsheets/d/18T20gbkS_WBjdscyTOV05cvq_JqvqQ17C81mpxf7Ncs/edit?usp=sharing"",""สุราษฎร์ธานี!I780"")"),16492323.8899999)</f>
        <v>16492323.8899999</v>
      </c>
      <c r="J780" s="152">
        <f ca="1">IFERROR(__xludf.DUMMYFUNCTION("IMPORTRANGE(""https://docs.google.com/spreadsheets/d/1kKUcYdkIfrgTSj8iHHHB2MD2FAtwyyocFgqGQn6ADyI/edit?usp=sharing"",""กระบี่!J780"")+IMPORTRANGE(""https://docs.google.com/spreadsheets/d/1GwtLaSlNZkLk7iDqcyZz22giiy40b_usZZBXYciEN1U/edit?usp=sharing"",""ชุ"&amp;"มพร!J780"")+IMPORTRANGE(""https://docs.google.com/spreadsheets/d/16pAz3pOhQEZBhvFNMa5KGgZS6iKWpsKX0pg6tQmwFpo/edit?usp=sharing"",""ตรัง!J780"")+IMPORTRANGE(""https://docs.google.com/spreadsheets/d/1Dj4jcHCTV9JXKCaMoheSXS52JE63kDKyG7bPXnFogHk/edit?usp=shar"&amp;"ing"",""นครศรีธรรมราช!J780"")+IMPORTRANGE(""https://docs.google.com/spreadsheets/d/1iodCdmuK2GR3jzUwk8tpccY2JHQQA-87DLOtJP-ooyU/edit?usp=sharing"",""นราธิวาส!J780"")+IMPORTRANGE(""https://docs.google.com/spreadsheets/d/1SDNX3JhDdYRuIOsj0Wh2M-Qa_eaXl0NbWmh"&amp;"AOTbfQAs/edit?usp=sharing"",""ปัตตานี!J780"")+IMPORTRANGE(""https://docs.google.com/spreadsheets/d/16JDLGguT8s5DsGCND1KcwHP_AWR_zDMTqLHPLJUKhaU/edit?usp=sharing"",""พังงา!J780"")+IMPORTRANGE(""https://docs.google.com/spreadsheets/d/17ht0gPKzzT3PObBL1XJkeR"&amp;"mntBXI7wGjpLV7QorqlTk/edit?usp=sharing"",""พัทลุง!J780"")+IMPORTRANGE(""https://docs.google.com/spreadsheets/d/1rd4qoM1q_hsgaolqNGfrim9gbsoLxQsda4-vOz5x_BM/edit?usp=sharing"",""ภูเก็ต!J780"")+IMPORTRANGE(""https://docs.google.com/spreadsheets/d/1woKwKjgoL"&amp;"ssDvPcPeVyezB5izizAn4X1JDrys69n6xI/edit?usp=sharing"",""ยะลา!J780"")+IMPORTRANGE(""https://docs.google.com/spreadsheets/d/1qfrKjzMhm2HJfxQ-qVlJlJQ25Hne1d0khsySbZyGtPA/edit?usp=sharing"",""ระนอง!J780"")+IMPORTRANGE(""https://docs.google.com/spreadsheets/d/"&amp;"1IbSCnFOKpZsnFogBHJnL_isstZVaOMnFiIN0fGTPZZw/edit?usp=sharing"",""สงขลา!J780"")+IMPORTRANGE(""https://docs.google.com/spreadsheets/d/1q9nWasZJ-K8bFGvbE9n0qSRuKGA4Toe3Y89cKCiVtCU/edit?usp=sharing"",""สตูล!J780"")+IMPORTRANGE(""https://docs.google.com/sprea"&amp;"dsheets/d/18T20gbkS_WBjdscyTOV05cvq_JqvqQ17C81mpxf7Ncs/edit?usp=sharing"",""สุราษฎร์ธานี!J780"")"),2416014.3)</f>
        <v>2416014.2999999998</v>
      </c>
      <c r="K780" s="47">
        <f t="shared" ca="1" si="535"/>
        <v>14.649326050799591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217"/>
      <c r="B781" s="159"/>
      <c r="C781" s="159"/>
      <c r="D781" s="159"/>
      <c r="E781" s="41"/>
      <c r="F781" s="41"/>
      <c r="G781" s="43"/>
      <c r="H781" s="133" t="s">
        <v>35</v>
      </c>
      <c r="I781" s="152">
        <f ca="1">IFERROR(__xludf.DUMMYFUNCTION("IMPORTRANGE(""https://docs.google.com/spreadsheets/d/1kKUcYdkIfrgTSj8iHHHB2MD2FAtwyyocFgqGQn6ADyI/edit?usp=sharing"",""กระบี่!I781"")+IMPORTRANGE(""https://docs.google.com/spreadsheets/d/1GwtLaSlNZkLk7iDqcyZz22giiy40b_usZZBXYciEN1U/edit?usp=sharing"",""ชุ"&amp;"มพร!I781"")+IMPORTRANGE(""https://docs.google.com/spreadsheets/d/16pAz3pOhQEZBhvFNMa5KGgZS6iKWpsKX0pg6tQmwFpo/edit?usp=sharing"",""ตรัง!I781"")+IMPORTRANGE(""https://docs.google.com/spreadsheets/d/1Dj4jcHCTV9JXKCaMoheSXS52JE63kDKyG7bPXnFogHk/edit?usp=shar"&amp;"ing"",""นครศรีธรรมราช!I781"")+IMPORTRANGE(""https://docs.google.com/spreadsheets/d/1iodCdmuK2GR3jzUwk8tpccY2JHQQA-87DLOtJP-ooyU/edit?usp=sharing"",""นราธิวาส!I781"")+IMPORTRANGE(""https://docs.google.com/spreadsheets/d/1SDNX3JhDdYRuIOsj0Wh2M-Qa_eaXl0NbWmh"&amp;"AOTbfQAs/edit?usp=sharing"",""ปัตตานี!I781"")+IMPORTRANGE(""https://docs.google.com/spreadsheets/d/16JDLGguT8s5DsGCND1KcwHP_AWR_zDMTqLHPLJUKhaU/edit?usp=sharing"",""พังงา!I781"")+IMPORTRANGE(""https://docs.google.com/spreadsheets/d/17ht0gPKzzT3PObBL1XJkeR"&amp;"mntBXI7wGjpLV7QorqlTk/edit?usp=sharing"",""พัทลุง!I781"")+IMPORTRANGE(""https://docs.google.com/spreadsheets/d/1rd4qoM1q_hsgaolqNGfrim9gbsoLxQsda4-vOz5x_BM/edit?usp=sharing"",""ภูเก็ต!I781"")+IMPORTRANGE(""https://docs.google.com/spreadsheets/d/1woKwKjgoL"&amp;"ssDvPcPeVyezB5izizAn4X1JDrys69n6xI/edit?usp=sharing"",""ยะลา!I781"")+IMPORTRANGE(""https://docs.google.com/spreadsheets/d/1qfrKjzMhm2HJfxQ-qVlJlJQ25Hne1d0khsySbZyGtPA/edit?usp=sharing"",""ระนอง!I781"")+IMPORTRANGE(""https://docs.google.com/spreadsheets/d/"&amp;"1IbSCnFOKpZsnFogBHJnL_isstZVaOMnFiIN0fGTPZZw/edit?usp=sharing"",""สงขลา!I781"")+IMPORTRANGE(""https://docs.google.com/spreadsheets/d/1q9nWasZJ-K8bFGvbE9n0qSRuKGA4Toe3Y89cKCiVtCU/edit?usp=sharing"",""สตูล!I781"")+IMPORTRANGE(""https://docs.google.com/sprea"&amp;"dsheets/d/18T20gbkS_WBjdscyTOV05cvq_JqvqQ17C81mpxf7Ncs/edit?usp=sharing"",""สุราษฎร์ธานี!I781"")"),744)</f>
        <v>744</v>
      </c>
      <c r="J781" s="152">
        <f ca="1">IFERROR(__xludf.DUMMYFUNCTION("IMPORTRANGE(""https://docs.google.com/spreadsheets/d/1kKUcYdkIfrgTSj8iHHHB2MD2FAtwyyocFgqGQn6ADyI/edit?usp=sharing"",""กระบี่!J781"")+IMPORTRANGE(""https://docs.google.com/spreadsheets/d/1GwtLaSlNZkLk7iDqcyZz22giiy40b_usZZBXYciEN1U/edit?usp=sharing"",""ชุ"&amp;"มพร!J781"")+IMPORTRANGE(""https://docs.google.com/spreadsheets/d/16pAz3pOhQEZBhvFNMa5KGgZS6iKWpsKX0pg6tQmwFpo/edit?usp=sharing"",""ตรัง!J781"")+IMPORTRANGE(""https://docs.google.com/spreadsheets/d/1Dj4jcHCTV9JXKCaMoheSXS52JE63kDKyG7bPXnFogHk/edit?usp=shar"&amp;"ing"",""นครศรีธรรมราช!J781"")+IMPORTRANGE(""https://docs.google.com/spreadsheets/d/1iodCdmuK2GR3jzUwk8tpccY2JHQQA-87DLOtJP-ooyU/edit?usp=sharing"",""นราธิวาส!J781"")+IMPORTRANGE(""https://docs.google.com/spreadsheets/d/1SDNX3JhDdYRuIOsj0Wh2M-Qa_eaXl0NbWmh"&amp;"AOTbfQAs/edit?usp=sharing"",""ปัตตานี!J781"")+IMPORTRANGE(""https://docs.google.com/spreadsheets/d/16JDLGguT8s5DsGCND1KcwHP_AWR_zDMTqLHPLJUKhaU/edit?usp=sharing"",""พังงา!J781"")+IMPORTRANGE(""https://docs.google.com/spreadsheets/d/17ht0gPKzzT3PObBL1XJkeR"&amp;"mntBXI7wGjpLV7QorqlTk/edit?usp=sharing"",""พัทลุง!J781"")+IMPORTRANGE(""https://docs.google.com/spreadsheets/d/1rd4qoM1q_hsgaolqNGfrim9gbsoLxQsda4-vOz5x_BM/edit?usp=sharing"",""ภูเก็ต!J781"")+IMPORTRANGE(""https://docs.google.com/spreadsheets/d/1woKwKjgoL"&amp;"ssDvPcPeVyezB5izizAn4X1JDrys69n6xI/edit?usp=sharing"",""ยะลา!J781"")+IMPORTRANGE(""https://docs.google.com/spreadsheets/d/1qfrKjzMhm2HJfxQ-qVlJlJQ25Hne1d0khsySbZyGtPA/edit?usp=sharing"",""ระนอง!J781"")+IMPORTRANGE(""https://docs.google.com/spreadsheets/d/"&amp;"1IbSCnFOKpZsnFogBHJnL_isstZVaOMnFiIN0fGTPZZw/edit?usp=sharing"",""สงขลา!J781"")+IMPORTRANGE(""https://docs.google.com/spreadsheets/d/1q9nWasZJ-K8bFGvbE9n0qSRuKGA4Toe3Y89cKCiVtCU/edit?usp=sharing"",""สตูล!J781"")+IMPORTRANGE(""https://docs.google.com/sprea"&amp;"dsheets/d/18T20gbkS_WBjdscyTOV05cvq_JqvqQ17C81mpxf7Ncs/edit?usp=sharing"",""สุราษฎร์ธานี!J781"")"),415)</f>
        <v>415</v>
      </c>
      <c r="K781" s="47">
        <f t="shared" ca="1" si="535"/>
        <v>55.77956989247312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217"/>
      <c r="B782" s="218" t="s">
        <v>297</v>
      </c>
      <c r="C782" s="159"/>
      <c r="D782" s="159"/>
      <c r="E782" s="41"/>
      <c r="F782" s="41"/>
      <c r="G782" s="43"/>
      <c r="H782" s="133" t="s">
        <v>14</v>
      </c>
      <c r="I782" s="152">
        <f ca="1">IFERROR(__xludf.DUMMYFUNCTION("IMPORTRANGE(""https://docs.google.com/spreadsheets/d/1kKUcYdkIfrgTSj8iHHHB2MD2FAtwyyocFgqGQn6ADyI/edit?usp=sharing"",""กระบี่!I782"")+IMPORTRANGE(""https://docs.google.com/spreadsheets/d/1GwtLaSlNZkLk7iDqcyZz22giiy40b_usZZBXYciEN1U/edit?usp=sharing"",""ชุ"&amp;"มพร!I782"")+IMPORTRANGE(""https://docs.google.com/spreadsheets/d/16pAz3pOhQEZBhvFNMa5KGgZS6iKWpsKX0pg6tQmwFpo/edit?usp=sharing"",""ตรัง!I782"")+IMPORTRANGE(""https://docs.google.com/spreadsheets/d/1Dj4jcHCTV9JXKCaMoheSXS52JE63kDKyG7bPXnFogHk/edit?usp=shar"&amp;"ing"",""นครศรีธรรมราช!I782"")+IMPORTRANGE(""https://docs.google.com/spreadsheets/d/1iodCdmuK2GR3jzUwk8tpccY2JHQQA-87DLOtJP-ooyU/edit?usp=sharing"",""นราธิวาส!I782"")+IMPORTRANGE(""https://docs.google.com/spreadsheets/d/1SDNX3JhDdYRuIOsj0Wh2M-Qa_eaXl0NbWmh"&amp;"AOTbfQAs/edit?usp=sharing"",""ปัตตานี!I782"")+IMPORTRANGE(""https://docs.google.com/spreadsheets/d/16JDLGguT8s5DsGCND1KcwHP_AWR_zDMTqLHPLJUKhaU/edit?usp=sharing"",""พังงา!I782"")+IMPORTRANGE(""https://docs.google.com/spreadsheets/d/17ht0gPKzzT3PObBL1XJkeR"&amp;"mntBXI7wGjpLV7QorqlTk/edit?usp=sharing"",""พัทลุง!I782"")+IMPORTRANGE(""https://docs.google.com/spreadsheets/d/1rd4qoM1q_hsgaolqNGfrim9gbsoLxQsda4-vOz5x_BM/edit?usp=sharing"",""ภูเก็ต!I782"")+IMPORTRANGE(""https://docs.google.com/spreadsheets/d/1woKwKjgoL"&amp;"ssDvPcPeVyezB5izizAn4X1JDrys69n6xI/edit?usp=sharing"",""ยะลา!I782"")+IMPORTRANGE(""https://docs.google.com/spreadsheets/d/1qfrKjzMhm2HJfxQ-qVlJlJQ25Hne1d0khsySbZyGtPA/edit?usp=sharing"",""ระนอง!I782"")+IMPORTRANGE(""https://docs.google.com/spreadsheets/d/"&amp;"1IbSCnFOKpZsnFogBHJnL_isstZVaOMnFiIN0fGTPZZw/edit?usp=sharing"",""สงขลา!I782"")+IMPORTRANGE(""https://docs.google.com/spreadsheets/d/1q9nWasZJ-K8bFGvbE9n0qSRuKGA4Toe3Y89cKCiVtCU/edit?usp=sharing"",""สตูล!I782"")+IMPORTRANGE(""https://docs.google.com/sprea"&amp;"dsheets/d/18T20gbkS_WBjdscyTOV05cvq_JqvqQ17C81mpxf7Ncs/edit?usp=sharing"",""สุราษฎร์ธานี!I782"")"),345580.37)</f>
        <v>345580.37</v>
      </c>
      <c r="J782" s="152">
        <f ca="1">IFERROR(__xludf.DUMMYFUNCTION("IMPORTRANGE(""https://docs.google.com/spreadsheets/d/1kKUcYdkIfrgTSj8iHHHB2MD2FAtwyyocFgqGQn6ADyI/edit?usp=sharing"",""กระบี่!J782"")+IMPORTRANGE(""https://docs.google.com/spreadsheets/d/1GwtLaSlNZkLk7iDqcyZz22giiy40b_usZZBXYciEN1U/edit?usp=sharing"",""ชุ"&amp;"มพร!J782"")+IMPORTRANGE(""https://docs.google.com/spreadsheets/d/16pAz3pOhQEZBhvFNMa5KGgZS6iKWpsKX0pg6tQmwFpo/edit?usp=sharing"",""ตรัง!J782"")+IMPORTRANGE(""https://docs.google.com/spreadsheets/d/1Dj4jcHCTV9JXKCaMoheSXS52JE63kDKyG7bPXnFogHk/edit?usp=shar"&amp;"ing"",""นครศรีธรรมราช!J782"")+IMPORTRANGE(""https://docs.google.com/spreadsheets/d/1iodCdmuK2GR3jzUwk8tpccY2JHQQA-87DLOtJP-ooyU/edit?usp=sharing"",""นราธิวาส!J782"")+IMPORTRANGE(""https://docs.google.com/spreadsheets/d/1SDNX3JhDdYRuIOsj0Wh2M-Qa_eaXl0NbWmh"&amp;"AOTbfQAs/edit?usp=sharing"",""ปัตตานี!J782"")+IMPORTRANGE(""https://docs.google.com/spreadsheets/d/16JDLGguT8s5DsGCND1KcwHP_AWR_zDMTqLHPLJUKhaU/edit?usp=sharing"",""พังงา!J782"")+IMPORTRANGE(""https://docs.google.com/spreadsheets/d/17ht0gPKzzT3PObBL1XJkeR"&amp;"mntBXI7wGjpLV7QorqlTk/edit?usp=sharing"",""พัทลุง!J782"")+IMPORTRANGE(""https://docs.google.com/spreadsheets/d/1rd4qoM1q_hsgaolqNGfrim9gbsoLxQsda4-vOz5x_BM/edit?usp=sharing"",""ภูเก็ต!J782"")+IMPORTRANGE(""https://docs.google.com/spreadsheets/d/1woKwKjgoL"&amp;"ssDvPcPeVyezB5izizAn4X1JDrys69n6xI/edit?usp=sharing"",""ยะลา!J782"")+IMPORTRANGE(""https://docs.google.com/spreadsheets/d/1qfrKjzMhm2HJfxQ-qVlJlJQ25Hne1d0khsySbZyGtPA/edit?usp=sharing"",""ระนอง!J782"")+IMPORTRANGE(""https://docs.google.com/spreadsheets/d/"&amp;"1IbSCnFOKpZsnFogBHJnL_isstZVaOMnFiIN0fGTPZZw/edit?usp=sharing"",""สงขลา!J782"")+IMPORTRANGE(""https://docs.google.com/spreadsheets/d/1q9nWasZJ-K8bFGvbE9n0qSRuKGA4Toe3Y89cKCiVtCU/edit?usp=sharing"",""สตูล!J782"")+IMPORTRANGE(""https://docs.google.com/sprea"&amp;"dsheets/d/18T20gbkS_WBjdscyTOV05cvq_JqvqQ17C81mpxf7Ncs/edit?usp=sharing"",""สุราษฎร์ธานี!J782"")"),148305.32)</f>
        <v>148305.32</v>
      </c>
      <c r="K782" s="47">
        <f t="shared" ca="1" si="535"/>
        <v>42.914856535398698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217"/>
      <c r="B783" s="159"/>
      <c r="C783" s="159"/>
      <c r="D783" s="159"/>
      <c r="E783" s="41"/>
      <c r="F783" s="41"/>
      <c r="G783" s="43"/>
      <c r="H783" s="133" t="s">
        <v>35</v>
      </c>
      <c r="I783" s="152">
        <f ca="1">IFERROR(__xludf.DUMMYFUNCTION("IMPORTRANGE(""https://docs.google.com/spreadsheets/d/1kKUcYdkIfrgTSj8iHHHB2MD2FAtwyyocFgqGQn6ADyI/edit?usp=sharing"",""กระบี่!I783"")+IMPORTRANGE(""https://docs.google.com/spreadsheets/d/1GwtLaSlNZkLk7iDqcyZz22giiy40b_usZZBXYciEN1U/edit?usp=sharing"",""ชุ"&amp;"มพร!I783"")+IMPORTRANGE(""https://docs.google.com/spreadsheets/d/16pAz3pOhQEZBhvFNMa5KGgZS6iKWpsKX0pg6tQmwFpo/edit?usp=sharing"",""ตรัง!I783"")+IMPORTRANGE(""https://docs.google.com/spreadsheets/d/1Dj4jcHCTV9JXKCaMoheSXS52JE63kDKyG7bPXnFogHk/edit?usp=shar"&amp;"ing"",""นครศรีธรรมราช!I783"")+IMPORTRANGE(""https://docs.google.com/spreadsheets/d/1iodCdmuK2GR3jzUwk8tpccY2JHQQA-87DLOtJP-ooyU/edit?usp=sharing"",""นราธิวาส!I783"")+IMPORTRANGE(""https://docs.google.com/spreadsheets/d/1SDNX3JhDdYRuIOsj0Wh2M-Qa_eaXl0NbWmh"&amp;"AOTbfQAs/edit?usp=sharing"",""ปัตตานี!I783"")+IMPORTRANGE(""https://docs.google.com/spreadsheets/d/16JDLGguT8s5DsGCND1KcwHP_AWR_zDMTqLHPLJUKhaU/edit?usp=sharing"",""พังงา!I783"")+IMPORTRANGE(""https://docs.google.com/spreadsheets/d/17ht0gPKzzT3PObBL1XJkeR"&amp;"mntBXI7wGjpLV7QorqlTk/edit?usp=sharing"",""พัทลุง!I783"")+IMPORTRANGE(""https://docs.google.com/spreadsheets/d/1rd4qoM1q_hsgaolqNGfrim9gbsoLxQsda4-vOz5x_BM/edit?usp=sharing"",""ภูเก็ต!I783"")+IMPORTRANGE(""https://docs.google.com/spreadsheets/d/1woKwKjgoL"&amp;"ssDvPcPeVyezB5izizAn4X1JDrys69n6xI/edit?usp=sharing"",""ยะลา!I783"")+IMPORTRANGE(""https://docs.google.com/spreadsheets/d/1qfrKjzMhm2HJfxQ-qVlJlJQ25Hne1d0khsySbZyGtPA/edit?usp=sharing"",""ระนอง!I783"")+IMPORTRANGE(""https://docs.google.com/spreadsheets/d/"&amp;"1IbSCnFOKpZsnFogBHJnL_isstZVaOMnFiIN0fGTPZZw/edit?usp=sharing"",""สงขลา!I783"")+IMPORTRANGE(""https://docs.google.com/spreadsheets/d/1q9nWasZJ-K8bFGvbE9n0qSRuKGA4Toe3Y89cKCiVtCU/edit?usp=sharing"",""สตูล!I783"")+IMPORTRANGE(""https://docs.google.com/sprea"&amp;"dsheets/d/18T20gbkS_WBjdscyTOV05cvq_JqvqQ17C81mpxf7Ncs/edit?usp=sharing"",""สุราษฎร์ธานี!I783"")"),552)</f>
        <v>552</v>
      </c>
      <c r="J783" s="152">
        <f ca="1">IFERROR(__xludf.DUMMYFUNCTION("IMPORTRANGE(""https://docs.google.com/spreadsheets/d/1kKUcYdkIfrgTSj8iHHHB2MD2FAtwyyocFgqGQn6ADyI/edit?usp=sharing"",""กระบี่!J783"")+IMPORTRANGE(""https://docs.google.com/spreadsheets/d/1GwtLaSlNZkLk7iDqcyZz22giiy40b_usZZBXYciEN1U/edit?usp=sharing"",""ชุ"&amp;"มพร!J783"")+IMPORTRANGE(""https://docs.google.com/spreadsheets/d/16pAz3pOhQEZBhvFNMa5KGgZS6iKWpsKX0pg6tQmwFpo/edit?usp=sharing"",""ตรัง!J783"")+IMPORTRANGE(""https://docs.google.com/spreadsheets/d/1Dj4jcHCTV9JXKCaMoheSXS52JE63kDKyG7bPXnFogHk/edit?usp=shar"&amp;"ing"",""นครศรีธรรมราช!J783"")+IMPORTRANGE(""https://docs.google.com/spreadsheets/d/1iodCdmuK2GR3jzUwk8tpccY2JHQQA-87DLOtJP-ooyU/edit?usp=sharing"",""นราธิวาส!J783"")+IMPORTRANGE(""https://docs.google.com/spreadsheets/d/1SDNX3JhDdYRuIOsj0Wh2M-Qa_eaXl0NbWmh"&amp;"AOTbfQAs/edit?usp=sharing"",""ปัตตานี!J783"")+IMPORTRANGE(""https://docs.google.com/spreadsheets/d/16JDLGguT8s5DsGCND1KcwHP_AWR_zDMTqLHPLJUKhaU/edit?usp=sharing"",""พังงา!J783"")+IMPORTRANGE(""https://docs.google.com/spreadsheets/d/17ht0gPKzzT3PObBL1XJkeR"&amp;"mntBXI7wGjpLV7QorqlTk/edit?usp=sharing"",""พัทลุง!J783"")+IMPORTRANGE(""https://docs.google.com/spreadsheets/d/1rd4qoM1q_hsgaolqNGfrim9gbsoLxQsda4-vOz5x_BM/edit?usp=sharing"",""ภูเก็ต!J783"")+IMPORTRANGE(""https://docs.google.com/spreadsheets/d/1woKwKjgoL"&amp;"ssDvPcPeVyezB5izizAn4X1JDrys69n6xI/edit?usp=sharing"",""ยะลา!J783"")+IMPORTRANGE(""https://docs.google.com/spreadsheets/d/1qfrKjzMhm2HJfxQ-qVlJlJQ25Hne1d0khsySbZyGtPA/edit?usp=sharing"",""ระนอง!J783"")+IMPORTRANGE(""https://docs.google.com/spreadsheets/d/"&amp;"1IbSCnFOKpZsnFogBHJnL_isstZVaOMnFiIN0fGTPZZw/edit?usp=sharing"",""สงขลา!J783"")+IMPORTRANGE(""https://docs.google.com/spreadsheets/d/1q9nWasZJ-K8bFGvbE9n0qSRuKGA4Toe3Y89cKCiVtCU/edit?usp=sharing"",""สตูล!J783"")+IMPORTRANGE(""https://docs.google.com/sprea"&amp;"dsheets/d/18T20gbkS_WBjdscyTOV05cvq_JqvqQ17C81mpxf7Ncs/edit?usp=sharing"",""สุราษฎร์ธานี!J783"")"),204)</f>
        <v>204</v>
      </c>
      <c r="K783" s="47">
        <f t="shared" ca="1" si="535"/>
        <v>36.956521739130437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217"/>
      <c r="B784" s="218" t="s">
        <v>298</v>
      </c>
      <c r="C784" s="159"/>
      <c r="D784" s="159"/>
      <c r="E784" s="41"/>
      <c r="F784" s="41"/>
      <c r="G784" s="43"/>
      <c r="H784" s="133" t="s">
        <v>14</v>
      </c>
      <c r="I784" s="152">
        <f ca="1">IFERROR(__xludf.DUMMYFUNCTION("IMPORTRANGE(""https://docs.google.com/spreadsheets/d/1kKUcYdkIfrgTSj8iHHHB2MD2FAtwyyocFgqGQn6ADyI/edit?usp=sharing"",""กระบี่!I784"")+IMPORTRANGE(""https://docs.google.com/spreadsheets/d/1GwtLaSlNZkLk7iDqcyZz22giiy40b_usZZBXYciEN1U/edit?usp=sharing"",""ชุ"&amp;"มพร!I784"")+IMPORTRANGE(""https://docs.google.com/spreadsheets/d/16pAz3pOhQEZBhvFNMa5KGgZS6iKWpsKX0pg6tQmwFpo/edit?usp=sharing"",""ตรัง!I784"")+IMPORTRANGE(""https://docs.google.com/spreadsheets/d/1Dj4jcHCTV9JXKCaMoheSXS52JE63kDKyG7bPXnFogHk/edit?usp=shar"&amp;"ing"",""นครศรีธรรมราช!I784"")+IMPORTRANGE(""https://docs.google.com/spreadsheets/d/1iodCdmuK2GR3jzUwk8tpccY2JHQQA-87DLOtJP-ooyU/edit?usp=sharing"",""นราธิวาส!I784"")+IMPORTRANGE(""https://docs.google.com/spreadsheets/d/1SDNX3JhDdYRuIOsj0Wh2M-Qa_eaXl0NbWmh"&amp;"AOTbfQAs/edit?usp=sharing"",""ปัตตานี!I784"")+IMPORTRANGE(""https://docs.google.com/spreadsheets/d/16JDLGguT8s5DsGCND1KcwHP_AWR_zDMTqLHPLJUKhaU/edit?usp=sharing"",""พังงา!I784"")+IMPORTRANGE(""https://docs.google.com/spreadsheets/d/17ht0gPKzzT3PObBL1XJkeR"&amp;"mntBXI7wGjpLV7QorqlTk/edit?usp=sharing"",""พัทลุง!I784"")+IMPORTRANGE(""https://docs.google.com/spreadsheets/d/1rd4qoM1q_hsgaolqNGfrim9gbsoLxQsda4-vOz5x_BM/edit?usp=sharing"",""ภูเก็ต!I784"")+IMPORTRANGE(""https://docs.google.com/spreadsheets/d/1woKwKjgoL"&amp;"ssDvPcPeVyezB5izizAn4X1JDrys69n6xI/edit?usp=sharing"",""ยะลา!I784"")+IMPORTRANGE(""https://docs.google.com/spreadsheets/d/1qfrKjzMhm2HJfxQ-qVlJlJQ25Hne1d0khsySbZyGtPA/edit?usp=sharing"",""ระนอง!I784"")+IMPORTRANGE(""https://docs.google.com/spreadsheets/d/"&amp;"1IbSCnFOKpZsnFogBHJnL_isstZVaOMnFiIN0fGTPZZw/edit?usp=sharing"",""สงขลา!I784"")+IMPORTRANGE(""https://docs.google.com/spreadsheets/d/1q9nWasZJ-K8bFGvbE9n0qSRuKGA4Toe3Y89cKCiVtCU/edit?usp=sharing"",""สตูล!I784"")+IMPORTRANGE(""https://docs.google.com/sprea"&amp;"dsheets/d/18T20gbkS_WBjdscyTOV05cvq_JqvqQ17C81mpxf7Ncs/edit?usp=sharing"",""สุราษฎร์ธานี!I784"")"),21560000)</f>
        <v>21560000</v>
      </c>
      <c r="J784" s="152">
        <f ca="1">IFERROR(__xludf.DUMMYFUNCTION("IMPORTRANGE(""https://docs.google.com/spreadsheets/d/1kKUcYdkIfrgTSj8iHHHB2MD2FAtwyyocFgqGQn6ADyI/edit?usp=sharing"",""กระบี่!J784"")+IMPORTRANGE(""https://docs.google.com/spreadsheets/d/1GwtLaSlNZkLk7iDqcyZz22giiy40b_usZZBXYciEN1U/edit?usp=sharing"",""ชุ"&amp;"มพร!J784"")+IMPORTRANGE(""https://docs.google.com/spreadsheets/d/16pAz3pOhQEZBhvFNMa5KGgZS6iKWpsKX0pg6tQmwFpo/edit?usp=sharing"",""ตรัง!J784"")+IMPORTRANGE(""https://docs.google.com/spreadsheets/d/1Dj4jcHCTV9JXKCaMoheSXS52JE63kDKyG7bPXnFogHk/edit?usp=shar"&amp;"ing"",""นครศรีธรรมราช!J784"")+IMPORTRANGE(""https://docs.google.com/spreadsheets/d/1iodCdmuK2GR3jzUwk8tpccY2JHQQA-87DLOtJP-ooyU/edit?usp=sharing"",""นราธิวาส!J784"")+IMPORTRANGE(""https://docs.google.com/spreadsheets/d/1SDNX3JhDdYRuIOsj0Wh2M-Qa_eaXl0NbWmh"&amp;"AOTbfQAs/edit?usp=sharing"",""ปัตตานี!J784"")+IMPORTRANGE(""https://docs.google.com/spreadsheets/d/16JDLGguT8s5DsGCND1KcwHP_AWR_zDMTqLHPLJUKhaU/edit?usp=sharing"",""พังงา!J784"")+IMPORTRANGE(""https://docs.google.com/spreadsheets/d/17ht0gPKzzT3PObBL1XJkeR"&amp;"mntBXI7wGjpLV7QorqlTk/edit?usp=sharing"",""พัทลุง!J784"")+IMPORTRANGE(""https://docs.google.com/spreadsheets/d/1rd4qoM1q_hsgaolqNGfrim9gbsoLxQsda4-vOz5x_BM/edit?usp=sharing"",""ภูเก็ต!J784"")+IMPORTRANGE(""https://docs.google.com/spreadsheets/d/1woKwKjgoL"&amp;"ssDvPcPeVyezB5izizAn4X1JDrys69n6xI/edit?usp=sharing"",""ยะลา!J784"")+IMPORTRANGE(""https://docs.google.com/spreadsheets/d/1qfrKjzMhm2HJfxQ-qVlJlJQ25Hne1d0khsySbZyGtPA/edit?usp=sharing"",""ระนอง!J784"")+IMPORTRANGE(""https://docs.google.com/spreadsheets/d/"&amp;"1IbSCnFOKpZsnFogBHJnL_isstZVaOMnFiIN0fGTPZZw/edit?usp=sharing"",""สงขลา!J784"")+IMPORTRANGE(""https://docs.google.com/spreadsheets/d/1q9nWasZJ-K8bFGvbE9n0qSRuKGA4Toe3Y89cKCiVtCU/edit?usp=sharing"",""สตูล!J784"")+IMPORTRANGE(""https://docs.google.com/sprea"&amp;"dsheets/d/18T20gbkS_WBjdscyTOV05cvq_JqvqQ17C81mpxf7Ncs/edit?usp=sharing"",""สุราษฎร์ธานี!J784"")"),13639400)</f>
        <v>13639400</v>
      </c>
      <c r="K784" s="47">
        <f t="shared" ca="1" si="535"/>
        <v>63.262523191094623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350"/>
      <c r="B785" s="3"/>
      <c r="C785" s="3"/>
      <c r="D785" s="3"/>
      <c r="E785" s="1"/>
      <c r="F785" s="1"/>
      <c r="G785" s="53"/>
      <c r="H785" s="352" t="s">
        <v>35</v>
      </c>
      <c r="I785" s="197">
        <f ca="1">IFERROR(__xludf.DUMMYFUNCTION("IMPORTRANGE(""https://docs.google.com/spreadsheets/d/1kKUcYdkIfrgTSj8iHHHB2MD2FAtwyyocFgqGQn6ADyI/edit?usp=sharing"",""กระบี่!I785"")+IMPORTRANGE(""https://docs.google.com/spreadsheets/d/1GwtLaSlNZkLk7iDqcyZz22giiy40b_usZZBXYciEN1U/edit?usp=sharing"",""ชุ"&amp;"มพร!I785"")+IMPORTRANGE(""https://docs.google.com/spreadsheets/d/16pAz3pOhQEZBhvFNMa5KGgZS6iKWpsKX0pg6tQmwFpo/edit?usp=sharing"",""ตรัง!I785"")+IMPORTRANGE(""https://docs.google.com/spreadsheets/d/1Dj4jcHCTV9JXKCaMoheSXS52JE63kDKyG7bPXnFogHk/edit?usp=shar"&amp;"ing"",""นครศรีธรรมราช!I785"")+IMPORTRANGE(""https://docs.google.com/spreadsheets/d/1iodCdmuK2GR3jzUwk8tpccY2JHQQA-87DLOtJP-ooyU/edit?usp=sharing"",""นราธิวาส!I785"")+IMPORTRANGE(""https://docs.google.com/spreadsheets/d/1SDNX3JhDdYRuIOsj0Wh2M-Qa_eaXl0NbWmh"&amp;"AOTbfQAs/edit?usp=sharing"",""ปัตตานี!I785"")+IMPORTRANGE(""https://docs.google.com/spreadsheets/d/16JDLGguT8s5DsGCND1KcwHP_AWR_zDMTqLHPLJUKhaU/edit?usp=sharing"",""พังงา!I785"")+IMPORTRANGE(""https://docs.google.com/spreadsheets/d/17ht0gPKzzT3PObBL1XJkeR"&amp;"mntBXI7wGjpLV7QorqlTk/edit?usp=sharing"",""พัทลุง!I785"")+IMPORTRANGE(""https://docs.google.com/spreadsheets/d/1rd4qoM1q_hsgaolqNGfrim9gbsoLxQsda4-vOz5x_BM/edit?usp=sharing"",""ภูเก็ต!I785"")+IMPORTRANGE(""https://docs.google.com/spreadsheets/d/1woKwKjgoL"&amp;"ssDvPcPeVyezB5izizAn4X1JDrys69n6xI/edit?usp=sharing"",""ยะลา!I785"")+IMPORTRANGE(""https://docs.google.com/spreadsheets/d/1qfrKjzMhm2HJfxQ-qVlJlJQ25Hne1d0khsySbZyGtPA/edit?usp=sharing"",""ระนอง!I785"")+IMPORTRANGE(""https://docs.google.com/spreadsheets/d/"&amp;"1IbSCnFOKpZsnFogBHJnL_isstZVaOMnFiIN0fGTPZZw/edit?usp=sharing"",""สงขลา!I785"")+IMPORTRANGE(""https://docs.google.com/spreadsheets/d/1q9nWasZJ-K8bFGvbE9n0qSRuKGA4Toe3Y89cKCiVtCU/edit?usp=sharing"",""สตูล!I785"")+IMPORTRANGE(""https://docs.google.com/sprea"&amp;"dsheets/d/18T20gbkS_WBjdscyTOV05cvq_JqvqQ17C81mpxf7Ncs/edit?usp=sharing"",""สุราษฎร์ธานี!I785"")"),770)</f>
        <v>770</v>
      </c>
      <c r="J785" s="197">
        <f ca="1">IFERROR(__xludf.DUMMYFUNCTION("IMPORTRANGE(""https://docs.google.com/spreadsheets/d/1kKUcYdkIfrgTSj8iHHHB2MD2FAtwyyocFgqGQn6ADyI/edit?usp=sharing"",""กระบี่!J785"")+IMPORTRANGE(""https://docs.google.com/spreadsheets/d/1GwtLaSlNZkLk7iDqcyZz22giiy40b_usZZBXYciEN1U/edit?usp=sharing"",""ชุ"&amp;"มพร!J785"")+IMPORTRANGE(""https://docs.google.com/spreadsheets/d/16pAz3pOhQEZBhvFNMa5KGgZS6iKWpsKX0pg6tQmwFpo/edit?usp=sharing"",""ตรัง!J785"")+IMPORTRANGE(""https://docs.google.com/spreadsheets/d/1Dj4jcHCTV9JXKCaMoheSXS52JE63kDKyG7bPXnFogHk/edit?usp=shar"&amp;"ing"",""นครศรีธรรมราช!J785"")+IMPORTRANGE(""https://docs.google.com/spreadsheets/d/1iodCdmuK2GR3jzUwk8tpccY2JHQQA-87DLOtJP-ooyU/edit?usp=sharing"",""นราธิวาส!J785"")+IMPORTRANGE(""https://docs.google.com/spreadsheets/d/1SDNX3JhDdYRuIOsj0Wh2M-Qa_eaXl0NbWmh"&amp;"AOTbfQAs/edit?usp=sharing"",""ปัตตานี!J785"")+IMPORTRANGE(""https://docs.google.com/spreadsheets/d/16JDLGguT8s5DsGCND1KcwHP_AWR_zDMTqLHPLJUKhaU/edit?usp=sharing"",""พังงา!J785"")+IMPORTRANGE(""https://docs.google.com/spreadsheets/d/17ht0gPKzzT3PObBL1XJkeR"&amp;"mntBXI7wGjpLV7QorqlTk/edit?usp=sharing"",""พัทลุง!J785"")+IMPORTRANGE(""https://docs.google.com/spreadsheets/d/1rd4qoM1q_hsgaolqNGfrim9gbsoLxQsda4-vOz5x_BM/edit?usp=sharing"",""ภูเก็ต!J785"")+IMPORTRANGE(""https://docs.google.com/spreadsheets/d/1woKwKjgoL"&amp;"ssDvPcPeVyezB5izizAn4X1JDrys69n6xI/edit?usp=sharing"",""ยะลา!J785"")+IMPORTRANGE(""https://docs.google.com/spreadsheets/d/1qfrKjzMhm2HJfxQ-qVlJlJQ25Hne1d0khsySbZyGtPA/edit?usp=sharing"",""ระนอง!J785"")+IMPORTRANGE(""https://docs.google.com/spreadsheets/d/"&amp;"1IbSCnFOKpZsnFogBHJnL_isstZVaOMnFiIN0fGTPZZw/edit?usp=sharing"",""สงขลา!J785"")+IMPORTRANGE(""https://docs.google.com/spreadsheets/d/1q9nWasZJ-K8bFGvbE9n0qSRuKGA4Toe3Y89cKCiVtCU/edit?usp=sharing"",""สตูล!J785"")+IMPORTRANGE(""https://docs.google.com/sprea"&amp;"dsheets/d/18T20gbkS_WBjdscyTOV05cvq_JqvqQ17C81mpxf7Ncs/edit?usp=sharing"",""สุราษฎร์ธานี!J785"")"),311)</f>
        <v>311</v>
      </c>
      <c r="K785" s="111">
        <f t="shared" ca="1" si="535"/>
        <v>40.38961038961039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513"/>
      <c r="B786" s="513"/>
      <c r="C786" s="513"/>
      <c r="D786" s="513"/>
      <c r="E786" s="166"/>
      <c r="F786" s="166"/>
      <c r="G786" s="166"/>
      <c r="H786" s="513"/>
      <c r="I786" s="514"/>
      <c r="J786" s="514"/>
      <c r="K786" s="515"/>
      <c r="L786" s="515"/>
      <c r="M786" s="515"/>
      <c r="N786" s="515"/>
      <c r="O786" s="515"/>
      <c r="P786" s="515"/>
      <c r="Q786" s="515"/>
      <c r="R786" s="515"/>
      <c r="S786" s="515"/>
      <c r="T786" s="515"/>
      <c r="U786" s="515"/>
    </row>
    <row r="787" spans="1:21" ht="16.5" x14ac:dyDescent="0.25">
      <c r="A787" s="516" t="s">
        <v>299</v>
      </c>
      <c r="B787" s="513"/>
      <c r="C787" s="513"/>
      <c r="D787" s="513"/>
      <c r="E787" s="166"/>
      <c r="F787" s="166"/>
      <c r="G787" s="166"/>
      <c r="H787" s="513"/>
      <c r="I787" s="514"/>
      <c r="J787" s="514"/>
      <c r="K787" s="515"/>
      <c r="L787" s="515"/>
      <c r="M787" s="515"/>
      <c r="N787" s="515"/>
      <c r="O787" s="515"/>
      <c r="P787" s="515"/>
      <c r="Q787" s="515"/>
      <c r="R787" s="515"/>
      <c r="S787" s="515"/>
      <c r="T787" s="515"/>
      <c r="U787" s="515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513"/>
      <c r="C788" s="513"/>
      <c r="D788" s="513"/>
      <c r="E788" s="166"/>
      <c r="F788" s="166"/>
      <c r="G788" s="166"/>
      <c r="H788" s="513"/>
      <c r="I788" s="514"/>
      <c r="J788" s="514"/>
      <c r="K788" s="515"/>
      <c r="L788" s="515"/>
      <c r="M788" s="515"/>
      <c r="N788" s="515"/>
      <c r="O788" s="515"/>
      <c r="P788" s="515"/>
      <c r="Q788" s="515"/>
      <c r="R788" s="515"/>
      <c r="S788" s="515"/>
      <c r="T788" s="515"/>
      <c r="U788" s="515"/>
    </row>
    <row r="789" spans="1:21" ht="16.5" x14ac:dyDescent="0.25">
      <c r="A789" s="516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 xml:space="preserve"> 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513"/>
      <c r="C789" s="513"/>
      <c r="D789" s="513"/>
      <c r="E789" s="166"/>
      <c r="F789" s="166"/>
      <c r="G789" s="166"/>
      <c r="H789" s="513"/>
      <c r="I789" s="514"/>
      <c r="J789" s="514"/>
      <c r="K789" s="515"/>
      <c r="L789" s="515"/>
      <c r="M789" s="515"/>
      <c r="N789" s="515"/>
      <c r="O789" s="515"/>
      <c r="P789" s="515"/>
      <c r="Q789" s="515"/>
      <c r="R789" s="515"/>
      <c r="S789" s="515"/>
      <c r="T789" s="515"/>
      <c r="U789" s="515"/>
    </row>
  </sheetData>
  <mergeCells count="25">
    <mergeCell ref="D714:G714"/>
    <mergeCell ref="D728:G728"/>
    <mergeCell ref="D760:G760"/>
    <mergeCell ref="A5:G6"/>
    <mergeCell ref="A7:G7"/>
    <mergeCell ref="A17:G17"/>
    <mergeCell ref="A30:G30"/>
    <mergeCell ref="A56:G56"/>
    <mergeCell ref="B57:G57"/>
    <mergeCell ref="D413:G413"/>
    <mergeCell ref="D493:F493"/>
    <mergeCell ref="D599:G599"/>
    <mergeCell ref="D616:G616"/>
    <mergeCell ref="D642:G642"/>
    <mergeCell ref="D690:G690"/>
    <mergeCell ref="N5:P5"/>
    <mergeCell ref="Q5:R5"/>
    <mergeCell ref="L4:P4"/>
    <mergeCell ref="Q4:U4"/>
    <mergeCell ref="I5:K5"/>
    <mergeCell ref="L5:M5"/>
    <mergeCell ref="S5:U5"/>
    <mergeCell ref="A1:U1"/>
    <mergeCell ref="A2:U2"/>
    <mergeCell ref="A3:U3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8" fitToHeight="0" orientation="portrait" r:id="rId1"/>
  <headerFooter>
    <oddFooter>&amp;Cหน้า &amp;P/&amp;N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6BB90A-C80C-46A6-A52C-72EBF9F49938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323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2683162</v>
      </c>
      <c r="M18" s="35">
        <f ca="1">M19+M20</f>
        <v>2535627.48</v>
      </c>
      <c r="N18" s="35">
        <f ca="1">N19+N20</f>
        <v>1837905.3599999999</v>
      </c>
      <c r="O18" s="35">
        <f ca="1">IF(L18&gt;0,N18*100/L18,0)</f>
        <v>68.497741098003033</v>
      </c>
      <c r="P18" s="35">
        <f ca="1">IF(M18&gt;0,N18*100/M18,0)</f>
        <v>72.483256097224498</v>
      </c>
      <c r="Q18" s="35">
        <f ca="1">Q19+Q20</f>
        <v>519907</v>
      </c>
      <c r="R18" s="35">
        <f ca="1">R19+R20</f>
        <v>519907</v>
      </c>
      <c r="S18" s="35">
        <f ca="1">S19+S20</f>
        <v>186935.65</v>
      </c>
      <c r="T18" s="35">
        <f ca="1">IF(Q18&gt;0,S18*100/Q18,0)</f>
        <v>35.95559398123126</v>
      </c>
      <c r="U18" s="35">
        <f ca="1">IF(R18&gt;0,S18*100/R18,0)</f>
        <v>35.95559398123126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2683162</v>
      </c>
      <c r="M20" s="39">
        <f ca="1">M23+M26</f>
        <v>2535627.48</v>
      </c>
      <c r="N20" s="39">
        <f ca="1">N23+N26</f>
        <v>1837905.3599999999</v>
      </c>
      <c r="O20" s="39">
        <f ca="1">IF(L20&gt;0,N20*100/L20,0)</f>
        <v>68.497741098003033</v>
      </c>
      <c r="P20" s="39">
        <f ca="1">IF(M20&gt;0,N20*100/M20,0)</f>
        <v>72.483256097224498</v>
      </c>
      <c r="Q20" s="39">
        <f ca="1">Q23+Q26</f>
        <v>519907</v>
      </c>
      <c r="R20" s="39">
        <f ca="1">R23+R26</f>
        <v>519907</v>
      </c>
      <c r="S20" s="39">
        <f ca="1">S23+S26</f>
        <v>186935.65</v>
      </c>
      <c r="T20" s="39">
        <f ca="1">IF(Q20&gt;0,S20*100/Q20,0)</f>
        <v>35.95559398123126</v>
      </c>
      <c r="U20" s="39">
        <f ca="1">IF(R20&gt;0,S20*100/R20,0)</f>
        <v>35.95559398123126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1675162</v>
      </c>
      <c r="M21" s="47">
        <f ca="1">M22+M23</f>
        <v>1627627.48</v>
      </c>
      <c r="N21" s="47">
        <f ca="1">N22+N23</f>
        <v>946308.97</v>
      </c>
      <c r="O21" s="47">
        <f ca="1">IF(L21&gt;0,N21*100/L21,0)</f>
        <v>56.490594342517319</v>
      </c>
      <c r="P21" s="47">
        <f ca="1">IF(M21&gt;0,N21*100/M21,0)</f>
        <v>58.140390330593341</v>
      </c>
      <c r="Q21" s="47">
        <f ca="1">Q22+Q23</f>
        <v>519907</v>
      </c>
      <c r="R21" s="47">
        <f ca="1">R22+R23</f>
        <v>519907</v>
      </c>
      <c r="S21" s="47">
        <f ca="1">S22+S23</f>
        <v>186935.65</v>
      </c>
      <c r="T21" s="47">
        <f ca="1">IF(Q21&gt;0,S21*100/Q21,0)</f>
        <v>35.95559398123126</v>
      </c>
      <c r="U21" s="47">
        <f ca="1">IF(R21&gt;0,S21*100/R21,0)</f>
        <v>35.95559398123126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1675162</v>
      </c>
      <c r="M23" s="47">
        <f ca="1">M49+M64+M77+M99+M122+M144+M162+M191+M178+M271+M287+M308+M325+M338+M361+M380+M418+M498+M518+M539+M560+M581+M604+M621+M647+M695+M719+M733+M765</f>
        <v>1627627.48</v>
      </c>
      <c r="N23" s="47">
        <f ca="1">N49+N64+N77+N99+N122+N144+N162+N191+N178+N271+N287+N308+N325+N338+N361+N380+N418+N498+N518+N539+N560+N581+N604+N621+N647+N695+N719+N733+N765</f>
        <v>946308.97</v>
      </c>
      <c r="O23" s="47">
        <f ca="1">IF(L23&gt;0,N23*100/L23,0)</f>
        <v>56.490594342517319</v>
      </c>
      <c r="P23" s="47">
        <f ca="1">IF(M23&gt;0,N23*100/M23,0)</f>
        <v>58.140390330593341</v>
      </c>
      <c r="Q23" s="47">
        <f ca="1">Q77+Q99+Q122+Q144+Q162+Q178+Q191+Q271+Q287+Q308+Q338+Q380+Q397+Q418+Q498+Q604+Q621+Q647+Q695+Q719+Q733+Q765</f>
        <v>519907</v>
      </c>
      <c r="R23" s="47">
        <f ca="1">R77+R99+R122+R144+R162+R178+R191+R271+R287+R308+R338+R380+R397+R418+R498+R604+R621+R647+R695+R719+R733+R765</f>
        <v>519907</v>
      </c>
      <c r="S23" s="47">
        <f ca="1">S77+S99+S122+S144+S162+S178+S191+S271+S287+S308+S338+S380+S397+S418+S498+S604+S621+S647+S695+S719+S733+S765</f>
        <v>186935.65</v>
      </c>
      <c r="T23" s="47">
        <f ca="1">IF(Q23&gt;0,S23*100/Q23,0)</f>
        <v>35.95559398123126</v>
      </c>
      <c r="U23" s="47">
        <f ca="1">IF(R23&gt;0,S23*100/R23,0)</f>
        <v>35.95559398123126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1008000</v>
      </c>
      <c r="M24" s="47">
        <f ca="1">M25+M26</f>
        <v>908000</v>
      </c>
      <c r="N24" s="47">
        <f ca="1">N25+N26</f>
        <v>891596.39</v>
      </c>
      <c r="O24" s="47">
        <f ca="1">IF(L24&gt;0,N24*100/L24,0)</f>
        <v>88.452022817460318</v>
      </c>
      <c r="P24" s="47">
        <f ca="1">IF(M24&gt;0,N24*100/M24,0)</f>
        <v>98.193435022026435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1008000</v>
      </c>
      <c r="M26" s="47">
        <f ca="1">M52+M67+M80+M102+M125+M147+M165+M194+M181+M274+M290+M311+M328+M341+M364+M383+M421+M501+M521+M542+M563+M584+M607+M624+M650+M698+M722+M736+M768</f>
        <v>908000</v>
      </c>
      <c r="N26" s="47">
        <f ca="1">N52+N67+N80+N102+N125+N147+N165+N194+N181+N274+N290+N311+N328+N341+N364+N383+N421+N501+N521+N542+N563+N584+N607+N624+N650+N698+N722+N736+N768</f>
        <v>891596.39</v>
      </c>
      <c r="O26" s="47">
        <f ca="1">IF(L26&gt;0,N26*100/L26,0)</f>
        <v>88.452022817460318</v>
      </c>
      <c r="P26" s="47">
        <f ca="1">IF(M26&gt;0,N26*100/M26,0)</f>
        <v>98.193435022026435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2628090</v>
      </c>
      <c r="M40" s="802">
        <f ca="1">M44+M59+M72+M94+M125+M139+M157+M173+M186+M266+M282+M303+M320+M333+M356</f>
        <v>2480555.48</v>
      </c>
      <c r="N40" s="802">
        <f ca="1">N44+N59+N72+N94+N125+N139+N157+N173+N186+N266+N282+N303+N320+N333+N356</f>
        <v>1833901.3599999999</v>
      </c>
      <c r="O40" s="802">
        <f ca="1">IF(L40&gt;0,N40*100/L40,0)</f>
        <v>69.780767020916329</v>
      </c>
      <c r="P40" s="802">
        <f ca="1">IF(M40&gt;0,N40*100/M40,0)</f>
        <v>73.931076115257866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200000</v>
      </c>
      <c r="M44" s="79">
        <f ca="1">M45+M46</f>
        <v>114995.48</v>
      </c>
      <c r="N44" s="79">
        <f ca="1">N45+N46</f>
        <v>57995.48</v>
      </c>
      <c r="O44" s="79">
        <f ca="1">IF(L44&gt;0,N44*100/L44,0)</f>
        <v>28.99774</v>
      </c>
      <c r="P44" s="79">
        <f ca="1">IF(M44&gt;0,N44*100/M44,0)</f>
        <v>50.432834403578298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200000</v>
      </c>
      <c r="M46" s="83">
        <f ca="1">M49+M52</f>
        <v>114995.48</v>
      </c>
      <c r="N46" s="83">
        <f ca="1">N49+N52</f>
        <v>57995.48</v>
      </c>
      <c r="O46" s="83">
        <f ca="1">IF(L46&gt;0,N46*100/L46,0)</f>
        <v>28.99774</v>
      </c>
      <c r="P46" s="83">
        <f ca="1">IF(M46&gt;0,N46*100/M46,0)</f>
        <v>50.432834403578298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200000</v>
      </c>
      <c r="M47" s="47">
        <f ca="1">M48+M49</f>
        <v>114995.48</v>
      </c>
      <c r="N47" s="47">
        <f ca="1">N48+N49</f>
        <v>57995.48</v>
      </c>
      <c r="O47" s="47">
        <f ca="1">IF(L47&gt;0,N47*100/L47,0)</f>
        <v>28.99774</v>
      </c>
      <c r="P47" s="47">
        <f ca="1">IF(M47&gt;0,N47*100/M47,0)</f>
        <v>50.432834403578298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IFERROR(__xludf.DUMMYFUNCTION("IMPORTRANGE(""https://docs.google.com/spreadsheets/d/1-uDff_7J0KD5mKrp0Vvzr7lt3OU09vwQwhkpOPPYv2Y/edit?usp=sharing"",""งบพรบ!P83"")"),200000)</f>
        <v>200000</v>
      </c>
      <c r="M49" s="47">
        <f ca="1">IFERROR(__xludf.DUMMYFUNCTION("IMPORTRANGE(""https://docs.google.com/spreadsheets/d/1-uDff_7J0KD5mKrp0Vvzr7lt3OU09vwQwhkpOPPYv2Y/edit?usp=sharing"",""งบพรบ!V83"")"),114995.48)</f>
        <v>114995.48</v>
      </c>
      <c r="N49" s="47">
        <f ca="1">IFERROR(__xludf.DUMMYFUNCTION("IMPORTRANGE(""https://docs.google.com/spreadsheets/d/1-uDff_7J0KD5mKrp0Vvzr7lt3OU09vwQwhkpOPPYv2Y/edit?usp=sharing"",""งบพรบ!Y83"")"),57995.48)</f>
        <v>57995.48</v>
      </c>
      <c r="O49" s="47">
        <f ca="1">IF(L49&gt;0,N49*100/L49,0)</f>
        <v>28.99774</v>
      </c>
      <c r="P49" s="47">
        <f ca="1">IF(M49&gt;0,N49*100/M49,0)</f>
        <v>50.432834403578298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IFERROR(__xludf.DUMMYFUNCTION("IMPORTRANGE(""https://docs.google.com/spreadsheets/d/1-uDff_7J0KD5mKrp0Vvzr7lt3OU09vwQwhkpOPPYv2Y/edit?usp=sharing"",""งบพรบ!S83"")"),0)</f>
        <v>0</v>
      </c>
      <c r="M52" s="47">
        <f ca="1">IFERROR(__xludf.DUMMYFUNCTION("IMPORTRANGE(""https://docs.google.com/spreadsheets/d/1-uDff_7J0KD5mKrp0Vvzr7lt3OU09vwQwhkpOPPYv2Y/edit?usp=sharing"",""งบพรบ!W83"")"),0)</f>
        <v>0</v>
      </c>
      <c r="N52" s="47">
        <f ca="1">IFERROR(__xludf.DUMMYFUNCTION("IMPORTRANGE(""https://docs.google.com/spreadsheets/d/1-uDff_7J0KD5mKrp0Vvzr7lt3OU09vwQwhkpOPPYv2Y/edit?usp=sharing"",""งบพรบ!Z83"")"),0)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1622300</v>
      </c>
      <c r="M59" s="106">
        <f ca="1">M60+M61</f>
        <v>1542300</v>
      </c>
      <c r="N59" s="106">
        <f ca="1">N60+N61</f>
        <v>1302674.26</v>
      </c>
      <c r="O59" s="106">
        <f ca="1">IF(L59&gt;0,N59*100/L59,0)</f>
        <v>80.297988041669228</v>
      </c>
      <c r="P59" s="106">
        <f ca="1">IF(M59&gt;0,N59*100/M59,0)</f>
        <v>84.463091486740581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1622300</v>
      </c>
      <c r="M61" s="109">
        <f ca="1">M64+M67</f>
        <v>1542300</v>
      </c>
      <c r="N61" s="109">
        <f ca="1">N64+N67</f>
        <v>1302674.26</v>
      </c>
      <c r="O61" s="109">
        <f ca="1">IF(L61&gt;0,N61*100/L61,0)</f>
        <v>80.297988041669228</v>
      </c>
      <c r="P61" s="109">
        <f ca="1">IF(M61&gt;0,N61*100/M61,0)</f>
        <v>84.463091486740581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614300</v>
      </c>
      <c r="M62" s="47">
        <f ca="1">M63+M64</f>
        <v>634300</v>
      </c>
      <c r="N62" s="47">
        <f ca="1">N63+N64</f>
        <v>411077.87</v>
      </c>
      <c r="O62" s="47">
        <f ca="1">IF(L62&gt;0,N62*100/L62,0)</f>
        <v>66.918097020999511</v>
      </c>
      <c r="P62" s="47">
        <f ca="1">IF(M62&gt;0,N62*100/M62,0)</f>
        <v>64.808114456881597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IFERROR(__xludf.DUMMYFUNCTION("IMPORTRANGE(""https://docs.google.com/spreadsheets/d/1-uDff_7J0KD5mKrp0Vvzr7lt3OU09vwQwhkpOPPYv2Y/edit?usp=sharing"",""งบพรบ!AC83"")"),614300)</f>
        <v>614300</v>
      </c>
      <c r="M64" s="47">
        <f ca="1">IFERROR(__xludf.DUMMYFUNCTION("IMPORTRANGE(""https://docs.google.com/spreadsheets/d/1-uDff_7J0KD5mKrp0Vvzr7lt3OU09vwQwhkpOPPYv2Y/edit?usp=sharing"",""งบพรบ!AH83"")"),634300)</f>
        <v>634300</v>
      </c>
      <c r="N64" s="47">
        <f ca="1">IFERROR(__xludf.DUMMYFUNCTION("IMPORTRANGE(""https://docs.google.com/spreadsheets/d/1-uDff_7J0KD5mKrp0Vvzr7lt3OU09vwQwhkpOPPYv2Y/edit?usp=sharing"",""งบพรบ!AJ83"")"),411077.87)</f>
        <v>411077.87</v>
      </c>
      <c r="O64" s="47">
        <f ca="1">IF(L64&gt;0,N64*100/L64,0)</f>
        <v>66.918097020999511</v>
      </c>
      <c r="P64" s="47">
        <f ca="1">IF(M64&gt;0,N64*100/M64,0)</f>
        <v>64.808114456881597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1008000</v>
      </c>
      <c r="M65" s="47">
        <f ca="1">M66+M67</f>
        <v>908000</v>
      </c>
      <c r="N65" s="47">
        <f ca="1">N66+N67</f>
        <v>891596.39</v>
      </c>
      <c r="O65" s="47">
        <f ca="1">IF(L65&gt;0,N65*100/L65,0)</f>
        <v>88.452022817460318</v>
      </c>
      <c r="P65" s="47">
        <f ca="1">IF(M65&gt;0,N65*100/M65,0)</f>
        <v>98.193435022026435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IFERROR(__xludf.DUMMYFUNCTION("IMPORTRANGE(""https://docs.google.com/spreadsheets/d/1-uDff_7J0KD5mKrp0Vvzr7lt3OU09vwQwhkpOPPYv2Y/edit?usp=sharing"",""งบพรบ!AF83"")"),1008000)</f>
        <v>1008000</v>
      </c>
      <c r="M67" s="111">
        <f ca="1">IFERROR(__xludf.DUMMYFUNCTION("IMPORTRANGE(""https://docs.google.com/spreadsheets/d/1-uDff_7J0KD5mKrp0Vvzr7lt3OU09vwQwhkpOPPYv2Y/edit?usp=sharing"",""งบพรบ!AI83"")"),908000)</f>
        <v>908000</v>
      </c>
      <c r="N67" s="111">
        <f ca="1">IFERROR(__xludf.DUMMYFUNCTION("IMPORTRANGE(""https://docs.google.com/spreadsheets/d/1-uDff_7J0KD5mKrp0Vvzr7lt3OU09vwQwhkpOPPYv2Y/edit?usp=sharing"",""งบพรบ!AK83"")"),891596.39)</f>
        <v>891596.39</v>
      </c>
      <c r="O67" s="111">
        <f ca="1">IF(L67&gt;0,N67*100/L67,0)</f>
        <v>88.452022817460318</v>
      </c>
      <c r="P67" s="111">
        <f ca="1">IF(M67&gt;0,N67*100/M67,0)</f>
        <v>98.193435022026435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IFERROR(__xludf.DUMMYFUNCTION("IMPORTRANGE(""https://docs.google.com/spreadsheets/d/1-uDff_7J0KD5mKrp0Vvzr7lt3OU09vwQwhkpOPPYv2Y/edit?usp=sharing"",""งบพรบ!AM83"")"),0)</f>
        <v>0</v>
      </c>
      <c r="M77" s="47">
        <f ca="1">IFERROR(__xludf.DUMMYFUNCTION("IMPORTRANGE(""https://docs.google.com/spreadsheets/d/1-uDff_7J0KD5mKrp0Vvzr7lt3OU09vwQwhkpOPPYv2Y/edit?usp=sharing"",""งบพรบ!AR83"")"),0)</f>
        <v>0</v>
      </c>
      <c r="N77" s="47">
        <f ca="1">IFERROR(__xludf.DUMMYFUNCTION("IMPORTRANGE(""https://docs.google.com/spreadsheets/d/1-uDff_7J0KD5mKrp0Vvzr7lt3OU09vwQwhkpOPPYv2Y/edit?usp=sharing"",""งบพรบ!AT83"")"),0)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IFERROR(__xludf.DUMMYFUNCTION("IMPORTRANGE(""https://docs.google.com/spreadsheets/d/1ItG2mGa2ceCfYo0BwxsXqNm01IGEUdYcSSLTEv9YCik/edit?usp=sharing"",""เบิกจ่ายกองทุน!BH83"")"),0)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IFERROR(__xludf.DUMMYFUNCTION("IMPORTRANGE(""https://docs.google.com/spreadsheets/d/1ItG2mGa2ceCfYo0BwxsXqNm01IGEUdYcSSLTEv9YCik/edit?usp=sharing"",""เบิกจ่ายกองทุน!BI83"")"),0)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IFERROR(__xludf.DUMMYFUNCTION("IMPORTRANGE(""https://docs.google.com/spreadsheets/d/1ItG2mGa2ceCfYo0BwxsXqNm01IGEUdYcSSLTEv9YCik/edit?usp=sharing"",""เบิกจ่ายกองทุน!BJ83"")"),0)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IFERROR(__xludf.DUMMYFUNCTION("IMPORTRANGE(""https://docs.google.com/spreadsheets/d/1-uDff_7J0KD5mKrp0Vvzr7lt3OU09vwQwhkpOPPYv2Y/edit?usp=sharing"",""งบพรบ!AP83"")"),0)</f>
        <v>0</v>
      </c>
      <c r="M80" s="47">
        <f ca="1">IFERROR(__xludf.DUMMYFUNCTION("IMPORTRANGE(""https://docs.google.com/spreadsheets/d/1-uDff_7J0KD5mKrp0Vvzr7lt3OU09vwQwhkpOPPYv2Y/edit?usp=sharing"",""งบพรบ!AS83"")"),0)</f>
        <v>0</v>
      </c>
      <c r="N80" s="47">
        <f ca="1">IFERROR(__xludf.DUMMYFUNCTION("IMPORTRANGE(""https://docs.google.com/spreadsheets/d/1-uDff_7J0KD5mKrp0Vvzr7lt3OU09vwQwhkpOPPYv2Y/edit?usp=sharing"",""งบพรบ!AU83"")"),0)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IFERROR(__xludf.DUMMYFUNCTION("IMPORTRANGE(""https://docs.google.com/spreadsheets/d/1ItG2mGa2ceCfYo0BwxsXqNm01IGEUdYcSSLTEv9YCik/edit?usp=sharing"",""เบิกจ่ายกองทุน!BK83"")"),0)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IFERROR(__xludf.DUMMYFUNCTION("IMPORTRANGE(""https://docs.google.com/spreadsheets/d/1ItG2mGa2ceCfYo0BwxsXqNm01IGEUdYcSSLTEv9YCik/edit?usp=sharing"",""เบิกจ่ายกองทุน!BL83"")"),0)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IFERROR(__xludf.DUMMYFUNCTION("IMPORTRANGE(""https://docs.google.com/spreadsheets/d/1ItG2mGa2ceCfYo0BwxsXqNm01IGEUdYcSSLTEv9YCik/edit?usp=sharing"",""เบิกจ่ายกองทุน!BM83"")"),0)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IFERROR(__xludf.DUMMYFUNCTION("IMPORTRANGE(""https://docs.google.com/spreadsheets/d/1eHaY18a8A9IcSdp1K8H6x8fbOy06t2VsZHhMHf-1x7Y/edit?usp=sharing"",""แผน!H83"")"),0)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IFERROR(__xludf.DUMMYFUNCTION("IMPORTRANGE(""https://docs.google.com/spreadsheets/d/1eHaY18a8A9IcSdp1K8H6x8fbOy06t2VsZHhMHf-1x7Y/edit?usp=sharing"",""แผน!I83"")"),0)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IFERROR(__xludf.DUMMYFUNCTION("IMPORTRANGE(""https://docs.google.com/spreadsheets/d/1eHaY18a8A9IcSdp1K8H6x8fbOy06t2VsZHhMHf-1x7Y/edit?usp=sharing"",""แผน!F83"")"),0)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IFERROR(__xludf.DUMMYFUNCTION("IMPORTRANGE(""https://docs.google.com/spreadsheets/d/1eHaY18a8A9IcSdp1K8H6x8fbOy06t2VsZHhMHf-1x7Y/edit?usp=sharing"",""แผน!G83"")"),0)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IFERROR(__xludf.DUMMYFUNCTION("IMPORTRANGE(""https://docs.google.com/spreadsheets/d/1eHaY18a8A9IcSdp1K8H6x8fbOy06t2VsZHhMHf-1x7Y/edit?usp=sharing"",""แผน!D83"")"),0)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IFERROR(__xludf.DUMMYFUNCTION("IMPORTRANGE(""https://docs.google.com/spreadsheets/d/1eHaY18a8A9IcSdp1K8H6x8fbOy06t2VsZHhMHf-1x7Y/edit?usp=sharing"",""แผน!E83"")"),0)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IFERROR(__xludf.DUMMYFUNCTION("IMPORTRANGE(""https://docs.google.com/spreadsheets/d/1eHaY18a8A9IcSdp1K8H6x8fbOy06t2VsZHhMHf-1x7Y/edit?usp=sharing"",""แผน!J83"")"),0)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IFERROR(__xludf.DUMMYFUNCTION("IMPORTRANGE(""https://docs.google.com/spreadsheets/d/1-uDff_7J0KD5mKrp0Vvzr7lt3OU09vwQwhkpOPPYv2Y/edit?usp=sharing"",""งบพรบ!AW83"")"),0)</f>
        <v>0</v>
      </c>
      <c r="M99" s="47">
        <f ca="1">IFERROR(__xludf.DUMMYFUNCTION("IMPORTRANGE(""https://docs.google.com/spreadsheets/d/1-uDff_7J0KD5mKrp0Vvzr7lt3OU09vwQwhkpOPPYv2Y/edit?usp=sharing"",""งบพรบ!BB83"")"),0)</f>
        <v>0</v>
      </c>
      <c r="N99" s="47">
        <f ca="1">IFERROR(__xludf.DUMMYFUNCTION("IMPORTRANGE(""https://docs.google.com/spreadsheets/d/1-uDff_7J0KD5mKrp0Vvzr7lt3OU09vwQwhkpOPPYv2Y/edit?usp=sharing"",""งบพรบ!BD83"")"),0)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IFERROR(__xludf.DUMMYFUNCTION("IMPORTRANGE(""https://docs.google.com/spreadsheets/d/1ItG2mGa2ceCfYo0BwxsXqNm01IGEUdYcSSLTEv9YCik/edit?usp=sharing"",""เบิกจ่ายกองทุน!AJ83"")"),0)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IFERROR(__xludf.DUMMYFUNCTION("IMPORTRANGE(""https://docs.google.com/spreadsheets/d/1ItG2mGa2ceCfYo0BwxsXqNm01IGEUdYcSSLTEv9YCik/edit?usp=sharing"",""เบิกจ่ายกองทุน!AK83"")"),0)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IFERROR(__xludf.DUMMYFUNCTION("IMPORTRANGE(""https://docs.google.com/spreadsheets/d/1ItG2mGa2ceCfYo0BwxsXqNm01IGEUdYcSSLTEv9YCik/edit?usp=sharing"",""เบิกจ่ายกองทุน!AL83"")"),0)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IFERROR(__xludf.DUMMYFUNCTION("IMPORTRANGE(""https://docs.google.com/spreadsheets/d/1-uDff_7J0KD5mKrp0Vvzr7lt3OU09vwQwhkpOPPYv2Y/edit?usp=sharing"",""งบพรบ!AZ83"")"),0)</f>
        <v>0</v>
      </c>
      <c r="M102" s="47">
        <f ca="1">IFERROR(__xludf.DUMMYFUNCTION("IMPORTRANGE(""https://docs.google.com/spreadsheets/d/1-uDff_7J0KD5mKrp0Vvzr7lt3OU09vwQwhkpOPPYv2Y/edit?usp=sharing"",""งบพรบ!BC83"")"),0)</f>
        <v>0</v>
      </c>
      <c r="N102" s="47">
        <f ca="1">IFERROR(__xludf.DUMMYFUNCTION("IMPORTRANGE(""https://docs.google.com/spreadsheets/d/1-uDff_7J0KD5mKrp0Vvzr7lt3OU09vwQwhkpOPPYv2Y/edit?usp=sharing"",""งบพรบ!BE83"")"),0)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IFERROR(__xludf.DUMMYFUNCTION("IMPORTRANGE(""https://docs.google.com/spreadsheets/d/1eHaY18a8A9IcSdp1K8H6x8fbOy06t2VsZHhMHf-1x7Y/edit?usp=sharing"",""แผน!N83"")"),0)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IFERROR(__xludf.DUMMYFUNCTION("IMPORTRANGE(""https://docs.google.com/spreadsheets/d/1eHaY18a8A9IcSdp1K8H6x8fbOy06t2VsZHhMHf-1x7Y/edit?usp=sharing"",""แผน!O83"")"),0)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IFERROR(__xludf.DUMMYFUNCTION("IMPORTRANGE(""https://docs.google.com/spreadsheets/d/1eHaY18a8A9IcSdp1K8H6x8fbOy06t2VsZHhMHf-1x7Y/edit?usp=sharing"",""แผน!R83"")"),0)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104550.65</v>
      </c>
      <c r="T117" s="132">
        <f ca="1">IF(Q117&gt;0,S117*100/Q117,0)</f>
        <v>60.204220891396986</v>
      </c>
      <c r="U117" s="132">
        <f ca="1">IF(R117&gt;0,S117*100/R117,0)</f>
        <v>60.204220891396986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104550.65</v>
      </c>
      <c r="T119" s="47">
        <f ca="1">IF(Q119&gt;0,S119*100/Q119,0)</f>
        <v>60.204220891396986</v>
      </c>
      <c r="U119" s="47">
        <f ca="1">IF(R119&gt;0,S119*100/R119,0)</f>
        <v>60.204220891396986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104550.65</v>
      </c>
      <c r="T120" s="47">
        <f ca="1">IF(Q120&gt;0,S120*100/Q120,0)</f>
        <v>60.204220891396986</v>
      </c>
      <c r="U120" s="47">
        <f ca="1">IF(R120&gt;0,S120*100/R120,0)</f>
        <v>60.204220891396986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IFERROR(__xludf.DUMMYFUNCTION("IMPORTRANGE(""https://docs.google.com/spreadsheets/d/1-uDff_7J0KD5mKrp0Vvzr7lt3OU09vwQwhkpOPPYv2Y/edit?usp=sharing"",""งบพรบ!BG83"")"),0)</f>
        <v>0</v>
      </c>
      <c r="M122" s="47">
        <f ca="1">IFERROR(__xludf.DUMMYFUNCTION("IMPORTRANGE(""https://docs.google.com/spreadsheets/d/1-uDff_7J0KD5mKrp0Vvzr7lt3OU09vwQwhkpOPPYv2Y/edit?usp=sharing"",""งบพรบ!BL83"")"),0)</f>
        <v>0</v>
      </c>
      <c r="N122" s="47">
        <f ca="1">IFERROR(__xludf.DUMMYFUNCTION("IMPORTRANGE(""https://docs.google.com/spreadsheets/d/1-uDff_7J0KD5mKrp0Vvzr7lt3OU09vwQwhkpOPPYv2Y/edit?usp=sharing"",""งบพรบ!BN83"")"),0)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IFERROR(__xludf.DUMMYFUNCTION("IMPORTRANGE(""https://docs.google.com/spreadsheets/d/1ItG2mGa2ceCfYo0BwxsXqNm01IGEUdYcSSLTEv9YCik/edit?usp=sharing"",""เบิกจ่ายกองทุน!U83"")"),173660)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IFERROR(__xludf.DUMMYFUNCTION("IMPORTRANGE(""https://docs.google.com/spreadsheets/d/1ItG2mGa2ceCfYo0BwxsXqNm01IGEUdYcSSLTEv9YCik/edit?usp=sharing"",""เบิกจ่ายกองทุน!V83"")"),173660)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IFERROR(__xludf.DUMMYFUNCTION("IMPORTRANGE(""https://docs.google.com/spreadsheets/d/1ItG2mGa2ceCfYo0BwxsXqNm01IGEUdYcSSLTEv9YCik/edit?usp=sharing"",""เบิกจ่ายกองทุน!W83"")"),104550.65)</f>
        <v>104550.65</v>
      </c>
      <c r="T122" s="47">
        <f ca="1">IF(Q122&gt;0,S122*100/Q122,0)</f>
        <v>60.204220891396986</v>
      </c>
      <c r="U122" s="47">
        <f ca="1">IF(R122&gt;0,S122*100/R122,0)</f>
        <v>60.204220891396986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IFERROR(__xludf.DUMMYFUNCTION("IMPORTRANGE(""https://docs.google.com/spreadsheets/d/1-uDff_7J0KD5mKrp0Vvzr7lt3OU09vwQwhkpOPPYv2Y/edit?usp=sharing"",""งบพรบ!BJ83"")"),0)</f>
        <v>0</v>
      </c>
      <c r="M125" s="47">
        <f ca="1">IFERROR(__xludf.DUMMYFUNCTION("IMPORTRANGE(""https://docs.google.com/spreadsheets/d/1-uDff_7J0KD5mKrp0Vvzr7lt3OU09vwQwhkpOPPYv2Y/edit?usp=sharing"",""งบพรบ!BM83"")"),0)</f>
        <v>0</v>
      </c>
      <c r="N125" s="47">
        <f ca="1">IFERROR(__xludf.DUMMYFUNCTION("IMPORTRANGE(""https://docs.google.com/spreadsheets/d/1-uDff_7J0KD5mKrp0Vvzr7lt3OU09vwQwhkpOPPYv2Y/edit?usp=sharing"",""งบพรบ!BO83"")"),0)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IFERROR(__xludf.DUMMYFUNCTION("IMPORTRANGE(""https://docs.google.com/spreadsheets/d/1ItG2mGa2ceCfYo0BwxsXqNm01IGEUdYcSSLTEv9YCik/edit?usp=sharing"",""เบิกจ่ายกองทุน!X83"")"),0)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IFERROR(__xludf.DUMMYFUNCTION("IMPORTRANGE(""https://docs.google.com/spreadsheets/d/1ItG2mGa2ceCfYo0BwxsXqNm01IGEUdYcSSLTEv9YCik/edit?usp=sharing"",""เบิกจ่ายกองทุน!Y83"")"),0)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IFERROR(__xludf.DUMMYFUNCTION("IMPORTRANGE(""https://docs.google.com/spreadsheets/d/1ItG2mGa2ceCfYo0BwxsXqNm01IGEUdYcSSLTEv9YCik/edit?usp=sharing"",""เบิกจ่ายกองทุน!Z83"")"),0)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IFERROR(__xludf.DUMMYFUNCTION("IMPORTRANGE(""https://docs.google.com/spreadsheets/d/1eHaY18a8A9IcSdp1K8H6x8fbOy06t2VsZHhMHf-1x7Y/edit?usp=sharing"",""แผน!FF83"")"),10)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IFERROR(__xludf.DUMMYFUNCTION("IMPORTRANGE(""https://docs.google.com/spreadsheets/d/1eHaY18a8A9IcSdp1K8H6x8fbOy06t2VsZHhMHf-1x7Y/edit?usp=sharing"",""แผน!FG83"")"),0)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IFERROR(__xludf.DUMMYFUNCTION("IMPORTRANGE(""https://docs.google.com/spreadsheets/d/1eHaY18a8A9IcSdp1K8H6x8fbOy06t2VsZHhMHf-1x7Y/edit?usp=sharing"",""แผน!FH83"")"),10)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IFERROR(__xludf.DUMMYFUNCTION("IMPORTRANGE(""https://docs.google.com/spreadsheets/d/1eHaY18a8A9IcSdp1K8H6x8fbOy06t2VsZHhMHf-1x7Y/edit?usp=sharing"",""แผน!FI83"")"),0)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IFERROR(__xludf.DUMMYFUNCTION("IMPORTRANGE(""https://docs.google.com/spreadsheets/d/1-uDff_7J0KD5mKrp0Vvzr7lt3OU09vwQwhkpOPPYv2Y/edit?usp=sharing"",""งบพรบ!BQ83"")"),0)</f>
        <v>0</v>
      </c>
      <c r="M144" s="47">
        <f ca="1">IFERROR(__xludf.DUMMYFUNCTION("IMPORTRANGE(""https://docs.google.com/spreadsheets/d/1-uDff_7J0KD5mKrp0Vvzr7lt3OU09vwQwhkpOPPYv2Y/edit?usp=sharing"",""งบพรบ!BV83"")"),0)</f>
        <v>0</v>
      </c>
      <c r="N144" s="47">
        <f ca="1">IFERROR(__xludf.DUMMYFUNCTION("IMPORTRANGE(""https://docs.google.com/spreadsheets/d/1-uDff_7J0KD5mKrp0Vvzr7lt3OU09vwQwhkpOPPYv2Y/edit?usp=sharing"",""งบพรบ!BX83"")"),0)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IFERROR(__xludf.DUMMYFUNCTION("IMPORTRANGE(""https://docs.google.com/spreadsheets/d/1ItG2mGa2ceCfYo0BwxsXqNm01IGEUdYcSSLTEv9YCik/edit?usp=sharing"",""เบิกจ่ายกองทุน!CF83"")"),0)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IFERROR(__xludf.DUMMYFUNCTION("IMPORTRANGE(""https://docs.google.com/spreadsheets/d/1ItG2mGa2ceCfYo0BwxsXqNm01IGEUdYcSSLTEv9YCik/edit?usp=sharing"",""เบิกจ่ายกองทุน!CG83"")"),0)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IFERROR(__xludf.DUMMYFUNCTION("IMPORTRANGE(""https://docs.google.com/spreadsheets/d/1ItG2mGa2ceCfYo0BwxsXqNm01IGEUdYcSSLTEv9YCik/edit?usp=sharing"",""เบิกจ่ายกองทุน!CH83"")"),0)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IFERROR(__xludf.DUMMYFUNCTION("IMPORTRANGE(""https://docs.google.com/spreadsheets/d/1-uDff_7J0KD5mKrp0Vvzr7lt3OU09vwQwhkpOPPYv2Y/edit?usp=sharing"",""งบพรบ!BT83"")"),0)</f>
        <v>0</v>
      </c>
      <c r="M147" s="47">
        <f ca="1">IFERROR(__xludf.DUMMYFUNCTION("IMPORTRANGE(""https://docs.google.com/spreadsheets/d/1-uDff_7J0KD5mKrp0Vvzr7lt3OU09vwQwhkpOPPYv2Y/edit?usp=sharing"",""งบพรบ!BW83"")"),0)</f>
        <v>0</v>
      </c>
      <c r="N147" s="47">
        <f ca="1">IFERROR(__xludf.DUMMYFUNCTION("IMPORTRANGE(""https://docs.google.com/spreadsheets/d/1-uDff_7J0KD5mKrp0Vvzr7lt3OU09vwQwhkpOPPYv2Y/edit?usp=sharing"",""งบพรบ!BY83"")"),0)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IFERROR(__xludf.DUMMYFUNCTION("IMPORTRANGE(""https://docs.google.com/spreadsheets/d/1ItG2mGa2ceCfYo0BwxsXqNm01IGEUdYcSSLTEv9YCik/edit?usp=sharing"",""เบิกจ่ายกองทุน!CI83"")"),0)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IFERROR(__xludf.DUMMYFUNCTION("IMPORTRANGE(""https://docs.google.com/spreadsheets/d/1ItG2mGa2ceCfYo0BwxsXqNm01IGEUdYcSSLTEv9YCik/edit?usp=sharing"",""เบิกจ่ายกองทุน!CJ83"")"),0)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IFERROR(__xludf.DUMMYFUNCTION("IMPORTRANGE(""https://docs.google.com/spreadsheets/d/1ItG2mGa2ceCfYo0BwxsXqNm01IGEUdYcSSLTEv9YCik/edit?usp=sharing"",""เบิกจ่ายกองทุน!CK83"")"),0)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IFERROR(__xludf.DUMMYFUNCTION("IMPORTRANGE(""https://docs.google.com/spreadsheets/d/1eHaY18a8A9IcSdp1K8H6x8fbOy06t2VsZHhMHf-1x7Y/edit?usp=sharing"",""แผน!U83"")"),0)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IFERROR(__xludf.DUMMYFUNCTION("IMPORTRANGE(""https://docs.google.com/spreadsheets/d/1eHaY18a8A9IcSdp1K8H6x8fbOy06t2VsZHhMHf-1x7Y/edit?usp=sharing"",""แผน!V83"")"),0)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IFERROR(__xludf.DUMMYFUNCTION("IMPORTRANGE(""https://docs.google.com/spreadsheets/d/1eHaY18a8A9IcSdp1K8H6x8fbOy06t2VsZHhMHf-1x7Y/edit?usp=sharing"",""แผน!W83"")"),0)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IFERROR(__xludf.DUMMYFUNCTION("IMPORTRANGE(""https://docs.google.com/spreadsheets/d/1eHaY18a8A9IcSdp1K8H6x8fbOy06t2VsZHhMHf-1x7Y/edit?usp=sharing"",""แผน!X83"")"),0)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IFERROR(__xludf.DUMMYFUNCTION("IMPORTRANGE(""https://docs.google.com/spreadsheets/d/1eHaY18a8A9IcSdp1K8H6x8fbOy06t2VsZHhMHf-1x7Y/edit?usp=sharing"",""แผน!Y83"")"),0)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IFERROR(__xludf.DUMMYFUNCTION("IMPORTRANGE(""https://docs.google.com/spreadsheets/d/1-uDff_7J0KD5mKrp0Vvzr7lt3OU09vwQwhkpOPPYv2Y/edit?usp=sharing"",""งบพรบ!CA83"")"),0)</f>
        <v>0</v>
      </c>
      <c r="M162" s="47">
        <f ca="1">IFERROR(__xludf.DUMMYFUNCTION("IMPORTRANGE(""https://docs.google.com/spreadsheets/d/1-uDff_7J0KD5mKrp0Vvzr7lt3OU09vwQwhkpOPPYv2Y/edit?usp=sharing"",""งบพรบ!CF83"")"),0)</f>
        <v>0</v>
      </c>
      <c r="N162" s="47">
        <f ca="1">IFERROR(__xludf.DUMMYFUNCTION("IMPORTRANGE(""https://docs.google.com/spreadsheets/d/1-uDff_7J0KD5mKrp0Vvzr7lt3OU09vwQwhkpOPPYv2Y/edit?usp=sharing"",""งบพรบ!CH83"")"),0)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IFERROR(__xludf.DUMMYFUNCTION("IMPORTRANGE(""https://docs.google.com/spreadsheets/d/1ItG2mGa2ceCfYo0BwxsXqNm01IGEUdYcSSLTEv9YCik/edit?usp=sharing"",""เบิกจ่ายกองทุน!AM83"")"),0)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IFERROR(__xludf.DUMMYFUNCTION("IMPORTRANGE(""https://docs.google.com/spreadsheets/d/1ItG2mGa2ceCfYo0BwxsXqNm01IGEUdYcSSLTEv9YCik/edit?usp=sharing"",""เบิกจ่ายกองทุน!AN83"")"),0)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IFERROR(__xludf.DUMMYFUNCTION("IMPORTRANGE(""https://docs.google.com/spreadsheets/d/1ItG2mGa2ceCfYo0BwxsXqNm01IGEUdYcSSLTEv9YCik/edit?usp=sharing"",""เบิกจ่ายกองทุน!AO83"")"),0)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IFERROR(__xludf.DUMMYFUNCTION("IMPORTRANGE(""https://docs.google.com/spreadsheets/d/1-uDff_7J0KD5mKrp0Vvzr7lt3OU09vwQwhkpOPPYv2Y/edit?usp=sharing"",""งบพรบ!CD83"")"),0)</f>
        <v>0</v>
      </c>
      <c r="M165" s="47">
        <f ca="1">IFERROR(__xludf.DUMMYFUNCTION("IMPORTRANGE(""https://docs.google.com/spreadsheets/d/1-uDff_7J0KD5mKrp0Vvzr7lt3OU09vwQwhkpOPPYv2Y/edit?usp=sharing"",""งบพรบ!CG83"")"),0)</f>
        <v>0</v>
      </c>
      <c r="N165" s="47">
        <f ca="1">IFERROR(__xludf.DUMMYFUNCTION("IMPORTRANGE(""https://docs.google.com/spreadsheets/d/1-uDff_7J0KD5mKrp0Vvzr7lt3OU09vwQwhkpOPPYv2Y/edit?usp=sharing"",""งบพรบ!CI83"")"),0)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IFERROR(__xludf.DUMMYFUNCTION("IMPORTRANGE(""https://docs.google.com/spreadsheets/d/1eHaY18a8A9IcSdp1K8H6x8fbOy06t2VsZHhMHf-1x7Y/edit?usp=sharing"",""แผน!Z83"")"),0)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IFERROR(__xludf.DUMMYFUNCTION("IMPORTRANGE(""https://docs.google.com/spreadsheets/d/1eHaY18a8A9IcSdp1K8H6x8fbOy06t2VsZHhMHf-1x7Y/edit?usp=sharing"",""แผน!Z83"")"),0)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IFERROR(__xludf.DUMMYFUNCTION("IMPORTRANGE(""https://docs.google.com/spreadsheets/d/1eHaY18a8A9IcSdp1K8H6x8fbOy06t2VsZHhMHf-1x7Y/edit?usp=sharing"",""แผน!Z83"")"),0)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17470</v>
      </c>
      <c r="N173" s="132">
        <f ca="1">N174+N175</f>
        <v>17470</v>
      </c>
      <c r="O173" s="132">
        <f ca="1">IF(L173&gt;0,N173*100/L173,0)</f>
        <v>0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17470</v>
      </c>
      <c r="N175" s="47">
        <f ca="1">N178+N181</f>
        <v>17470</v>
      </c>
      <c r="O175" s="47">
        <f ca="1">IF(L175&gt;0,N175*100/L175,0)</f>
        <v>0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17470</v>
      </c>
      <c r="N176" s="47">
        <f ca="1">N177+N178</f>
        <v>17470</v>
      </c>
      <c r="O176" s="47">
        <f ca="1">IF(L176&gt;0,N176*100/L176,0)</f>
        <v>0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IFERROR(__xludf.DUMMYFUNCTION("IMPORTRANGE(""https://docs.google.com/spreadsheets/d/1-uDff_7J0KD5mKrp0Vvzr7lt3OU09vwQwhkpOPPYv2Y/edit?usp=sharing"",""งบพรบ!CK83"")"),0)</f>
        <v>0</v>
      </c>
      <c r="M178" s="47">
        <f ca="1">IFERROR(__xludf.DUMMYFUNCTION("IMPORTRANGE(""https://docs.google.com/spreadsheets/d/1-uDff_7J0KD5mKrp0Vvzr7lt3OU09vwQwhkpOPPYv2Y/edit?usp=sharing"",""งบพรบ!CP83"")"),17470)</f>
        <v>17470</v>
      </c>
      <c r="N178" s="47">
        <f ca="1">IFERROR(__xludf.DUMMYFUNCTION("IMPORTRANGE(""https://docs.google.com/spreadsheets/d/1-uDff_7J0KD5mKrp0Vvzr7lt3OU09vwQwhkpOPPYv2Y/edit?usp=sharing"",""งบพรบ!CR83"")"),17470)</f>
        <v>17470</v>
      </c>
      <c r="O178" s="47">
        <f ca="1">IF(L178&gt;0,N178*100/L178,0)</f>
        <v>0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IFERROR(__xludf.DUMMYFUNCTION("IMPORTRANGE(""https://docs.google.com/spreadsheets/d/1ItG2mGa2ceCfYo0BwxsXqNm01IGEUdYcSSLTEv9YCik/edit?usp=sharing"",""เบิกจ่ายกองทุน!DG83"")"),0)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IFERROR(__xludf.DUMMYFUNCTION("IMPORTRANGE(""https://docs.google.com/spreadsheets/d/1ItG2mGa2ceCfYo0BwxsXqNm01IGEUdYcSSLTEv9YCik/edit?usp=sharing"",""เบิกจ่ายกองทุน!DH83"")"),0)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IFERROR(__xludf.DUMMYFUNCTION("IMPORTRANGE(""https://docs.google.com/spreadsheets/d/1ItG2mGa2ceCfYo0BwxsXqNm01IGEUdYcSSLTEv9YCik/edit?usp=sharing"",""เบิกจ่ายกองทุน!DI83"")"),0)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IFERROR(__xludf.DUMMYFUNCTION("IMPORTRANGE(""https://docs.google.com/spreadsheets/d/1-uDff_7J0KD5mKrp0Vvzr7lt3OU09vwQwhkpOPPYv2Y/edit?usp=sharing"",""งบพรบ!CN83"")"),0)</f>
        <v>0</v>
      </c>
      <c r="M181" s="47">
        <f ca="1">IFERROR(__xludf.DUMMYFUNCTION("IMPORTRANGE(""https://docs.google.com/spreadsheets/d/1-uDff_7J0KD5mKrp0Vvzr7lt3OU09vwQwhkpOPPYv2Y/edit?usp=sharing"",""งบพรบ!CQ83"")"),0)</f>
        <v>0</v>
      </c>
      <c r="N181" s="47">
        <f ca="1">IFERROR(__xludf.DUMMYFUNCTION("IMPORTRANGE(""https://docs.google.com/spreadsheets/d/1-uDff_7J0KD5mKrp0Vvzr7lt3OU09vwQwhkpOPPYv2Y/edit?usp=sharing"",""งบพรบ!CS83"")"),0)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IFERROR(__xludf.DUMMYFUNCTION("IMPORTRANGE(""https://docs.google.com/spreadsheets/d/1eHaY18a8A9IcSdp1K8H6x8fbOy06t2VsZHhMHf-1x7Y/edit?usp=sharing"",""แผน!AA83"")"),0)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80500</v>
      </c>
      <c r="M186" s="132">
        <f ca="1">M187+M188</f>
        <v>80500</v>
      </c>
      <c r="N186" s="132">
        <f ca="1">N187+N188</f>
        <v>33599.660000000003</v>
      </c>
      <c r="O186" s="132">
        <f ca="1">IF(L186&gt;0,N186*100/L186,0)</f>
        <v>41.738708074534166</v>
      </c>
      <c r="P186" s="132">
        <f ca="1">IF(M186&gt;0,N186*100/M186,0)</f>
        <v>41.738708074534166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80500</v>
      </c>
      <c r="M188" s="47">
        <f ca="1">M191+M194</f>
        <v>80500</v>
      </c>
      <c r="N188" s="47">
        <f ca="1">N191+N194</f>
        <v>33599.660000000003</v>
      </c>
      <c r="O188" s="47">
        <f ca="1">IF(L188&gt;0,N188*100/L188,0)</f>
        <v>41.738708074534166</v>
      </c>
      <c r="P188" s="47">
        <f ca="1">IF(M188&gt;0,N188*100/M188,0)</f>
        <v>41.738708074534166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80500</v>
      </c>
      <c r="M189" s="47">
        <f ca="1">M190+M191</f>
        <v>80500</v>
      </c>
      <c r="N189" s="47">
        <f ca="1">N190+N191</f>
        <v>33599.660000000003</v>
      </c>
      <c r="O189" s="47">
        <f ca="1">IF(L189&gt;0,N189*100/L189,0)</f>
        <v>41.738708074534166</v>
      </c>
      <c r="P189" s="47">
        <f ca="1">IF(M189&gt;0,N189*100/M189,0)</f>
        <v>41.738708074534166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IFERROR(__xludf.DUMMYFUNCTION("IMPORTRANGE(""https://docs.google.com/spreadsheets/d/1-uDff_7J0KD5mKrp0Vvzr7lt3OU09vwQwhkpOPPYv2Y/edit?usp=sharing"",""งบพรบ!CU83"")"),80500)</f>
        <v>80500</v>
      </c>
      <c r="M191" s="47">
        <f ca="1">IFERROR(__xludf.DUMMYFUNCTION("IMPORTRANGE(""https://docs.google.com/spreadsheets/d/1-uDff_7J0KD5mKrp0Vvzr7lt3OU09vwQwhkpOPPYv2Y/edit?usp=sharing"",""งบพรบ!CZ83"")"),80500)</f>
        <v>80500</v>
      </c>
      <c r="N191" s="47">
        <f ca="1">IFERROR(__xludf.DUMMYFUNCTION("IMPORTRANGE(""https://docs.google.com/spreadsheets/d/1-uDff_7J0KD5mKrp0Vvzr7lt3OU09vwQwhkpOPPYv2Y/edit?usp=sharing"",""งบพรบ!DB83"")"),33599.66)</f>
        <v>33599.660000000003</v>
      </c>
      <c r="O191" s="47">
        <f ca="1">IF(L191&gt;0,N191*100/L191,0)</f>
        <v>41.738708074534166</v>
      </c>
      <c r="P191" s="47">
        <f ca="1">IF(M191&gt;0,N191*100/M191,0)</f>
        <v>41.738708074534166</v>
      </c>
      <c r="Q191" s="47">
        <f ca="1">IFERROR(__xludf.DUMMYFUNCTION("IMPORTRANGE(""https://docs.google.com/spreadsheets/d/1ItG2mGa2ceCfYo0BwxsXqNm01IGEUdYcSSLTEv9YCik/edit?usp=sharing"",""เบิกจ่ายกองทุน!BQ83"")"),0)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IFERROR(__xludf.DUMMYFUNCTION("IMPORTRANGE(""https://docs.google.com/spreadsheets/d/1ItG2mGa2ceCfYo0BwxsXqNm01IGEUdYcSSLTEv9YCik/edit?usp=sharing"",""เบิกจ่ายกองทุน!BR83"")"),0)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IFERROR(__xludf.DUMMYFUNCTION("IMPORTRANGE(""https://docs.google.com/spreadsheets/d/1ItG2mGa2ceCfYo0BwxsXqNm01IGEUdYcSSLTEv9YCik/edit?usp=sharing"",""เบิกจ่ายกองทุน!BS83"")"),0)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IFERROR(__xludf.DUMMYFUNCTION("IMPORTRANGE(""https://docs.google.com/spreadsheets/d/1-uDff_7J0KD5mKrp0Vvzr7lt3OU09vwQwhkpOPPYv2Y/edit?usp=sharing"",""งบพรบ!CX83"")"),0)</f>
        <v>0</v>
      </c>
      <c r="M194" s="47">
        <f ca="1">IFERROR(__xludf.DUMMYFUNCTION("IMPORTRANGE(""https://docs.google.com/spreadsheets/d/1-uDff_7J0KD5mKrp0Vvzr7lt3OU09vwQwhkpOPPYv2Y/edit?usp=sharing"",""งบพรบ!DA83"")"),0)</f>
        <v>0</v>
      </c>
      <c r="N194" s="47">
        <f ca="1">IFERROR(__xludf.DUMMYFUNCTION("IMPORTRANGE(""https://docs.google.com/spreadsheets/d/1-uDff_7J0KD5mKrp0Vvzr7lt3OU09vwQwhkpOPPYv2Y/edit?usp=sharing"",""งบพรบ!DC83"")"),0)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IFERROR(__xludf.DUMMYFUNCTION("IMPORTRANGE(""https://docs.google.com/spreadsheets/d/1ItG2mGa2ceCfYo0BwxsXqNm01IGEUdYcSSLTEv9YCik/edit?usp=sharing"",""เบิกจ่ายกองทุน!BT83"")"),0)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IFERROR(__xludf.DUMMYFUNCTION("IMPORTRANGE(""https://docs.google.com/spreadsheets/d/1ItG2mGa2ceCfYo0BwxsXqNm01IGEUdYcSSLTEv9YCik/edit?usp=sharing"",""เบิกจ่ายกองทุน!BU83"")"),0)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IFERROR(__xludf.DUMMYFUNCTION("IMPORTRANGE(""https://docs.google.com/spreadsheets/d/1ItG2mGa2ceCfYo0BwxsXqNm01IGEUdYcSSLTEv9YCik/edit?usp=sharing"",""เบิกจ่ายกองทุน!BV83"")"),0)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IFERROR(__xludf.DUMMYFUNCTION("IMPORTRANGE(""https://docs.google.com/spreadsheets/d/1eHaY18a8A9IcSdp1K8H6x8fbOy06t2VsZHhMHf-1x7Y/edit?usp=sharing"",""แผน!AB83"")"),6000)</f>
        <v>6000</v>
      </c>
      <c r="M196" s="46"/>
      <c r="N196" s="768">
        <v>1900</v>
      </c>
      <c r="O196" s="132">
        <f ca="1">IF(L196&gt;0,N196*100/L196,0)</f>
        <v>31.666666666666668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IFERROR(__xludf.DUMMYFUNCTION("IMPORTRANGE(""https://docs.google.com/spreadsheets/d/1eHaY18a8A9IcSdp1K8H6x8fbOy06t2VsZHhMHf-1x7Y/edit?usp=sharing"",""แผน!AE83"")"),4)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47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47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hidden="1" x14ac:dyDescent="0.25">
      <c r="A204" s="128"/>
      <c r="B204" s="159"/>
      <c r="C204" s="41"/>
      <c r="D204" s="48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IFERROR(__xludf.DUMMYFUNCTION("IMPORTRANGE(""https://docs.google.com/spreadsheets/d/1eHaY18a8A9IcSdp1K8H6x8fbOy06t2VsZHhMHf-1x7Y/edit?usp=sharing"",""แผน!AG83"")"),0)</f>
        <v>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88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IFERROR(__xludf.DUMMYFUNCTION("IMPORTRANGE(""https://docs.google.com/spreadsheets/d/1eHaY18a8A9IcSdp1K8H6x8fbOy06t2VsZHhMHf-1x7Y/edit?usp=sharing"",""แผน!AH83"")"),0)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95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IFERROR(__xludf.DUMMYFUNCTION("IMPORTRANGE(""https://docs.google.com/spreadsheets/d/1eHaY18a8A9IcSdp1K8H6x8fbOy06t2VsZHhMHf-1x7Y/edit?usp=sharing"",""แผน!AI83"")"),0)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IFERROR(__xludf.DUMMYFUNCTION("IMPORTRANGE(""https://docs.google.com/spreadsheets/d/1eHaY18a8A9IcSdp1K8H6x8fbOy06t2VsZHhMHf-1x7Y/edit?usp=sharing"",""แผน!LV83"")"),0)</f>
        <v>0</v>
      </c>
      <c r="R206" s="46"/>
      <c r="S206" s="742">
        <v>0</v>
      </c>
      <c r="T206" s="136"/>
      <c r="U206" s="46"/>
    </row>
    <row r="207" spans="1:21" ht="18.75" hidden="1" x14ac:dyDescent="0.25">
      <c r="A207" s="217"/>
      <c r="B207" s="159"/>
      <c r="C207" s="41"/>
      <c r="D207" s="41"/>
      <c r="E207" s="41"/>
      <c r="F207" s="41"/>
      <c r="G207" s="43"/>
      <c r="H207" s="43"/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IFERROR(__xludf.DUMMYFUNCTION("IMPORTRANGE(""https://docs.google.com/spreadsheets/d/1eHaY18a8A9IcSdp1K8H6x8fbOy06t2VsZHhMHf-1x7Y/edit?usp=sharing"",""แผน!AJ83"")"),0)</f>
        <v>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IFERROR(__xludf.DUMMYFUNCTION("IMPORTRANGE(""https://docs.google.com/spreadsheets/d/1eHaY18a8A9IcSdp1K8H6x8fbOy06t2VsZHhMHf-1x7Y/edit?usp=sharing"",""แผน!AK83"")"),0)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IFERROR(__xludf.DUMMYFUNCTION("IMPORTRANGE(""https://docs.google.com/spreadsheets/d/1eHaY18a8A9IcSdp1K8H6x8fbOy06t2VsZHhMHf-1x7Y/edit?usp=sharing"",""แผน!AK83"")"),0)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IFERROR(__xludf.DUMMYFUNCTION("IMPORTRANGE(""https://docs.google.com/spreadsheets/d/1eHaY18a8A9IcSdp1K8H6x8fbOy06t2VsZHhMHf-1x7Y/edit?usp=sharing"",""แผน!AK83"")"),0)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IFERROR(__xludf.DUMMYFUNCTION("IMPORTRANGE(""https://docs.google.com/spreadsheets/d/1eHaY18a8A9IcSdp1K8H6x8fbOy06t2VsZHhMHf-1x7Y/edit?usp=sharing"",""แผน!AM83"")"),0)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IFERROR(__xludf.DUMMYFUNCTION("IMPORTRANGE(""https://docs.google.com/spreadsheets/d/1eHaY18a8A9IcSdp1K8H6x8fbOy06t2VsZHhMHf-1x7Y/edit?usp=sharing"",""แผน!AN83"")"),0)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IFERROR(__xludf.DUMMYFUNCTION("IMPORTRANGE(""https://docs.google.com/spreadsheets/d/1eHaY18a8A9IcSdp1K8H6x8fbOy06t2VsZHhMHf-1x7Y/edit?usp=sharing"",""แผน!AO83"")"),0)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IFERROR(__xludf.DUMMYFUNCTION("IMPORTRANGE(""https://docs.google.com/spreadsheets/d/1eHaY18a8A9IcSdp1K8H6x8fbOy06t2VsZHhMHf-1x7Y/edit?usp=sharing"",""แผน!LY83"")"),0)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IFERROR(__xludf.DUMMYFUNCTION("IMPORTRANGE(""https://docs.google.com/spreadsheets/d/1eHaY18a8A9IcSdp1K8H6x8fbOy06t2VsZHhMHf-1x7Y/edit?usp=sharing"",""แผน!AP83"")"),0)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IFERROR(__xludf.DUMMYFUNCTION("IMPORTRANGE(""https://docs.google.com/spreadsheets/d/1eHaY18a8A9IcSdp1K8H6x8fbOy06t2VsZHhMHf-1x7Y/edit?usp=sharing"",""แผน!AP83"")"),0)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hidden="1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hidden="1" x14ac:dyDescent="0.3">
      <c r="A222" s="128"/>
      <c r="B222" s="41"/>
      <c r="C222" s="129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hidden="1" x14ac:dyDescent="0.25">
      <c r="A223" s="128"/>
      <c r="B223" s="159"/>
      <c r="C223" s="41"/>
      <c r="D223" s="48" t="s">
        <v>86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IFERROR(__xludf.DUMMYFUNCTION("IMPORTRANGE(""https://docs.google.com/spreadsheets/d/1eHaY18a8A9IcSdp1K8H6x8fbOy06t2VsZHhMHf-1x7Y/edit?usp=sharing"",""แผน!AR83"")"),0)</f>
        <v>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hidden="1" x14ac:dyDescent="0.25">
      <c r="A224" s="217"/>
      <c r="B224" s="159"/>
      <c r="C224" s="159"/>
      <c r="D224" s="48" t="s">
        <v>100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IFERROR(__xludf.DUMMYFUNCTION("IMPORTRANGE(""https://docs.google.com/spreadsheets/d/1eHaY18a8A9IcSdp1K8H6x8fbOy06t2VsZHhMHf-1x7Y/edit?usp=sharing"",""แผน!AS83"")"),0)</f>
        <v>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hidden="1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IFERROR(__xludf.DUMMYFUNCTION("IMPORTRANGE(""https://docs.google.com/spreadsheets/d/1eHaY18a8A9IcSdp1K8H6x8fbOy06t2VsZHhMHf-1x7Y/edit?usp=sharing"",""แผน!AT83"")"),0)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hidden="1" x14ac:dyDescent="0.3">
      <c r="A226" s="138"/>
      <c r="B226" s="139"/>
      <c r="C226" s="162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hidden="1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hidden="1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IFERROR(__xludf.DUMMYFUNCTION("IMPORTRANGE(""https://docs.google.com/spreadsheets/d/1eHaY18a8A9IcSdp1K8H6x8fbOy06t2VsZHhMHf-1x7Y/edit?usp=sharing"",""แผน!AV83"")"),0)</f>
        <v>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hidden="1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IFERROR(__xludf.DUMMYFUNCTION("IMPORTRANGE(""https://docs.google.com/spreadsheets/d/1eHaY18a8A9IcSdp1K8H6x8fbOy06t2VsZHhMHf-1x7Y/edit?usp=sharing"",""แผน!AV83"")"),0)</f>
        <v>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hidden="1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IFERROR(__xludf.DUMMYFUNCTION("IMPORTRANGE(""https://docs.google.com/spreadsheets/d/1eHaY18a8A9IcSdp1K8H6x8fbOy06t2VsZHhMHf-1x7Y/edit?usp=sharing"",""แผน!AU83"")"),0)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IFERROR(__xludf.DUMMYFUNCTION("IMPORTRANGE(""https://docs.google.com/spreadsheets/d/1eHaY18a8A9IcSdp1K8H6x8fbOy06t2VsZHhMHf-1x7Y/edit?usp=sharing"",""แผน!AX83"")"),0)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IFERROR(__xludf.DUMMYFUNCTION("IMPORTRANGE(""https://docs.google.com/spreadsheets/d/1eHaY18a8A9IcSdp1K8H6x8fbOy06t2VsZHhMHf-1x7Y/edit?usp=sharing"",""แผน!AY83"")"),0)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IFERROR(__xludf.DUMMYFUNCTION("IMPORTRANGE(""https://docs.google.com/spreadsheets/d/1eHaY18a8A9IcSdp1K8H6x8fbOy06t2VsZHhMHf-1x7Y/edit?usp=sharing"",""แผน!AZ83"")"),0)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IFERROR(__xludf.DUMMYFUNCTION("IMPORTRANGE(""https://docs.google.com/spreadsheets/d/1eHaY18a8A9IcSdp1K8H6x8fbOy06t2VsZHhMHf-1x7Y/edit?usp=sharing"",""แผน!BA83"")"),0)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IFERROR(__xludf.DUMMYFUNCTION("IMPORTRANGE(""https://docs.google.com/spreadsheets/d/1eHaY18a8A9IcSdp1K8H6x8fbOy06t2VsZHhMHf-1x7Y/edit?usp=sharing"",""แผน!BG83"")"),0)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IFERROR(__xludf.DUMMYFUNCTION("IMPORTRANGE(""https://docs.google.com/spreadsheets/d/1eHaY18a8A9IcSdp1K8H6x8fbOy06t2VsZHhMHf-1x7Y/edit?usp=sharing"",""แผน!BB83"")"),0)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IFERROR(__xludf.DUMMYFUNCTION("IMPORTRANGE(""https://docs.google.com/spreadsheets/d/1eHaY18a8A9IcSdp1K8H6x8fbOy06t2VsZHhMHf-1x7Y/edit?usp=sharing"",""แผน!BC83"")"),0)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IFERROR(__xludf.DUMMYFUNCTION("IMPORTRANGE(""https://docs.google.com/spreadsheets/d/1eHaY18a8A9IcSdp1K8H6x8fbOy06t2VsZHhMHf-1x7Y/edit?usp=sharing"",""แผน!BD83"")"),0)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IFERROR(__xludf.DUMMYFUNCTION("IMPORTRANGE(""https://docs.google.com/spreadsheets/d/1eHaY18a8A9IcSdp1K8H6x8fbOy06t2VsZHhMHf-1x7Y/edit?usp=sharing"",""แผน!BE83"")"),0)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IFERROR(__xludf.DUMMYFUNCTION("IMPORTRANGE(""https://docs.google.com/spreadsheets/d/1eHaY18a8A9IcSdp1K8H6x8fbOy06t2VsZHhMHf-1x7Y/edit?usp=sharing"",""แผน!BH83"")"),0)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10935</v>
      </c>
      <c r="T266" s="421">
        <f ca="1">IF(Q266&gt;0,S266*100/Q266,0)</f>
        <v>21.585076983813661</v>
      </c>
      <c r="U266" s="421">
        <f ca="1">IF(R266&gt;0,S266*100/R266,0)</f>
        <v>21.585076983813661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10935</v>
      </c>
      <c r="T268" s="331">
        <f ca="1">IF(Q268&gt;0,S268*100/Q268,0)</f>
        <v>21.585076983813661</v>
      </c>
      <c r="U268" s="331">
        <f ca="1">IF(R268&gt;0,S268*100/R268,0)</f>
        <v>21.585076983813661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10935</v>
      </c>
      <c r="T269" s="331">
        <f ca="1">IF(Q269&gt;0,S269*100/Q269,0)</f>
        <v>21.585076983813661</v>
      </c>
      <c r="U269" s="331">
        <f ca="1">IF(R269&gt;0,S269*100/R269,0)</f>
        <v>21.585076983813661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IFERROR(__xludf.DUMMYFUNCTION("IMPORTRANGE(""https://docs.google.com/spreadsheets/d/1-uDff_7J0KD5mKrp0Vvzr7lt3OU09vwQwhkpOPPYv2Y/edit?usp=sharing"",""งบพรบ!DE83"")"),5000)</f>
        <v>5000</v>
      </c>
      <c r="M271" s="331">
        <f ca="1">IFERROR(__xludf.DUMMYFUNCTION("IMPORTRANGE(""https://docs.google.com/spreadsheets/d/1-uDff_7J0KD5mKrp0Vvzr7lt3OU09vwQwhkpOPPYv2Y/edit?usp=sharing"",""งบพรบ!DJ83"")"),5000)</f>
        <v>5000</v>
      </c>
      <c r="N271" s="331">
        <f ca="1">IFERROR(__xludf.DUMMYFUNCTION("IMPORTRANGE(""https://docs.google.com/spreadsheets/d/1-uDff_7J0KD5mKrp0Vvzr7lt3OU09vwQwhkpOPPYv2Y/edit?usp=sharing"",""งบพรบ!DL83"")"),5000)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IFERROR(__xludf.DUMMYFUNCTION("IMPORTRANGE(""https://docs.google.com/spreadsheets/d/1ItG2mGa2ceCfYo0BwxsXqNm01IGEUdYcSSLTEv9YCik/edit?usp=sharing"",""เบิกจ่ายกองทุน!AP83"")"),50660)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IFERROR(__xludf.DUMMYFUNCTION("IMPORTRANGE(""https://docs.google.com/spreadsheets/d/1ItG2mGa2ceCfYo0BwxsXqNm01IGEUdYcSSLTEv9YCik/edit?usp=sharing"",""เบิกจ่ายกองทุน!AQ83"")"),50660)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IFERROR(__xludf.DUMMYFUNCTION("IMPORTRANGE(""https://docs.google.com/spreadsheets/d/1ItG2mGa2ceCfYo0BwxsXqNm01IGEUdYcSSLTEv9YCik/edit?usp=sharing"",""เบิกจ่ายกองทุน!AR83"")"),10935)</f>
        <v>10935</v>
      </c>
      <c r="T271" s="331">
        <f ca="1">IF(Q271&gt;0,S271*100/Q271,0)</f>
        <v>21.585076983813661</v>
      </c>
      <c r="U271" s="331">
        <f ca="1">IF(R271&gt;0,S271*100/R271,0)</f>
        <v>21.585076983813661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IFERROR(__xludf.DUMMYFUNCTION("IMPORTRANGE(""https://docs.google.com/spreadsheets/d/1-uDff_7J0KD5mKrp0Vvzr7lt3OU09vwQwhkpOPPYv2Y/edit?usp=sharing"",""งบพรบ!DH83"")"),0)</f>
        <v>0</v>
      </c>
      <c r="M274" s="331">
        <f ca="1">IFERROR(__xludf.DUMMYFUNCTION("IMPORTRANGE(""https://docs.google.com/spreadsheets/d/1-uDff_7J0KD5mKrp0Vvzr7lt3OU09vwQwhkpOPPYv2Y/edit?usp=sharing"",""งบพรบ!DK83"")"),0)</f>
        <v>0</v>
      </c>
      <c r="N274" s="331">
        <f ca="1">IFERROR(__xludf.DUMMYFUNCTION("IMPORTRANGE(""https://docs.google.com/spreadsheets/d/1-uDff_7J0KD5mKrp0Vvzr7lt3OU09vwQwhkpOPPYv2Y/edit?usp=sharing"",""งบพรบ!DM83"")"),0)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IFERROR(__xludf.DUMMYFUNCTION("IMPORTRANGE(""https://docs.google.com/spreadsheets/d/1eHaY18a8A9IcSdp1K8H6x8fbOy06t2VsZHhMHf-1x7Y/edit?usp=sharing"",""แผน!EC83"")"),22)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IFERROR(__xludf.DUMMYFUNCTION("IMPORTRANGE(""https://docs.google.com/spreadsheets/d/1-uDff_7J0KD5mKrp0Vvzr7lt3OU09vwQwhkpOPPYv2Y/edit?usp=sharing"",""งบพรบ!DO83"")"),0)</f>
        <v>0</v>
      </c>
      <c r="M287" s="47">
        <f ca="1">IFERROR(__xludf.DUMMYFUNCTION("IMPORTRANGE(""https://docs.google.com/spreadsheets/d/1-uDff_7J0KD5mKrp0Vvzr7lt3OU09vwQwhkpOPPYv2Y/edit?usp=sharing"",""งบพรบ!DT83"")"),0)</f>
        <v>0</v>
      </c>
      <c r="N287" s="47">
        <f ca="1">IFERROR(__xludf.DUMMYFUNCTION("IMPORTRANGE(""https://docs.google.com/spreadsheets/d/1-uDff_7J0KD5mKrp0Vvzr7lt3OU09vwQwhkpOPPYv2Y/edit?usp=sharing"",""งบพรบ!DV83"")"),0)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IFERROR(__xludf.DUMMYFUNCTION("IMPORTRANGE(""https://docs.google.com/spreadsheets/d/1-uDff_7J0KD5mKrp0Vvzr7lt3OU09vwQwhkpOPPYv2Y/edit?usp=sharing"",""งบพรบ!DR83"")"),0)</f>
        <v>0</v>
      </c>
      <c r="M290" s="47">
        <f ca="1">IFERROR(__xludf.DUMMYFUNCTION("IMPORTRANGE(""https://docs.google.com/spreadsheets/d/1-uDff_7J0KD5mKrp0Vvzr7lt3OU09vwQwhkpOPPYv2Y/edit?usp=sharing"",""งบพรบ!DU83"")"),0)</f>
        <v>0</v>
      </c>
      <c r="N290" s="47">
        <f ca="1">IFERROR(__xludf.DUMMYFUNCTION("IMPORTRANGE(""https://docs.google.com/spreadsheets/d/1-uDff_7J0KD5mKrp0Vvzr7lt3OU09vwQwhkpOPPYv2Y/edit?usp=sharing"",""งบพรบ!DW83"")"),0)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IFERROR(__xludf.DUMMYFUNCTION("IMPORTRANGE(""https://docs.google.com/spreadsheets/d/1eHaY18a8A9IcSdp1K8H6x8fbOy06t2VsZHhMHf-1x7Y/edit?usp=sharing"",""แผน!EE83"")"),0)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IFERROR(__xludf.DUMMYFUNCTION("IMPORTRANGE(""https://docs.google.com/spreadsheets/d/1eHaY18a8A9IcSdp1K8H6x8fbOy06t2VsZHhMHf-1x7Y/edit?usp=sharing"",""แผน!ED83"")"),0)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IFERROR(__xludf.DUMMYFUNCTION("IMPORTRANGE(""https://docs.google.com/spreadsheets/d/1eHaY18a8A9IcSdp1K8H6x8fbOy06t2VsZHhMHf-1x7Y/edit?usp=sharing"",""แผน!ED83"")"),0)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IFERROR(__xludf.DUMMYFUNCTION("IMPORTRANGE(""https://docs.google.com/spreadsheets/d/1eHaY18a8A9IcSdp1K8H6x8fbOy06t2VsZHhMHf-1x7Y/edit?usp=sharing"",""แผน!ED83"")"),0)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IFERROR(__xludf.DUMMYFUNCTION("IMPORTRANGE(""https://docs.google.com/spreadsheets/d/1-uDff_7J0KD5mKrp0Vvzr7lt3OU09vwQwhkpOPPYv2Y/edit?usp=sharing"",""งบพรบ!DY83"")"),0)</f>
        <v>0</v>
      </c>
      <c r="M308" s="47">
        <f ca="1">IFERROR(__xludf.DUMMYFUNCTION("IMPORTRANGE(""https://docs.google.com/spreadsheets/d/1-uDff_7J0KD5mKrp0Vvzr7lt3OU09vwQwhkpOPPYv2Y/edit?usp=sharing"",""งบพรบ!ED83"")"),0)</f>
        <v>0</v>
      </c>
      <c r="N308" s="47">
        <f ca="1">IFERROR(__xludf.DUMMYFUNCTION("IMPORTRANGE(""https://docs.google.com/spreadsheets/d/1-uDff_7J0KD5mKrp0Vvzr7lt3OU09vwQwhkpOPPYv2Y/edit?usp=sharing"",""งบพรบ!EF83"")"),0)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IFERROR(__xludf.DUMMYFUNCTION("IMPORTRANGE(""https://docs.google.com/spreadsheets/d/1ItG2mGa2ceCfYo0BwxsXqNm01IGEUdYcSSLTEv9YCik/edit?usp=sharing"",""เบิกจ่ายกองทุน!BB83"")"),0)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IFERROR(__xludf.DUMMYFUNCTION("IMPORTRANGE(""https://docs.google.com/spreadsheets/d/1ItG2mGa2ceCfYo0BwxsXqNm01IGEUdYcSSLTEv9YCik/edit?usp=sharing"",""เบิกจ่ายกองทุน!BC83"")"),0)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IFERROR(__xludf.DUMMYFUNCTION("IMPORTRANGE(""https://docs.google.com/spreadsheets/d/1ItG2mGa2ceCfYo0BwxsXqNm01IGEUdYcSSLTEv9YCik/edit?usp=sharing"",""เบิกจ่ายกองทุน!BD83"")"),0)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IFERROR(__xludf.DUMMYFUNCTION("IMPORTRANGE(""https://docs.google.com/spreadsheets/d/1-uDff_7J0KD5mKrp0Vvzr7lt3OU09vwQwhkpOPPYv2Y/edit?usp=sharing"",""งบพรบ!EB83"")"),0)</f>
        <v>0</v>
      </c>
      <c r="M311" s="47">
        <f ca="1">IFERROR(__xludf.DUMMYFUNCTION("IMPORTRANGE(""https://docs.google.com/spreadsheets/d/1-uDff_7J0KD5mKrp0Vvzr7lt3OU09vwQwhkpOPPYv2Y/edit?usp=sharing"",""งบพรบ!EE83"")"),0)</f>
        <v>0</v>
      </c>
      <c r="N311" s="47">
        <f ca="1">IFERROR(__xludf.DUMMYFUNCTION("IMPORTRANGE(""https://docs.google.com/spreadsheets/d/1-uDff_7J0KD5mKrp0Vvzr7lt3OU09vwQwhkpOPPYv2Y/edit?usp=sharing"",""งบพรบ!EG83"")"),0)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IFERROR(__xludf.DUMMYFUNCTION("IMPORTRANGE(""https://docs.google.com/spreadsheets/d/1eHaY18a8A9IcSdp1K8H6x8fbOy06t2VsZHhMHf-1x7Y/edit?usp=sharing"",""แผน!EF83"")"),0)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IFERROR(__xludf.DUMMYFUNCTION("IMPORTRANGE(""https://docs.google.com/spreadsheets/d/1-uDff_7J0KD5mKrp0Vvzr7lt3OU09vwQwhkpOPPYv2Y/edit?usp=sharing"",""งบพรบ!EI83"")"),0)</f>
        <v>0</v>
      </c>
      <c r="M325" s="47">
        <f ca="1">IFERROR(__xludf.DUMMYFUNCTION("IMPORTRANGE(""https://docs.google.com/spreadsheets/d/1-uDff_7J0KD5mKrp0Vvzr7lt3OU09vwQwhkpOPPYv2Y/edit?usp=sharing"",""งบพรบ!EN83"")"),0)</f>
        <v>0</v>
      </c>
      <c r="N325" s="47">
        <f ca="1">IFERROR(__xludf.DUMMYFUNCTION("IMPORTRANGE(""https://docs.google.com/spreadsheets/d/1-uDff_7J0KD5mKrp0Vvzr7lt3OU09vwQwhkpOPPYv2Y/edit?usp=sharing"",""งบพรบ!EP83"")"),0)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IFERROR(__xludf.DUMMYFUNCTION("IMPORTRANGE(""https://docs.google.com/spreadsheets/d/1-uDff_7J0KD5mKrp0Vvzr7lt3OU09vwQwhkpOPPYv2Y/edit?usp=sharing"",""งบพรบ!EL83"")"),0)</f>
        <v>0</v>
      </c>
      <c r="M328" s="47">
        <f ca="1">IFERROR(__xludf.DUMMYFUNCTION("IMPORTRANGE(""https://docs.google.com/spreadsheets/d/1-uDff_7J0KD5mKrp0Vvzr7lt3OU09vwQwhkpOPPYv2Y/edit?usp=sharing"",""งบพรบ!EO83"")"),0)</f>
        <v>0</v>
      </c>
      <c r="N328" s="47">
        <f ca="1">IFERROR(__xludf.DUMMYFUNCTION("IMPORTRANGE(""https://docs.google.com/spreadsheets/d/1-uDff_7J0KD5mKrp0Vvzr7lt3OU09vwQwhkpOPPYv2Y/edit?usp=sharing"",""งบพรบ!EQ83"")"),0)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IFERROR(__xludf.DUMMYFUNCTION("IMPORTRANGE(""https://docs.google.com/spreadsheets/d/1eHaY18a8A9IcSdp1K8H6x8fbOy06t2VsZHhMHf-1x7Y/edit?usp=sharing"",""แผน!EJ83"")"),0)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120</v>
      </c>
      <c r="J332" s="697">
        <f ca="1">J344+J347+J348+J349+J353</f>
        <v>321</v>
      </c>
      <c r="K332" s="696">
        <f ca="1">IF(I332&gt;0,J332*100/I332,0)</f>
        <v>267.5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200076.96</v>
      </c>
      <c r="O333" s="132">
        <f ca="1">IF(L333&gt;0,N333*100/L333,0)</f>
        <v>56.075381165919282</v>
      </c>
      <c r="P333" s="132">
        <f ca="1">IF(M333&gt;0,N333*100/M333,0)</f>
        <v>56.075381165919282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200076.96</v>
      </c>
      <c r="O335" s="47">
        <f ca="1">IF(L335&gt;0,N335*100/L335,0)</f>
        <v>56.075381165919282</v>
      </c>
      <c r="P335" s="47">
        <f ca="1">IF(M335&gt;0,N335*100/M335,0)</f>
        <v>56.075381165919282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200076.96</v>
      </c>
      <c r="O336" s="47">
        <f ca="1">IF(L336&gt;0,N336*100/L336,0)</f>
        <v>56.075381165919282</v>
      </c>
      <c r="P336" s="47">
        <f ca="1">IF(M336&gt;0,N336*100/M336,0)</f>
        <v>56.075381165919282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IFERROR(__xludf.DUMMYFUNCTION("IMPORTRANGE(""https://docs.google.com/spreadsheets/d/1-uDff_7J0KD5mKrp0Vvzr7lt3OU09vwQwhkpOPPYv2Y/edit?usp=sharing"",""งบพรบ!ES83"")"),356800)</f>
        <v>356800</v>
      </c>
      <c r="M338" s="47">
        <f ca="1">IFERROR(__xludf.DUMMYFUNCTION("IMPORTRANGE(""https://docs.google.com/spreadsheets/d/1-uDff_7J0KD5mKrp0Vvzr7lt3OU09vwQwhkpOPPYv2Y/edit?usp=sharing"",""งบพรบ!EX83"")"),356800)</f>
        <v>356800</v>
      </c>
      <c r="N338" s="47">
        <f ca="1">IFERROR(__xludf.DUMMYFUNCTION("IMPORTRANGE(""https://docs.google.com/spreadsheets/d/1-uDff_7J0KD5mKrp0Vvzr7lt3OU09vwQwhkpOPPYv2Y/edit?usp=sharing"",""งบพรบ!EZ83"")"),200076.96)</f>
        <v>200076.96</v>
      </c>
      <c r="O338" s="47">
        <f ca="1">IF(L338&gt;0,N338*100/L338,0)</f>
        <v>56.075381165919282</v>
      </c>
      <c r="P338" s="47">
        <f ca="1">IF(M338&gt;0,N338*100/M338,0)</f>
        <v>56.075381165919282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IFERROR(__xludf.DUMMYFUNCTION("IMPORTRANGE(""https://docs.google.com/spreadsheets/d/1-uDff_7J0KD5mKrp0Vvzr7lt3OU09vwQwhkpOPPYv2Y/edit?usp=sharing"",""งบพรบ!EV83"")"),0)</f>
        <v>0</v>
      </c>
      <c r="M341" s="47">
        <f ca="1">IFERROR(__xludf.DUMMYFUNCTION("IMPORTRANGE(""https://docs.google.com/spreadsheets/d/1-uDff_7J0KD5mKrp0Vvzr7lt3OU09vwQwhkpOPPYv2Y/edit?usp=sharing"",""งบพรบ!EY83"")"),0)</f>
        <v>0</v>
      </c>
      <c r="N341" s="47">
        <f ca="1">IFERROR(__xludf.DUMMYFUNCTION("IMPORTRANGE(""https://docs.google.com/spreadsheets/d/1-uDff_7J0KD5mKrp0Vvzr7lt3OU09vwQwhkpOPPYv2Y/edit?usp=sharing"",""งบพรบ!FA83"")"),0)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152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IFERROR(__xludf.DUMMYFUNCTION("IMPORTRANGE(""https://docs.google.com/spreadsheets/d/1eHaY18a8A9IcSdp1K8H6x8fbOy06t2VsZHhMHf-1x7Y/edit?usp=sharing"",""แผน!EK83"")"),120)</f>
        <v>120</v>
      </c>
      <c r="J344" s="152">
        <f ca="1">IFERROR(__xludf.DUMMYFUNCTION("IMPORTRANGE(""https://docs.google.com/spreadsheets/d/1awYsYK3VOup2i3Pq_Yjnu8DRu_mYwSBnCR2QPthd0rU/edit?usp=sharing"",""ศูนย์ยกเว้นโฉนด!D83"")"),149)</f>
        <v>149</v>
      </c>
      <c r="K344" s="47">
        <f ca="1">IF(I344&gt;0,J344*100/I344,0)</f>
        <v>124.16666666666667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IFERROR(__xludf.DUMMYFUNCTION("IMPORTRANGE(""https://docs.google.com/spreadsheets/d/1eHaY18a8A9IcSdp1K8H6x8fbOy06t2VsZHhMHf-1x7Y/edit?usp=sharing"",""แผน!EL83"")"),1)</f>
        <v>1</v>
      </c>
      <c r="J346" s="152">
        <f ca="1">IFERROR(__xludf.DUMMYFUNCTION("IMPORTRANGE(""https://docs.google.com/spreadsheets/d/1awYsYK3VOup2i3Pq_Yjnu8DRu_mYwSBnCR2QPthd0rU/edit?usp=sharing"",""ศูนย์รวม!E83"")"),0)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IFERROR(__xludf.DUMMYFUNCTION("IMPORTRANGE(""https://docs.google.com/spreadsheets/d/1awYsYK3VOup2i3Pq_Yjnu8DRu_mYwSBnCR2QPthd0rU/edit?usp=sharing"",""ศูนย์ยกเว้นโฉนด!F83"")"),3)</f>
        <v>3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IFERROR(__xludf.DUMMYFUNCTION("IMPORTRANGE(""https://docs.google.com/spreadsheets/d/1awYsYK3VOup2i3Pq_Yjnu8DRu_mYwSBnCR2QPthd0rU/edit?usp=sharing"",""ศูนย์ยกเว้นโฉนด!G83"")"),0)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IFERROR(__xludf.DUMMYFUNCTION("IMPORTRANGE(""https://docs.google.com/spreadsheets/d/1awYsYK3VOup2i3Pq_Yjnu8DRu_mYwSBnCR2QPthd0rU/edit?usp=sharing"",""ศูนย์ยกเว้นโฉนด!H83"")"),0)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171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IFERROR(__xludf.DUMMYFUNCTION("IMPORTRANGE(""https://docs.google.com/spreadsheets/d/1awYsYK3VOup2i3Pq_Yjnu8DRu_mYwSBnCR2QPthd0rU/edit?usp=sharing"",""โฉนดM3!G83"")"),2)</f>
        <v>2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IFERROR(__xludf.DUMMYFUNCTION("IMPORTRANGE(""https://docs.google.com/spreadsheets/d/1awYsYK3VOup2i3Pq_Yjnu8DRu_mYwSBnCR2QPthd0rU/edit?usp=sharing"",""โฉนดM3!H83"")"),169)</f>
        <v>169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363490</v>
      </c>
      <c r="M356" s="132">
        <f ca="1">M357+M358</f>
        <v>363490</v>
      </c>
      <c r="N356" s="132">
        <f ca="1">N357+N358</f>
        <v>217085</v>
      </c>
      <c r="O356" s="132">
        <f ca="1">IF(L356&gt;0,N356*100/L356,0)</f>
        <v>59.722413271341715</v>
      </c>
      <c r="P356" s="132">
        <f ca="1">IF(M356&gt;0,N356*100/M356,0)</f>
        <v>59.722413271341715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363490</v>
      </c>
      <c r="M358" s="47">
        <f ca="1">M361+M364</f>
        <v>363490</v>
      </c>
      <c r="N358" s="47">
        <f ca="1">N361+N364</f>
        <v>217085</v>
      </c>
      <c r="O358" s="47">
        <f ca="1">IF(L358&gt;0,N358*100/L358,0)</f>
        <v>59.722413271341715</v>
      </c>
      <c r="P358" s="47">
        <f ca="1">IF(M358&gt;0,N358*100/M358,0)</f>
        <v>59.722413271341715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363490</v>
      </c>
      <c r="M359" s="47">
        <f ca="1">M360+M361</f>
        <v>363490</v>
      </c>
      <c r="N359" s="47">
        <f ca="1">N360+N361</f>
        <v>217085</v>
      </c>
      <c r="O359" s="47">
        <f ca="1">IF(L359&gt;0,N359*100/L359,0)</f>
        <v>59.722413271341715</v>
      </c>
      <c r="P359" s="47">
        <f ca="1">IF(M359&gt;0,N359*100/M359,0)</f>
        <v>59.722413271341715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IFERROR(__xludf.DUMMYFUNCTION("IMPORTRANGE(""https://docs.google.com/spreadsheets/d/1-uDff_7J0KD5mKrp0Vvzr7lt3OU09vwQwhkpOPPYv2Y/edit?usp=sharing"",""งบพรบ!FC83"")"),363490)</f>
        <v>363490</v>
      </c>
      <c r="M361" s="47">
        <f ca="1">IFERROR(__xludf.DUMMYFUNCTION("IMPORTRANGE(""https://docs.google.com/spreadsheets/d/1-uDff_7J0KD5mKrp0Vvzr7lt3OU09vwQwhkpOPPYv2Y/edit?usp=sharing"",""งบพรบ!FH83"")"),363490)</f>
        <v>363490</v>
      </c>
      <c r="N361" s="47">
        <f ca="1">IFERROR(__xludf.DUMMYFUNCTION("IMPORTRANGE(""https://docs.google.com/spreadsheets/d/1-uDff_7J0KD5mKrp0Vvzr7lt3OU09vwQwhkpOPPYv2Y/edit?usp=sharing"",""งบพรบ!FJ83"")"),217085)</f>
        <v>217085</v>
      </c>
      <c r="O361" s="47">
        <f ca="1">IF(L361&gt;0,N361*100/L361,0)</f>
        <v>59.722413271341715</v>
      </c>
      <c r="P361" s="47">
        <f ca="1">IF(M361&gt;0,N361*100/M361,0)</f>
        <v>59.722413271341715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IFERROR(__xludf.DUMMYFUNCTION("IMPORTRANGE(""https://docs.google.com/spreadsheets/d/1-uDff_7J0KD5mKrp0Vvzr7lt3OU09vwQwhkpOPPYv2Y/edit?usp=sharing"",""งบพรบ!FF83"")"),0)</f>
        <v>0</v>
      </c>
      <c r="M364" s="47">
        <f ca="1">IFERROR(__xludf.DUMMYFUNCTION("IMPORTRANGE(""https://docs.google.com/spreadsheets/d/1-uDff_7J0KD5mKrp0Vvzr7lt3OU09vwQwhkpOPPYv2Y/edit?usp=sharing"",""งบพรบ!FI83"")"),0)</f>
        <v>0</v>
      </c>
      <c r="N364" s="47">
        <f ca="1">IFERROR(__xludf.DUMMYFUNCTION("IMPORTRANGE(""https://docs.google.com/spreadsheets/d/1-uDff_7J0KD5mKrp0Vvzr7lt3OU09vwQwhkpOPPYv2Y/edit?usp=sharing"",""งบพรบ!FK83"")"),0)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42</v>
      </c>
      <c r="J365" s="228">
        <f ca="1">J371</f>
        <v>36</v>
      </c>
      <c r="K365" s="229">
        <f ca="1">IF(I365&gt;0,J365*100/I365,0)</f>
        <v>85.714285714285708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IFERROR(__xludf.DUMMYFUNCTION("IMPORTRANGE(""https://docs.google.com/spreadsheets/d/1tdoBKaGub7dwA3U6UFTqxio9LNnvDCQjHKmttSEBsFQ/edit?usp=sharing"",""จัดที่ดิน!AB83"")"),21)</f>
        <v>21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IFERROR(__xludf.DUMMYFUNCTION("IMPORTRANGE(""https://docs.google.com/spreadsheets/d/1eHaY18a8A9IcSdp1K8H6x8fbOy06t2VsZHhMHf-1x7Y/edit?usp=sharing"",""แผน!EW83"")"),175)</f>
        <v>175</v>
      </c>
      <c r="J368" s="685">
        <f ca="1">IFERROR(__xludf.DUMMYFUNCTION("IMPORTRANGE(""https://docs.google.com/spreadsheets/d/1tdoBKaGub7dwA3U6UFTqxio9LNnvDCQjHKmttSEBsFQ/edit?usp=sharing"",""จัดที่ดิน!AC83"")"),76.5)</f>
        <v>76.5</v>
      </c>
      <c r="K368" s="47">
        <f ca="1">IF(I368&gt;0,J368*100/I368,0)</f>
        <v>43.714285714285715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IFERROR(__xludf.DUMMYFUNCTION("IMPORTRANGE(""https://docs.google.com/spreadsheets/d/1eHaY18a8A9IcSdp1K8H6x8fbOy06t2VsZHhMHf-1x7Y/edit?usp=sharing"",""แผน!EX83"")"),42)</f>
        <v>42</v>
      </c>
      <c r="J369" s="152">
        <f ca="1">IFERROR(__xludf.DUMMYFUNCTION("IMPORTRANGE(""https://docs.google.com/spreadsheets/d/1tdoBKaGub7dwA3U6UFTqxio9LNnvDCQjHKmttSEBsFQ/edit?usp=sharing"",""จัดที่ดิน!AD83"")"),36)</f>
        <v>36</v>
      </c>
      <c r="K369" s="47">
        <f ca="1">IF(I369&gt;0,J369*100/I369,0)</f>
        <v>85.714285714285708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IFERROR(__xludf.DUMMYFUNCTION("IMPORTRANGE(""https://docs.google.com/spreadsheets/d/1tdoBKaGub7dwA3U6UFTqxio9LNnvDCQjHKmttSEBsFQ/edit?usp=sharing"",""จัดที่ดิน!AE83"")"),283.88)</f>
        <v>283.88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IFERROR(__xludf.DUMMYFUNCTION("IMPORTRANGE(""https://docs.google.com/spreadsheets/d/1eHaY18a8A9IcSdp1K8H6x8fbOy06t2VsZHhMHf-1x7Y/edit?usp=sharing"",""แผน!EY83"")"),42)</f>
        <v>42</v>
      </c>
      <c r="J371" s="152">
        <f ca="1">IFERROR(__xludf.DUMMYFUNCTION("IMPORTRANGE(""https://docs.google.com/spreadsheets/d/1tdoBKaGub7dwA3U6UFTqxio9LNnvDCQjHKmttSEBsFQ/edit?usp=sharing"",""จัดที่ดิน!AF83"")"),36)</f>
        <v>36</v>
      </c>
      <c r="K371" s="47">
        <f ca="1">IF(I371&gt;0,J371*100/I371,0)</f>
        <v>85.714285714285708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IFERROR(__xludf.DUMMYFUNCTION("IMPORTRANGE(""https://docs.google.com/spreadsheets/d/1tdoBKaGub7dwA3U6UFTqxio9LNnvDCQjHKmttSEBsFQ/edit?usp=sharing"",""จัดที่ดิน!AG83"")"),283.88)</f>
        <v>283.88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41000</v>
      </c>
      <c r="M375" s="132">
        <f ca="1">M376+M377</f>
        <v>41000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12500</v>
      </c>
      <c r="R375" s="132">
        <f ca="1">R376+R377</f>
        <v>12500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41000</v>
      </c>
      <c r="M377" s="47">
        <f ca="1">M380+M383</f>
        <v>41000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12500</v>
      </c>
      <c r="R377" s="47">
        <f ca="1">R380+R383</f>
        <v>12500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41000</v>
      </c>
      <c r="M378" s="47">
        <f ca="1">M379+M380</f>
        <v>41000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12500</v>
      </c>
      <c r="R378" s="47">
        <f ca="1">R379+R380</f>
        <v>12500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IFERROR(__xludf.DUMMYFUNCTION("IMPORTRANGE(""https://docs.google.com/spreadsheets/d/1-uDff_7J0KD5mKrp0Vvzr7lt3OU09vwQwhkpOPPYv2Y/edit?usp=sharing"",""งบพรบ!IE83"")"),41000)</f>
        <v>41000</v>
      </c>
      <c r="M380" s="47">
        <f ca="1">IFERROR(__xludf.DUMMYFUNCTION("IMPORTRANGE(""https://docs.google.com/spreadsheets/d/1-uDff_7J0KD5mKrp0Vvzr7lt3OU09vwQwhkpOPPYv2Y/edit?usp=sharing"",""งบพรบ!IJ83"")"),41000)</f>
        <v>41000</v>
      </c>
      <c r="N380" s="47">
        <f ca="1">IFERROR(__xludf.DUMMYFUNCTION("IMPORTRANGE(""https://docs.google.com/spreadsheets/d/1-uDff_7J0KD5mKrp0Vvzr7lt3OU09vwQwhkpOPPYv2Y/edit?usp=sharing"",""งบพรบ!IL83"")"),0)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IFERROR(__xludf.DUMMYFUNCTION("IMPORTRANGE(""https://docs.google.com/spreadsheets/d/1ItG2mGa2ceCfYo0BwxsXqNm01IGEUdYcSSLTEv9YCik/edit?usp=sharing"",""เบิกจ่ายกองทุน!BW83"")"),12500)</f>
        <v>12500</v>
      </c>
      <c r="R380" s="47">
        <f ca="1">IFERROR(__xludf.DUMMYFUNCTION("IMPORTRANGE(""https://docs.google.com/spreadsheets/d/1ItG2mGa2ceCfYo0BwxsXqNm01IGEUdYcSSLTEv9YCik/edit?usp=sharing"",""เบิกจ่ายกองทุน!BX83"")"),12500)</f>
        <v>12500</v>
      </c>
      <c r="S380" s="47">
        <f ca="1">IFERROR(__xludf.DUMMYFUNCTION("IMPORTRANGE(""https://docs.google.com/spreadsheets/d/1ItG2mGa2ceCfYo0BwxsXqNm01IGEUdYcSSLTEv9YCik/edit?usp=sharing"",""เบิกจ่ายกองทุน!BY83"")"),0)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IFERROR(__xludf.DUMMYFUNCTION("IMPORTRANGE(""https://docs.google.com/spreadsheets/d/1-uDff_7J0KD5mKrp0Vvzr7lt3OU09vwQwhkpOPPYv2Y/edit?usp=sharing"",""งบพรบ!IH83"")"),0)</f>
        <v>0</v>
      </c>
      <c r="M383" s="47">
        <f ca="1">IFERROR(__xludf.DUMMYFUNCTION("IMPORTRANGE(""https://docs.google.com/spreadsheets/d/1-uDff_7J0KD5mKrp0Vvzr7lt3OU09vwQwhkpOPPYv2Y/edit?usp=sharing"",""งบพรบ!IK83"")"),0)</f>
        <v>0</v>
      </c>
      <c r="N383" s="47">
        <f ca="1">IFERROR(__xludf.DUMMYFUNCTION("IMPORTRANGE(""https://docs.google.com/spreadsheets/d/1-uDff_7J0KD5mKrp0Vvzr7lt3OU09vwQwhkpOPPYv2Y/edit?usp=sharing"",""งบพรบ!IM83"")"),0)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IFERROR(__xludf.DUMMYFUNCTION("IMPORTRANGE(""https://docs.google.com/spreadsheets/d/1w5rwWK1o49a35cNtocGL0gxDwhFSTZUQu90BiH9_zqM/edit?usp=sharing"",""RTK!H83"")"),0)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IFERROR(__xludf.DUMMYFUNCTION("IMPORTRANGE(""https://docs.google.com/spreadsheets/d/1w5rwWK1o49a35cNtocGL0gxDwhFSTZUQu90BiH9_zqM/edit?usp=sharing"",""RTK!G83"")"),200)</f>
        <v>200</v>
      </c>
      <c r="J386" s="152">
        <f ca="1">IFERROR(__xludf.DUMMYFUNCTION("IMPORTRANGE(""https://docs.google.com/spreadsheets/d/1w5rwWK1o49a35cNtocGL0gxDwhFSTZUQu90BiH9_zqM/edit?usp=sharing"",""RTK!I83"")"),0)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IFERROR(__xludf.DUMMYFUNCTION("IMPORTRANGE(""https://docs.google.com/spreadsheets/d/1w5rwWK1o49a35cNtocGL0gxDwhFSTZUQu90BiH9_zqM/edit?usp=sharing"",""RTK!L83"")"),0)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IFERROR(__xludf.DUMMYFUNCTION("IMPORTRANGE(""https://docs.google.com/spreadsheets/d/1w5rwWK1o49a35cNtocGL0gxDwhFSTZUQu90BiH9_zqM/edit?usp=sharing"",""RTK!K83"")"),0)</f>
        <v>0</v>
      </c>
      <c r="J388" s="330">
        <f ca="1">IFERROR(__xludf.DUMMYFUNCTION("IMPORTRANGE(""https://docs.google.com/spreadsheets/d/1w5rwWK1o49a35cNtocGL0gxDwhFSTZUQu90BiH9_zqM/edit?usp=sharing"",""RTK!M83"")"),0)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IFERROR(__xludf.DUMMYFUNCTION("IMPORTRANGE(""https://docs.google.com/spreadsheets/d/1ItG2mGa2ceCfYo0BwxsXqNm01IGEUdYcSSLTEv9YCik/edit?usp=sharing"",""เบิกจ่ายกองทุน!CL83"")"),0)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IFERROR(__xludf.DUMMYFUNCTION("IMPORTRANGE(""https://docs.google.com/spreadsheets/d/1ItG2mGa2ceCfYo0BwxsXqNm01IGEUdYcSSLTEv9YCik/edit?usp=sharing"",""เบิกจ่ายกองทุน!CM83"")"),0)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IFERROR(__xludf.DUMMYFUNCTION("IMPORTRANGE(""https://docs.google.com/spreadsheets/d/1ItG2mGa2ceCfYo0BwxsXqNm01IGEUdYcSSLTEv9YCik/edit?usp=sharing"",""เบิกจ่ายกองทุน!CN83"")"),0)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8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IFERROR(__xludf.DUMMYFUNCTION("IMPORTRANGE(""https://docs.google.com/spreadsheets/d/1-uDff_7J0KD5mKrp0Vvzr7lt3OU09vwQwhkpOPPYv2Y/edit?usp=sharing"",""งบพรบ!IO83"")"),0)</f>
        <v>0</v>
      </c>
      <c r="M418" s="47">
        <f ca="1">IFERROR(__xludf.DUMMYFUNCTION("IMPORTRANGE(""https://docs.google.com/spreadsheets/d/1-uDff_7J0KD5mKrp0Vvzr7lt3OU09vwQwhkpOPPYv2Y/edit?usp=sharing"",""งบพรบ!IT83"")"),0)</f>
        <v>0</v>
      </c>
      <c r="N418" s="47">
        <f ca="1">IFERROR(__xludf.DUMMYFUNCTION("IMPORTRANGE(""https://docs.google.com/spreadsheets/d/1-uDff_7J0KD5mKrp0Vvzr7lt3OU09vwQwhkpOPPYv2Y/edit?usp=sharing"",""งบพรบ!IV83"")"),0)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IFERROR(__xludf.DUMMYFUNCTION("IMPORTRANGE(""https://docs.google.com/spreadsheets/d/1ItG2mGa2ceCfYo0BwxsXqNm01IGEUdYcSSLTEv9YCik/edit?usp=sharing"",""เบิกจ่ายกองทุน!BZ83"")"),0)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IFERROR(__xludf.DUMMYFUNCTION("IMPORTRANGE(""https://docs.google.com/spreadsheets/d/1ItG2mGa2ceCfYo0BwxsXqNm01IGEUdYcSSLTEv9YCik/edit?usp=sharing"",""เบิกจ่ายกองทุน!CA83"")"),0)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IFERROR(__xludf.DUMMYFUNCTION("IMPORTRANGE(""https://docs.google.com/spreadsheets/d/1ItG2mGa2ceCfYo0BwxsXqNm01IGEUdYcSSLTEv9YCik/edit?usp=sharing"",""เบิกจ่ายกองทุน!CB83"")"),0)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IFERROR(__xludf.DUMMYFUNCTION("IMPORTRANGE(""https://docs.google.com/spreadsheets/d/1-uDff_7J0KD5mKrp0Vvzr7lt3OU09vwQwhkpOPPYv2Y/edit?usp=sharing"",""งบพรบ!IR83"")"),0)</f>
        <v>0</v>
      </c>
      <c r="M421" s="47">
        <f ca="1">IFERROR(__xludf.DUMMYFUNCTION("IMPORTRANGE(""https://docs.google.com/spreadsheets/d/1-uDff_7J0KD5mKrp0Vvzr7lt3OU09vwQwhkpOPPYv2Y/edit?usp=sharing"",""งบพรบ!IU83"")"),0)</f>
        <v>0</v>
      </c>
      <c r="N421" s="47">
        <f ca="1">IFERROR(__xludf.DUMMYFUNCTION("IMPORTRANGE(""https://docs.google.com/spreadsheets/d/1-uDff_7J0KD5mKrp0Vvzr7lt3OU09vwQwhkpOPPYv2Y/edit?usp=sharing"",""งบพรบ!IW83"")"),0)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IFERROR(__xludf.DUMMYFUNCTION("IMPORTRANGE(""https://docs.google.com/spreadsheets/d/1eHaY18a8A9IcSdp1K8H6x8fbOy06t2VsZHhMHf-1x7Y/edit?usp=sharing"",""แผน!HJ83"")"),0)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IFERROR(__xludf.DUMMYFUNCTION("IMPORTRANGE(""https://docs.google.com/spreadsheets/d/1eHaY18a8A9IcSdp1K8H6x8fbOy06t2VsZHhMHf-1x7Y/edit?usp=sharing"",""แผน!HK83"")"),0)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IFERROR(__xludf.DUMMYFUNCTION("IMPORTRANGE(""https://docs.google.com/spreadsheets/d/1eHaY18a8A9IcSdp1K8H6x8fbOy06t2VsZHhMHf-1x7Y/edit?usp=sharing"",""แผน!HJ83"")"),0)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IFERROR(__xludf.DUMMYFUNCTION("IMPORTRANGE(""https://docs.google.com/spreadsheets/d/1eHaY18a8A9IcSdp1K8H6x8fbOy06t2VsZHhMHf-1x7Y/edit?usp=sharing"",""แผน!HK83"")"),0)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IFERROR(__xludf.DUMMYFUNCTION("IMPORTRANGE(""https://docs.google.com/spreadsheets/d/1eHaY18a8A9IcSdp1K8H6x8fbOy06t2VsZHhMHf-1x7Y/edit?usp=sharing"",""แผน!HJ83"")"),0)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IFERROR(__xludf.DUMMYFUNCTION("IMPORTRANGE(""https://docs.google.com/spreadsheets/d/1eHaY18a8A9IcSdp1K8H6x8fbOy06t2VsZHhMHf-1x7Y/edit?usp=sharing"",""แผน!HK83"")"),0)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IFERROR(__xludf.DUMMYFUNCTION("IMPORTRANGE(""https://docs.google.com/spreadsheets/d/1eHaY18a8A9IcSdp1K8H6x8fbOy06t2VsZHhMHf-1x7Y/edit?usp=sharing"",""แผน!HL83"")"),0)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IFERROR(__xludf.DUMMYFUNCTION("IMPORTRANGE(""https://docs.google.com/spreadsheets/d/1eHaY18a8A9IcSdp1K8H6x8fbOy06t2VsZHhMHf-1x7Y/edit?usp=sharing"",""แผน!HM83"")"),0)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IFERROR(__xludf.DUMMYFUNCTION("IMPORTRANGE(""https://docs.google.com/spreadsheets/d/1-uDff_7J0KD5mKrp0Vvzr7lt3OU09vwQwhkpOPPYv2Y/edit?usp=sharing"",""งบพรบ!HU83"")"),0)</f>
        <v>0</v>
      </c>
      <c r="M498" s="47">
        <f ca="1">IFERROR(__xludf.DUMMYFUNCTION("IMPORTRANGE(""https://docs.google.com/spreadsheets/d/1-uDff_7J0KD5mKrp0Vvzr7lt3OU09vwQwhkpOPPYv2Y/edit?usp=sharing"",""งบพรบ!HZ83"")"),0)</f>
        <v>0</v>
      </c>
      <c r="N498" s="47">
        <f ca="1">IFERROR(__xludf.DUMMYFUNCTION("IMPORTRANGE(""https://docs.google.com/spreadsheets/d/1-uDff_7J0KD5mKrp0Vvzr7lt3OU09vwQwhkpOPPYv2Y/edit?usp=sharing"",""งบพรบ!IB83"")"),0)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IFERROR(__xludf.DUMMYFUNCTION("IMPORTRANGE(""https://docs.google.com/spreadsheets/d/1ItG2mGa2ceCfYo0BwxsXqNm01IGEUdYcSSLTEv9YCik/edit?usp=sharing"",""เบิกจ่ายกองทุน!AD83"")"),0)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IFERROR(__xludf.DUMMYFUNCTION("IMPORTRANGE(""https://docs.google.com/spreadsheets/d/1ItG2mGa2ceCfYo0BwxsXqNm01IGEUdYcSSLTEv9YCik/edit?usp=sharing"",""เบิกจ่ายกองทุน!AE83"")"),0)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IFERROR(__xludf.DUMMYFUNCTION("IMPORTRANGE(""https://docs.google.com/spreadsheets/d/1ItG2mGa2ceCfYo0BwxsXqNm01IGEUdYcSSLTEv9YCik/edit?usp=sharing"",""เบิกจ่ายกองทุน!AF83"")"),0)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IFERROR(__xludf.DUMMYFUNCTION("IMPORTRANGE(""https://docs.google.com/spreadsheets/d/1-uDff_7J0KD5mKrp0Vvzr7lt3OU09vwQwhkpOPPYv2Y/edit?usp=sharing"",""งบพรบ!HX83"")"),0)</f>
        <v>0</v>
      </c>
      <c r="M501" s="47">
        <f ca="1">IFERROR(__xludf.DUMMYFUNCTION("IMPORTRANGE(""https://docs.google.com/spreadsheets/d/1-uDff_7J0KD5mKrp0Vvzr7lt3OU09vwQwhkpOPPYv2Y/edit?usp=sharing"",""งบพรบ!IA83"")"),0)</f>
        <v>0</v>
      </c>
      <c r="N501" s="47">
        <f ca="1">IFERROR(__xludf.DUMMYFUNCTION("IMPORTRANGE(""https://docs.google.com/spreadsheets/d/1-uDff_7J0KD5mKrp0Vvzr7lt3OU09vwQwhkpOPPYv2Y/edit?usp=sharing"",""งบพรบ!IC83"")"),0)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IFERROR(__xludf.DUMMYFUNCTION("IMPORTRANGE(""https://docs.google.com/spreadsheets/d/1eHaY18a8A9IcSdp1K8H6x8fbOy06t2VsZHhMHf-1x7Y/edit?usp=sharing"",""แผน!GX83"")"),0)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IFERROR(__xludf.DUMMYFUNCTION("IMPORTRANGE(""https://docs.google.com/spreadsheets/d/1eHaY18a8A9IcSdp1K8H6x8fbOy06t2VsZHhMHf-1x7Y/edit?usp=sharing"",""แผน!GY83"")"),0)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IFERROR(__xludf.DUMMYFUNCTION("IMPORTRANGE(""https://docs.google.com/spreadsheets/d/1eHaY18a8A9IcSdp1K8H6x8fbOy06t2VsZHhMHf-1x7Y/edit?usp=sharing"",""แผน!GZ83"")"),0)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IFERROR(__xludf.DUMMYFUNCTION("IMPORTRANGE(""https://docs.google.com/spreadsheets/d/1eHaY18a8A9IcSdp1K8H6x8fbOy06t2VsZHhMHf-1x7Y/edit?usp=sharing"",""แผน!HA83"")"),0)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IFERROR(__xludf.DUMMYFUNCTION("IMPORTRANGE(""https://docs.google.com/spreadsheets/d/1eHaY18a8A9IcSdp1K8H6x8fbOy06t2VsZHhMHf-1x7Y/edit?usp=sharing"",""แผน!HB83"")"),0)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IFERROR(__xludf.DUMMYFUNCTION("IMPORTRANGE(""https://docs.google.com/spreadsheets/d/1eHaY18a8A9IcSdp1K8H6x8fbOy06t2VsZHhMHf-1x7Y/edit?usp=sharing"",""แผน!HC83"")"),0)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IFERROR(__xludf.DUMMYFUNCTION("IMPORTRANGE(""https://docs.google.com/spreadsheets/d/1-uDff_7J0KD5mKrp0Vvzr7lt3OU09vwQwhkpOPPYv2Y/edit?usp=sharing"",""งบพรบ!FM83"")"),0)</f>
        <v>0</v>
      </c>
      <c r="M518" s="47">
        <f ca="1">IFERROR(__xludf.DUMMYFUNCTION("IMPORTRANGE(""https://docs.google.com/spreadsheets/d/1-uDff_7J0KD5mKrp0Vvzr7lt3OU09vwQwhkpOPPYv2Y/edit?usp=sharing"",""งบพรบ!FR83"")"),0)</f>
        <v>0</v>
      </c>
      <c r="N518" s="47">
        <f ca="1">IFERROR(__xludf.DUMMYFUNCTION("IMPORTRANGE(""https://docs.google.com/spreadsheets/d/1-uDff_7J0KD5mKrp0Vvzr7lt3OU09vwQwhkpOPPYv2Y/edit?usp=sharing"",""งบพรบ!FT83"")"),0)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IFERROR(__xludf.DUMMYFUNCTION("IMPORTRANGE(""https://docs.google.com/spreadsheets/d/1-uDff_7J0KD5mKrp0Vvzr7lt3OU09vwQwhkpOPPYv2Y/edit?usp=sharing"",""งบพรบ!FP83"")"),0)</f>
        <v>0</v>
      </c>
      <c r="M521" s="47">
        <f ca="1">IFERROR(__xludf.DUMMYFUNCTION("IMPORTRANGE(""https://docs.google.com/spreadsheets/d/1-uDff_7J0KD5mKrp0Vvzr7lt3OU09vwQwhkpOPPYv2Y/edit?usp=sharing"",""งบพรบ!FS83"")"),0)</f>
        <v>0</v>
      </c>
      <c r="N521" s="47">
        <f ca="1">IFERROR(__xludf.DUMMYFUNCTION("IMPORTRANGE(""https://docs.google.com/spreadsheets/d/1-uDff_7J0KD5mKrp0Vvzr7lt3OU09vwQwhkpOPPYv2Y/edit?usp=sharing"",""งบพรบ!FU83"")"),0)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IFERROR(__xludf.DUMMYFUNCTION("IMPORTRANGE(""https://docs.google.com/spreadsheets/d/1-uDff_7J0KD5mKrp0Vvzr7lt3OU09vwQwhkpOPPYv2Y/edit?usp=sharing"",""งบพรบ!FW83"")"),0)</f>
        <v>0</v>
      </c>
      <c r="M539" s="47">
        <f ca="1">IFERROR(__xludf.DUMMYFUNCTION("IMPORTRANGE(""https://docs.google.com/spreadsheets/d/1-uDff_7J0KD5mKrp0Vvzr7lt3OU09vwQwhkpOPPYv2Y/edit?usp=sharing"",""งบพรบ!GB83"")"),0)</f>
        <v>0</v>
      </c>
      <c r="N539" s="47">
        <f ca="1">IFERROR(__xludf.DUMMYFUNCTION("IMPORTRANGE(""https://docs.google.com/spreadsheets/d/1-uDff_7J0KD5mKrp0Vvzr7lt3OU09vwQwhkpOPPYv2Y/edit?usp=sharing"",""งบพรบ!GD83"")"),0)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IFERROR(__xludf.DUMMYFUNCTION("IMPORTRANGE(""https://docs.google.com/spreadsheets/d/1-uDff_7J0KD5mKrp0Vvzr7lt3OU09vwQwhkpOPPYv2Y/edit?usp=sharing"",""งบพรบ!FZ83"")"),0)</f>
        <v>0</v>
      </c>
      <c r="M542" s="47">
        <f ca="1">IFERROR(__xludf.DUMMYFUNCTION("IMPORTRANGE(""https://docs.google.com/spreadsheets/d/1-uDff_7J0KD5mKrp0Vvzr7lt3OU09vwQwhkpOPPYv2Y/edit?usp=sharing"",""งบพรบ!GC83"")"),0)</f>
        <v>0</v>
      </c>
      <c r="N542" s="47">
        <f ca="1">IFERROR(__xludf.DUMMYFUNCTION("IMPORTRANGE(""https://docs.google.com/spreadsheets/d/1-uDff_7J0KD5mKrp0Vvzr7lt3OU09vwQwhkpOPPYv2Y/edit?usp=sharing"",""งบพรบ!GE83"")"),0)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IFERROR(__xludf.DUMMYFUNCTION("IMPORTRANGE(""https://docs.google.com/spreadsheets/d/1-uDff_7J0KD5mKrp0Vvzr7lt3OU09vwQwhkpOPPYv2Y/edit?usp=sharing"",""งบพรบ!GG83"")"),0)</f>
        <v>0</v>
      </c>
      <c r="M560" s="47">
        <f ca="1">IFERROR(__xludf.DUMMYFUNCTION("IMPORTRANGE(""https://docs.google.com/spreadsheets/d/1-uDff_7J0KD5mKrp0Vvzr7lt3OU09vwQwhkpOPPYv2Y/edit?usp=sharing"",""งบพรบ!GL83"")"),0)</f>
        <v>0</v>
      </c>
      <c r="N560" s="47">
        <f ca="1">IFERROR(__xludf.DUMMYFUNCTION("IMPORTRANGE(""https://docs.google.com/spreadsheets/d/1-uDff_7J0KD5mKrp0Vvzr7lt3OU09vwQwhkpOPPYv2Y/edit?usp=sharing"",""งบพรบ!GN83"")"),0)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IFERROR(__xludf.DUMMYFUNCTION("IMPORTRANGE(""https://docs.google.com/spreadsheets/d/1-uDff_7J0KD5mKrp0Vvzr7lt3OU09vwQwhkpOPPYv2Y/edit?usp=sharing"",""งบพรบ!GJ83"")"),0)</f>
        <v>0</v>
      </c>
      <c r="M563" s="47">
        <f ca="1">IFERROR(__xludf.DUMMYFUNCTION("IMPORTRANGE(""https://docs.google.com/spreadsheets/d/1-uDff_7J0KD5mKrp0Vvzr7lt3OU09vwQwhkpOPPYv2Y/edit?usp=sharing"",""งบพรบ!GM83"")"),0)</f>
        <v>0</v>
      </c>
      <c r="N563" s="47">
        <f ca="1">IFERROR(__xludf.DUMMYFUNCTION("IMPORTRANGE(""https://docs.google.com/spreadsheets/d/1-uDff_7J0KD5mKrp0Vvzr7lt3OU09vwQwhkpOPPYv2Y/edit?usp=sharing"",""งบพรบ!GO83"")"),0)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IFERROR(__xludf.DUMMYFUNCTION("IMPORTRANGE(""https://docs.google.com/spreadsheets/d/1-uDff_7J0KD5mKrp0Vvzr7lt3OU09vwQwhkpOPPYv2Y/edit?usp=sharing"",""งบพรบ!GQ83"")"),0)</f>
        <v>0</v>
      </c>
      <c r="M581" s="47">
        <f ca="1">IFERROR(__xludf.DUMMYFUNCTION("IMPORTRANGE(""https://docs.google.com/spreadsheets/d/1-uDff_7J0KD5mKrp0Vvzr7lt3OU09vwQwhkpOPPYv2Y/edit?usp=sharing"",""งบพรบ!GV83"")"),0)</f>
        <v>0</v>
      </c>
      <c r="N581" s="47">
        <f ca="1">IFERROR(__xludf.DUMMYFUNCTION("IMPORTRANGE(""https://docs.google.com/spreadsheets/d/1-uDff_7J0KD5mKrp0Vvzr7lt3OU09vwQwhkpOPPYv2Y/edit?usp=sharing"",""งบพรบ!GX83"")"),0)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IFERROR(__xludf.DUMMYFUNCTION("IMPORTRANGE(""https://docs.google.com/spreadsheets/d/1-uDff_7J0KD5mKrp0Vvzr7lt3OU09vwQwhkpOPPYv2Y/edit?usp=sharing"",""งบพรบ!GT83"")"),0)</f>
        <v>0</v>
      </c>
      <c r="M584" s="47">
        <f ca="1">IFERROR(__xludf.DUMMYFUNCTION("IMPORTRANGE(""https://docs.google.com/spreadsheets/d/1-uDff_7J0KD5mKrp0Vvzr7lt3OU09vwQwhkpOPPYv2Y/edit?usp=sharing"",""งบพรบ!GW83"")"),0)</f>
        <v>0</v>
      </c>
      <c r="N584" s="47">
        <f ca="1">IFERROR(__xludf.DUMMYFUNCTION("IMPORTRANGE(""https://docs.google.com/spreadsheets/d/1-uDff_7J0KD5mKrp0Vvzr7lt3OU09vwQwhkpOPPYv2Y/edit?usp=sharing"",""งบพรบ!GY83"")"),0)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14072</v>
      </c>
      <c r="M599" s="421">
        <f ca="1">M600+M601</f>
        <v>14072</v>
      </c>
      <c r="N599" s="421">
        <f ca="1">N600+N601</f>
        <v>4004</v>
      </c>
      <c r="O599" s="421">
        <f ca="1">IF(L599&gt;0,N599*100/L599,0)</f>
        <v>28.453666856168276</v>
      </c>
      <c r="P599" s="421">
        <f ca="1">IF(M599&gt;0,N599*100/M599,0)</f>
        <v>28.453666856168276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14072</v>
      </c>
      <c r="M601" s="331">
        <f ca="1">M604+M607</f>
        <v>14072</v>
      </c>
      <c r="N601" s="331">
        <f ca="1">N604+N607</f>
        <v>4004</v>
      </c>
      <c r="O601" s="331">
        <f ca="1">IF(L601&gt;0,N601*100/L601,0)</f>
        <v>28.453666856168276</v>
      </c>
      <c r="P601" s="331">
        <f ca="1">IF(M601&gt;0,N601*100/M601,0)</f>
        <v>28.453666856168276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0">
        <f ca="1">L603+L604</f>
        <v>14072</v>
      </c>
      <c r="M602" s="331">
        <f ca="1">M603+M604</f>
        <v>14072</v>
      </c>
      <c r="N602" s="331">
        <f ca="1">N603+N604</f>
        <v>4004</v>
      </c>
      <c r="O602" s="331">
        <f ca="1">IF(L602&gt;0,N602*100/L602,0)</f>
        <v>28.453666856168276</v>
      </c>
      <c r="P602" s="331">
        <f ca="1">IF(M602&gt;0,N602*100/M602,0)</f>
        <v>28.453666856168276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IFERROR(__xludf.DUMMYFUNCTION("IMPORTRANGE(""https://docs.google.com/spreadsheets/d/1-uDff_7J0KD5mKrp0Vvzr7lt3OU09vwQwhkpOPPYv2Y/edit?usp=sharing"",""งบพรบ!HK83"")"),14072)</f>
        <v>14072</v>
      </c>
      <c r="M604" s="331">
        <f ca="1">IFERROR(__xludf.DUMMYFUNCTION("IMPORTRANGE(""https://docs.google.com/spreadsheets/d/1-uDff_7J0KD5mKrp0Vvzr7lt3OU09vwQwhkpOPPYv2Y/edit?usp=sharing"",""งบพรบ!HP83"")"),14072)</f>
        <v>14072</v>
      </c>
      <c r="N604" s="331">
        <f ca="1">IFERROR(__xludf.DUMMYFUNCTION("IMPORTRANGE(""https://docs.google.com/spreadsheets/d/1-uDff_7J0KD5mKrp0Vvzr7lt3OU09vwQwhkpOPPYv2Y/edit?usp=sharing"",""งบพรบ!HR83"")"),4004)</f>
        <v>4004</v>
      </c>
      <c r="O604" s="331">
        <f ca="1">IF(L604&gt;0,N604*100/L604,0)</f>
        <v>28.453666856168276</v>
      </c>
      <c r="P604" s="331">
        <f ca="1">IF(M604&gt;0,N604*100/M604,0)</f>
        <v>28.453666856168276</v>
      </c>
      <c r="Q604" s="331">
        <f ca="1">IFERROR(__xludf.DUMMYFUNCTION("IMPORTRANGE(""https://docs.google.com/spreadsheets/d/1ItG2mGa2ceCfYo0BwxsXqNm01IGEUdYcSSLTEv9YCik/edit?usp=sharing"",""เบิกจ่ายกองทุน!AV83"")"),0)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IFERROR(__xludf.DUMMYFUNCTION("IMPORTRANGE(""https://docs.google.com/spreadsheets/d/1ItG2mGa2ceCfYo0BwxsXqNm01IGEUdYcSSLTEv9YCik/edit?usp=sharing"",""เบิกจ่ายกองทุน!AW83"")"),0)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IFERROR(__xludf.DUMMYFUNCTION("IMPORTRANGE(""https://docs.google.com/spreadsheets/d/1ItG2mGa2ceCfYo0BwxsXqNm01IGEUdYcSSLTEv9YCik/edit?usp=sharing"",""เบิกจ่ายกองทุน!AX83"")"),0)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0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0">
        <f ca="1">IFERROR(__xludf.DUMMYFUNCTION("IMPORTRANGE(""https://docs.google.com/spreadsheets/d/1-uDff_7J0KD5mKrp0Vvzr7lt3OU09vwQwhkpOPPYv2Y/edit?usp=sharing"",""งบพรบ!HN83"")"),0)</f>
        <v>0</v>
      </c>
      <c r="M607" s="331">
        <f ca="1">IFERROR(__xludf.DUMMYFUNCTION("IMPORTRANGE(""https://docs.google.com/spreadsheets/d/1-uDff_7J0KD5mKrp0Vvzr7lt3OU09vwQwhkpOPPYv2Y/edit?usp=sharing"",""งบพรบ!HQ83"")"),0)</f>
        <v>0</v>
      </c>
      <c r="N607" s="331">
        <f ca="1">IFERROR(__xludf.DUMMYFUNCTION("IMPORTRANGE(""https://docs.google.com/spreadsheets/d/1-uDff_7J0KD5mKrp0Vvzr7lt3OU09vwQwhkpOPPYv2Y/edit?usp=sharing"",""งบพรบ!HS83"")"),0)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IFERROR(__xludf.DUMMYFUNCTION("IMPORTRANGE(""https://docs.google.com/spreadsheets/d/1ItG2mGa2ceCfYo0BwxsXqNm01IGEUdYcSSLTEv9YCik/edit?usp=sharing"",""เบิกจ่ายกองทุน!AY83"")"),0)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IFERROR(__xludf.DUMMYFUNCTION("IMPORTRANGE(""https://docs.google.com/spreadsheets/d/1ItG2mGa2ceCfYo0BwxsXqNm01IGEUdYcSSLTEv9YCik/edit?usp=sharing"",""เบิกจ่ายกองทุน!AZ83"")"),0)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IFERROR(__xludf.DUMMYFUNCTION("IMPORTRANGE(""https://docs.google.com/spreadsheets/d/1ItG2mGa2ceCfYo0BwxsXqNm01IGEUdYcSSLTEv9YCik/edit?usp=sharing"",""เบิกจ่ายกองทุน!BA83"")"),0)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3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1675</v>
      </c>
      <c r="R616" s="132">
        <f ca="1">R617+R618</f>
        <v>1675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1675</v>
      </c>
      <c r="R618" s="47">
        <f ca="1">R621+R624</f>
        <v>1675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1675</v>
      </c>
      <c r="R619" s="47">
        <f ca="1">R620+R621</f>
        <v>1675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IFERROR(__xludf.DUMMYFUNCTION("IMPORTRANGE(""https://docs.google.com/spreadsheets/d/1ItG2mGa2ceCfYo0BwxsXqNm01IGEUdYcSSLTEv9YCik/edit?usp=sharing"",""เบิกจ่ายกองทุน!F83"")"),1675)</f>
        <v>1675</v>
      </c>
      <c r="R621" s="47">
        <f ca="1">IFERROR(__xludf.DUMMYFUNCTION("IMPORTRANGE(""https://docs.google.com/spreadsheets/d/1ItG2mGa2ceCfYo0BwxsXqNm01IGEUdYcSSLTEv9YCik/edit?usp=sharing"",""เบิกจ่ายกองทุน!G83"")"),1675)</f>
        <v>1675</v>
      </c>
      <c r="S621" s="47">
        <f ca="1">IFERROR(__xludf.DUMMYFUNCTION("IMPORTRANGE(""https://docs.google.com/spreadsheets/d/1ItG2mGa2ceCfYo0BwxsXqNm01IGEUdYcSSLTEv9YCik/edit?usp=sharing"",""เบิกจ่ายกองทุน!H83"")"),0)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IFERROR(__xludf.DUMMYFUNCTION("IMPORTRANGE(""https://docs.google.com/spreadsheets/d/1eHaY18a8A9IcSdp1K8H6x8fbOy06t2VsZHhMHf-1x7Y/edit?usp=sharing"",""แผน!ID83"")"),0)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IFERROR(__xludf.DUMMYFUNCTION("IMPORTRANGE(""https://docs.google.com/spreadsheets/d/1eHaY18a8A9IcSdp1K8H6x8fbOy06t2VsZHhMHf-1x7Y/edit?usp=sharing"",""แผน!IC83"")"),1)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IFERROR(__xludf.DUMMYFUNCTION("IMPORTRANGE(""https://docs.google.com/spreadsheets/d/1eHaY18a8A9IcSdp1K8H6x8fbOy06t2VsZHhMHf-1x7Y/edit?usp=sharing"",""แผน!IC83"")"),1)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IFERROR(__xludf.DUMMYFUNCTION("IMPORTRANGE(""https://docs.google.com/spreadsheets/d/1eHaY18a8A9IcSdp1K8H6x8fbOy06t2VsZHhMHf-1x7Y/edit?usp=sharing"",""แผน!IE83"")"),0)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IFERROR(__xludf.DUMMYFUNCTION("IMPORTRANGE(""https://docs.google.com/spreadsheets/d/1ItG2mGa2ceCfYo0BwxsXqNm01IGEUdYcSSLTEv9YCik/edit?usp=sharing"",""เบิกจ่ายกองทุน!I83"")"),0)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IFERROR(__xludf.DUMMYFUNCTION("IMPORTRANGE(""https://docs.google.com/spreadsheets/d/1ItG2mGa2ceCfYo0BwxsXqNm01IGEUdYcSSLTEv9YCik/edit?usp=sharing"",""เบิกจ่ายกองทุน!J83"")"),0)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IFERROR(__xludf.DUMMYFUNCTION("IMPORTRANGE(""https://docs.google.com/spreadsheets/d/1ItG2mGa2ceCfYo0BwxsXqNm01IGEUdYcSSLTEv9YCik/edit?usp=sharing"",""เบิกจ่ายกองทุน!K83"")"),0)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IFERROR(__xludf.DUMMYFUNCTION("IMPORTRANGE(""https://docs.google.com/spreadsheets/d/1eHaY18a8A9IcSdp1K8H6x8fbOy06t2VsZHhMHf-1x7Y/edit?usp=sharing"",""แผน!IF83"")"),0)</f>
        <v>0</v>
      </c>
      <c r="J652" s="152">
        <f ca="1">IFERROR(__xludf.DUMMYFUNCTION("IMPORTRANGE(""https://docs.google.com/spreadsheets/d/1tdoBKaGub7dwA3U6UFTqxio9LNnvDCQjHKmttSEBsFQ/edit?usp=sharing"",""จัดที่ดิน!AU83"")"),0)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IFERROR(__xludf.DUMMYFUNCTION("IMPORTRANGE(""https://docs.google.com/spreadsheets/d/1eHaY18a8A9IcSdp1K8H6x8fbOy06t2VsZHhMHf-1x7Y/edit?usp=sharing"",""แผน!IG83"")"),0)</f>
        <v>0</v>
      </c>
      <c r="J653" s="152">
        <f ca="1">IFERROR(__xludf.DUMMYFUNCTION("IMPORTRANGE(""https://docs.google.com/spreadsheets/d/1tdoBKaGub7dwA3U6UFTqxio9LNnvDCQjHKmttSEBsFQ/edit?usp=sharing"",""จัดที่ดิน!AW83"")"),0)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IFERROR(__xludf.DUMMYFUNCTION("IMPORTRANGE(""https://docs.google.com/spreadsheets/d/1eHaY18a8A9IcSdp1K8H6x8fbOy06t2VsZHhMHf-1x7Y/edit?usp=sharing"",""แผน!IH83"")"),0)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IFERROR(__xludf.DUMMYFUNCTION("IMPORTRANGE(""https://docs.google.com/spreadsheets/d/1eHaY18a8A9IcSdp1K8H6x8fbOy06t2VsZHhMHf-1x7Y/edit?usp=sharing"",""แผน!II83"")"),0)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IFERROR(__xludf.DUMMYFUNCTION("IMPORTRANGE(""https://docs.google.com/spreadsheets/d/1eHaY18a8A9IcSdp1K8H6x8fbOy06t2VsZHhMHf-1x7Y/edit?usp=sharing"",""แผน!IJ83"")"),0)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IFERROR(__xludf.DUMMYFUNCTION("IMPORTRANGE(""https://docs.google.com/spreadsheets/d/1eHaY18a8A9IcSdp1K8H6x8fbOy06t2VsZHhMHf-1x7Y/edit?usp=sharing"",""แผน!IK83"")"),0)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IFERROR(__xludf.DUMMYFUNCTION("IMPORTRANGE(""https://docs.google.com/spreadsheets/d/1tdoBKaGub7dwA3U6UFTqxio9LNnvDCQjHKmttSEBsFQ/edit?usp=sharing"",""จัดที่ดิน!AY83"")"),0)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IFERROR(__xludf.DUMMYFUNCTION("IMPORTRANGE(""https://docs.google.com/spreadsheets/d/1tdoBKaGub7dwA3U6UFTqxio9LNnvDCQjHKmttSEBsFQ/edit?usp=sharing"",""จัดที่ดิน!AZ83"")"),0)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IFERROR(__xludf.DUMMYFUNCTION("IMPORTRANGE(""https://docs.google.com/spreadsheets/d/1eHaY18a8A9IcSdp1K8H6x8fbOy06t2VsZHhMHf-1x7Y/edit?usp=sharing"",""แผน!IL83"")"),0)</f>
        <v>0</v>
      </c>
      <c r="J673" s="152">
        <f ca="1">IFERROR(__xludf.DUMMYFUNCTION("IMPORTRANGE(""https://docs.google.com/spreadsheets/d/1tdoBKaGub7dwA3U6UFTqxio9LNnvDCQjHKmttSEBsFQ/edit?usp=sharing"",""จัดที่ดิน!BA83"")"),0)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IFERROR(__xludf.DUMMYFUNCTION("IMPORTRANGE(""https://docs.google.com/spreadsheets/d/1eHaY18a8A9IcSdp1K8H6x8fbOy06t2VsZHhMHf-1x7Y/edit?usp=sharing"",""แผน!IM83"")"),0)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IFERROR(__xludf.DUMMYFUNCTION("IMPORTRANGE(""https://docs.google.com/spreadsheets/d/1eHaY18a8A9IcSdp1K8H6x8fbOy06t2VsZHhMHf-1x7Y/edit?usp=sharing"",""แผน!IN83"")"),0)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IFERROR(__xludf.DUMMYFUNCTION("IMPORTRANGE(""https://docs.google.com/spreadsheets/d/1eHaY18a8A9IcSdp1K8H6x8fbOy06t2VsZHhMHf-1x7Y/edit?usp=sharing"",""แผน!IO83"")"),0)</f>
        <v>0</v>
      </c>
      <c r="J676" s="152">
        <f ca="1">IFERROR(__xludf.DUMMYFUNCTION("IMPORTRANGE(""https://docs.google.com/spreadsheets/d/1tdoBKaGub7dwA3U6UFTqxio9LNnvDCQjHKmttSEBsFQ/edit?usp=sharing"",""จัดที่ดิน!BF83"")"),0)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IFERROR(__xludf.DUMMYFUNCTION("IMPORTRANGE(""https://docs.google.com/spreadsheets/d/1tdoBKaGub7dwA3U6UFTqxio9LNnvDCQjHKmttSEBsFQ/edit?usp=sharing"",""จัดที่ดิน!BG83"")"),0)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IFERROR(__xludf.DUMMYFUNCTION("IMPORTRANGE(""https://docs.google.com/spreadsheets/d/1eHaY18a8A9IcSdp1K8H6x8fbOy06t2VsZHhMHf-1x7Y/edit?usp=sharing"",""แผน!IP83"")"),0)</f>
        <v>0</v>
      </c>
      <c r="J678" s="152">
        <f ca="1">IFERROR(__xludf.DUMMYFUNCTION("IMPORTRANGE(""https://docs.google.com/spreadsheets/d/1tdoBKaGub7dwA3U6UFTqxio9LNnvDCQjHKmttSEBsFQ/edit?usp=sharing"",""จัดที่ดิน!BH83"")"),0)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IFERROR(__xludf.DUMMYFUNCTION("IMPORTRANGE(""https://docs.google.com/spreadsheets/d/1eHaY18a8A9IcSdp1K8H6x8fbOy06t2VsZHhMHf-1x7Y/edit?usp=sharing"",""แผน!IQ83"")"),0)</f>
        <v>0</v>
      </c>
      <c r="J679" s="152">
        <f ca="1">IFERROR(__xludf.DUMMYFUNCTION("IMPORTRANGE(""https://docs.google.com/spreadsheets/d/1tdoBKaGub7dwA3U6UFTqxio9LNnvDCQjHKmttSEBsFQ/edit?usp=sharing"",""จัดที่ดิน!BK83"")"),0)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IFERROR(__xludf.DUMMYFUNCTION("IMPORTRANGE(""https://docs.google.com/spreadsheets/d/1tdoBKaGub7dwA3U6UFTqxio9LNnvDCQjHKmttSEBsFQ/edit?usp=sharing"",""จัดที่ดิน!BL83"")"),0)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IFERROR(__xludf.DUMMYFUNCTION("IMPORTRANGE(""https://docs.google.com/spreadsheets/d/1eHaY18a8A9IcSdp1K8H6x8fbOy06t2VsZHhMHf-1x7Y/edit?usp=sharing"",""แผน!IR83"")"),0)</f>
        <v>0</v>
      </c>
      <c r="J681" s="152">
        <f ca="1">IFERROR(__xludf.DUMMYFUNCTION("IMPORTRANGE(""https://docs.google.com/spreadsheets/d/1tdoBKaGub7dwA3U6UFTqxio9LNnvDCQjHKmttSEBsFQ/edit?usp=sharing"",""จัดที่ดิน!BM83"")"),0)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IFERROR(__xludf.DUMMYFUNCTION("IMPORTRANGE(""https://docs.google.com/spreadsheets/d/1eHaY18a8A9IcSdp1K8H6x8fbOy06t2VsZHhMHf-1x7Y/edit?usp=sharing"",""แผน!IS83"")"),0)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IFERROR(__xludf.DUMMYFUNCTION("IMPORTRANGE(""https://docs.google.com/spreadsheets/d/1ItG2mGa2ceCfYo0BwxsXqNm01IGEUdYcSSLTEv9YCik/edit?usp=sharing"",""เบิกจ่ายกองทุน!L83"")"),0)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IFERROR(__xludf.DUMMYFUNCTION("IMPORTRANGE(""https://docs.google.com/spreadsheets/d/1ItG2mGa2ceCfYo0BwxsXqNm01IGEUdYcSSLTEv9YCik/edit?usp=sharing"",""เบิกจ่ายกองทุน!M83"")"),0)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IFERROR(__xludf.DUMMYFUNCTION("IMPORTRANGE(""https://docs.google.com/spreadsheets/d/1ItG2mGa2ceCfYo0BwxsXqNm01IGEUdYcSSLTEv9YCik/edit?usp=sharing"",""เบิกจ่ายกองทุน!N83"")"),0)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IFERROR(__xludf.DUMMYFUNCTION("IMPORTRANGE(""https://docs.google.com/spreadsheets/d/1eHaY18a8A9IcSdp1K8H6x8fbOy06t2VsZHhMHf-1x7Y/edit?usp=sharing"",""แผน!LC83"")"),0)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IFERROR(__xludf.DUMMYFUNCTION("IMPORTRANGE(""https://docs.google.com/spreadsheets/d/1eHaY18a8A9IcSdp1K8H6x8fbOy06t2VsZHhMHf-1x7Y/edit?usp=sharing"",""แผน!LJ83"")"),0)</f>
        <v>0</v>
      </c>
      <c r="J703" s="152">
        <f ca="1">IFERROR(__xludf.DUMMYFUNCTION("IMPORTRANGE(""https://docs.google.com/spreadsheets/d/1tdoBKaGub7dwA3U6UFTqxio9LNnvDCQjHKmttSEBsFQ/edit?usp=sharing"",""จัดที่ดิน!AP83"")"),0)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IFERROR(__xludf.DUMMYFUNCTION("IMPORTRANGE(""https://docs.google.com/spreadsheets/d/1tdoBKaGub7dwA3U6UFTqxio9LNnvDCQjHKmttSEBsFQ/edit?usp=sharing"",""จัดที่ดิน!AQ83"")"),0)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IFERROR(__xludf.DUMMYFUNCTION("IMPORTRANGE(""https://docs.google.com/spreadsheets/d/1eHaY18a8A9IcSdp1K8H6x8fbOy06t2VsZHhMHf-1x7Y/edit?usp=sharing"",""แผน!LK83"")"),0)</f>
        <v>0</v>
      </c>
      <c r="J705" s="152">
        <f ca="1">IFERROR(__xludf.DUMMYFUNCTION("IMPORTRANGE(""https://docs.google.com/spreadsheets/d/1tdoBKaGub7dwA3U6UFTqxio9LNnvDCQjHKmttSEBsFQ/edit?usp=sharing"",""จัดที่ดิน!AR83"")"),0)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IFERROR(__xludf.DUMMYFUNCTION("IMPORTRANGE(""https://docs.google.com/spreadsheets/d/1tdoBKaGub7dwA3U6UFTqxio9LNnvDCQjHKmttSEBsFQ/edit?usp=sharing"",""จัดที่ดิน!AS83"")"),0)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IFERROR(__xludf.DUMMYFUNCTION("IMPORTRANGE(""https://docs.google.com/spreadsheets/d/1eHaY18a8A9IcSdp1K8H6x8fbOy06t2VsZHhMHf-1x7Y/edit?usp=sharing"",""แผน!LJ83"")"),0)</f>
        <v>0</v>
      </c>
      <c r="J707" s="152">
        <f ca="1">IFERROR(__xludf.DUMMYFUNCTION("IMPORTRANGE(""https://docs.google.com/spreadsheets/d/1tdoBKaGub7dwA3U6UFTqxio9LNnvDCQjHKmttSEBsFQ/edit?usp=sharing"",""จัดที่ดิน!BN83"")"),0)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IFERROR(__xludf.DUMMYFUNCTION("IMPORTRANGE(""https://docs.google.com/spreadsheets/d/1tdoBKaGub7dwA3U6UFTqxio9LNnvDCQjHKmttSEBsFQ/edit?usp=sharing"",""จัดที่ดิน!BO83"")"),0)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IFERROR(__xludf.DUMMYFUNCTION("IMPORTRANGE(""https://docs.google.com/spreadsheets/d/1eHaY18a8A9IcSdp1K8H6x8fbOy06t2VsZHhMHf-1x7Y/edit?usp=sharing"",""แผน!LK83"")"),0)</f>
        <v>0</v>
      </c>
      <c r="J709" s="152">
        <f ca="1">IFERROR(__xludf.DUMMYFUNCTION("IMPORTRANGE(""https://docs.google.com/spreadsheets/d/1tdoBKaGub7dwA3U6UFTqxio9LNnvDCQjHKmttSEBsFQ/edit?usp=sharing"",""จัดที่ดิน!BP83"")"),0)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IFERROR(__xludf.DUMMYFUNCTION("IMPORTRANGE(""https://docs.google.com/spreadsheets/d/1tdoBKaGub7dwA3U6UFTqxio9LNnvDCQjHKmttSEBsFQ/edit?usp=sharing"",""จัดที่ดิน!BQ83"")"),0)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IFERROR(__xludf.DUMMYFUNCTION("IMPORTRANGE(""https://docs.google.com/spreadsheets/d/1eHaY18a8A9IcSdp1K8H6x8fbOy06t2VsZHhMHf-1x7Y/edit?usp=sharing"",""แผน!GA83"")"),11)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IFERROR(__xludf.DUMMYFUNCTION("IMPORTRANGE(""https://docs.google.com/spreadsheets/d/1eHaY18a8A9IcSdp1K8H6x8fbOy06t2VsZHhMHf-1x7Y/edit?usp=sharing"",""แผน!FZ83"")"),100)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2900</v>
      </c>
      <c r="T728" s="132">
        <f ca="1">IF(Q728&gt;0,S728*100/Q728,0)</f>
        <v>2.5920165889061688</v>
      </c>
      <c r="U728" s="132">
        <f ca="1">IF(R728&gt;0,S728*100/R728,0)</f>
        <v>2.5920165889061688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2900</v>
      </c>
      <c r="T730" s="47">
        <f ca="1">IF(Q730&gt;0,S730*100/Q730,0)</f>
        <v>2.5920165889061688</v>
      </c>
      <c r="U730" s="47">
        <f ca="1">IF(R730&gt;0,S730*100/R730,0)</f>
        <v>2.5920165889061688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2900</v>
      </c>
      <c r="T731" s="47">
        <f ca="1">IF(Q731&gt;0,S731*100/Q731,0)</f>
        <v>2.5920165889061688</v>
      </c>
      <c r="U731" s="47">
        <f ca="1">IF(R731&gt;0,S731*100/R731,0)</f>
        <v>2.5920165889061688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IFERROR(__xludf.DUMMYFUNCTION("IMPORTRANGE(""https://docs.google.com/spreadsheets/d/1ItG2mGa2ceCfYo0BwxsXqNm01IGEUdYcSSLTEv9YCik/edit?usp=sharing"",""เบิกจ่ายกองทุน!O83"")"),111882)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IFERROR(__xludf.DUMMYFUNCTION("IMPORTRANGE(""https://docs.google.com/spreadsheets/d/1ItG2mGa2ceCfYo0BwxsXqNm01IGEUdYcSSLTEv9YCik/edit?usp=sharing"",""เบิกจ่ายกองทุน!P83"")"),111882)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IFERROR(__xludf.DUMMYFUNCTION("IMPORTRANGE(""https://docs.google.com/spreadsheets/d/1ItG2mGa2ceCfYo0BwxsXqNm01IGEUdYcSSLTEv9YCik/edit?usp=sharing"",""เบิกจ่ายกองทุน!Q83"")"),2900)</f>
        <v>2900</v>
      </c>
      <c r="T733" s="47">
        <f ca="1">IF(Q733&gt;0,S733*100/Q733,0)</f>
        <v>2.5920165889061688</v>
      </c>
      <c r="U733" s="47">
        <f ca="1">IF(R733&gt;0,S733*100/R733,0)</f>
        <v>2.5920165889061688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IFERROR(__xludf.DUMMYFUNCTION("IMPORTRANGE(""https://docs.google.com/spreadsheets/d/1eHaY18a8A9IcSdp1K8H6x8fbOy06t2VsZHhMHf-1x7Y/edit?usp=sharing"",""แผน!GB83"")"),80)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IFERROR(__xludf.DUMMYFUNCTION("IMPORTRANGE(""https://docs.google.com/spreadsheets/d/1eHaY18a8A9IcSdp1K8H6x8fbOy06t2VsZHhMHf-1x7Y/edit?usp=sharing"",""แผน!GC83"")"),8)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IFERROR(__xludf.DUMMYFUNCTION("IMPORTRANGE(""https://docs.google.com/spreadsheets/d/1eHaY18a8A9IcSdp1K8H6x8fbOy06t2VsZHhMHf-1x7Y/edit?usp=sharing"",""แผน!GD83"")"),20)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IFERROR(__xludf.DUMMYFUNCTION("IMPORTRANGE(""https://docs.google.com/spreadsheets/d/1eHaY18a8A9IcSdp1K8H6x8fbOy06t2VsZHhMHf-1x7Y/edit?usp=sharing"",""แผน!GE83"")"),2)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IFERROR(__xludf.DUMMYFUNCTION("IMPORTRANGE(""https://docs.google.com/spreadsheets/d/1eHaY18a8A9IcSdp1K8H6x8fbOy06t2VsZHhMHf-1x7Y/edit?usp=sharing"",""แผน!GF83"")"),1)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IFERROR(__xludf.DUMMYFUNCTION("IMPORTRANGE(""https://docs.google.com/spreadsheets/d/1eHaY18a8A9IcSdp1K8H6x8fbOy06t2VsZHhMHf-1x7Y/edit?usp=sharing"",""แผน!GB83"")"),80)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IFERROR(__xludf.DUMMYFUNCTION("IMPORTRANGE(""https://docs.google.com/spreadsheets/d/1eHaY18a8A9IcSdp1K8H6x8fbOy06t2VsZHhMHf-1x7Y/edit?usp=sharing"",""แผน!GD83"")"),20)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25</v>
      </c>
      <c r="J758" s="483">
        <f>J772</f>
        <v>25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50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169530</v>
      </c>
      <c r="R760" s="132">
        <f ca="1">R761+R762</f>
        <v>169530</v>
      </c>
      <c r="S760" s="132">
        <f ca="1">S761+S762</f>
        <v>68550</v>
      </c>
      <c r="T760" s="132">
        <f ca="1">IF(Q760&gt;0,S760*100/Q760,0)</f>
        <v>40.435321182091663</v>
      </c>
      <c r="U760" s="132">
        <f ca="1">IF(R760&gt;0,S760*100/R760,0)</f>
        <v>40.435321182091663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169530</v>
      </c>
      <c r="R762" s="47">
        <f ca="1">R765+R768</f>
        <v>169530</v>
      </c>
      <c r="S762" s="47">
        <f ca="1">S765+S768</f>
        <v>68550</v>
      </c>
      <c r="T762" s="47">
        <f ca="1">IF(Q762&gt;0,S762*100/Q762,0)</f>
        <v>40.435321182091663</v>
      </c>
      <c r="U762" s="47">
        <f ca="1">IF(R762&gt;0,S762*100/R762,0)</f>
        <v>40.435321182091663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169530</v>
      </c>
      <c r="R763" s="47">
        <f ca="1">R764+R765</f>
        <v>169530</v>
      </c>
      <c r="S763" s="47">
        <f ca="1">S764+S765</f>
        <v>68550</v>
      </c>
      <c r="T763" s="47">
        <f ca="1">IF(Q763&gt;0,S763*100/Q763,0)</f>
        <v>40.435321182091663</v>
      </c>
      <c r="U763" s="47">
        <f ca="1">IF(R763&gt;0,S763*100/R763,0)</f>
        <v>40.435321182091663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IFERROR(__xludf.DUMMYFUNCTION("IMPORTRANGE(""https://docs.google.com/spreadsheets/d/1ItG2mGa2ceCfYo0BwxsXqNm01IGEUdYcSSLTEv9YCik/edit?usp=sharing"",""เบิกจ่ายกองทุน!AA83"")"),169530)</f>
        <v>169530</v>
      </c>
      <c r="R765" s="47">
        <f ca="1">IFERROR(__xludf.DUMMYFUNCTION("IMPORTRANGE(""https://docs.google.com/spreadsheets/d/1ItG2mGa2ceCfYo0BwxsXqNm01IGEUdYcSSLTEv9YCik/edit?usp=sharing"",""เบิกจ่ายกองทุน!AB83"")"),169530)</f>
        <v>169530</v>
      </c>
      <c r="S765" s="47">
        <f ca="1">IFERROR(__xludf.DUMMYFUNCTION("IMPORTRANGE(""https://docs.google.com/spreadsheets/d/1ItG2mGa2ceCfYo0BwxsXqNm01IGEUdYcSSLTEv9YCik/edit?usp=sharing"",""เบิกจ่ายกองทุน!AC83"")"),68550)</f>
        <v>68550</v>
      </c>
      <c r="T765" s="47">
        <f ca="1">IF(Q765&gt;0,S765*100/Q765,0)</f>
        <v>40.435321182091663</v>
      </c>
      <c r="U765" s="47">
        <f ca="1">IF(R765&gt;0,S765*100/R765,0)</f>
        <v>40.435321182091663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IFERROR(__xludf.DUMMYFUNCTION("IMPORTRANGE(""https://docs.google.com/spreadsheets/d/1eHaY18a8A9IcSdp1K8H6x8fbOy06t2VsZHhMHf-1x7Y/edit?usp=sharing"",""แผน!FI83"")"),0)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IFERROR(__xludf.DUMMYFUNCTION("IMPORTRANGE(""https://docs.google.com/spreadsheets/d/1eHaY18a8A9IcSdp1K8H6x8fbOy06t2VsZHhMHf-1x7Y/edit?usp=sharing"",""แผน!FQ83"")"),25)</f>
        <v>25</v>
      </c>
      <c r="J772" s="167">
        <v>25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IFERROR(__xludf.DUMMYFUNCTION("IMPORTRANGE(""https://docs.google.com/spreadsheets/d/1eHaY18a8A9IcSdp1K8H6x8fbOy06t2VsZHhMHf-1x7Y/edit?usp=sharing"",""แผน!FR83"")"),50)</f>
        <v>50</v>
      </c>
      <c r="J774" s="167">
        <v>50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IFERROR(__xludf.DUMMYFUNCTION("IMPORTRANGE(""https://docs.google.com/spreadsheets/d/1eHaY18a8A9IcSdp1K8H6x8fbOy06t2VsZHhMHf-1x7Y/edit?usp=sharing"",""แผน!FS83"")"),50)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IFERROR(__xludf.DUMMYFUNCTION("IMPORTRANGE(""https://docs.google.com/spreadsheets/d/1eHaY18a8A9IcSdp1K8H6x8fbOy06t2VsZHhMHf-1x7Y/edit?usp=sharing"",""แผน!FT83"")"),25)</f>
        <v>25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IFERROR(__xludf.DUMMYFUNCTION("IMPORTRANGE(""https://docs.google.com/spreadsheets/d/10OvvATaaLtwErnr3qtWFcTmtbfpFEt5Bsqel9sXx0uE/edit?usp=sharing"",""งานกองทุน!D83"")"),447454.12)</f>
        <v>447454.12</v>
      </c>
      <c r="J778" s="152">
        <f ca="1">IFERROR(__xludf.DUMMYFUNCTION("IMPORTRANGE(""https://docs.google.com/spreadsheets/d/10OvvATaaLtwErnr3qtWFcTmtbfpFEt5Bsqel9sXx0uE/edit?usp=sharing"",""งานกองทุน!F83"")"),170426.8)</f>
        <v>170426.8</v>
      </c>
      <c r="K778" s="47">
        <f ca="1">IF(I778&gt;0,J778*100/I778,0)</f>
        <v>38.088106105716491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IFERROR(__xludf.DUMMYFUNCTION("IMPORTRANGE(""https://docs.google.com/spreadsheets/d/10OvvATaaLtwErnr3qtWFcTmtbfpFEt5Bsqel9sXx0uE/edit?usp=sharing"",""งานกองทุน!C83"")"),27)</f>
        <v>27</v>
      </c>
      <c r="J779" s="152">
        <f ca="1">IFERROR(__xludf.DUMMYFUNCTION("IMPORTRANGE(""https://docs.google.com/spreadsheets/d/10OvvATaaLtwErnr3qtWFcTmtbfpFEt5Bsqel9sXx0uE/edit?usp=sharing"",""งานกองทุน!E83"")"),9)</f>
        <v>9</v>
      </c>
      <c r="K779" s="47">
        <f ca="1">IF(I779&gt;0,J779*100/I779,0)</f>
        <v>33.333333333333336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IFERROR(__xludf.DUMMYFUNCTION("IMPORTRANGE(""https://docs.google.com/spreadsheets/d/10OvvATaaLtwErnr3qtWFcTmtbfpFEt5Bsqel9sXx0uE/edit?usp=sharing"",""งานกองทุน!I83"")"),158551.29)</f>
        <v>158551.29</v>
      </c>
      <c r="J780" s="152">
        <f ca="1">IFERROR(__xludf.DUMMYFUNCTION("IMPORTRANGE(""https://docs.google.com/spreadsheets/d/10OvvATaaLtwErnr3qtWFcTmtbfpFEt5Bsqel9sXx0uE/edit?usp=sharing"",""งานกองทุน!K83"")"),78588.27)</f>
        <v>78588.27</v>
      </c>
      <c r="K780" s="47">
        <f ca="1">IF(I780&gt;0,J780*100/I780,0)</f>
        <v>49.56646521135211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IFERROR(__xludf.DUMMYFUNCTION("IMPORTRANGE(""https://docs.google.com/spreadsheets/d/10OvvATaaLtwErnr3qtWFcTmtbfpFEt5Bsqel9sXx0uE/edit?usp=sharing"",""งานกองทุน!H83"")"),7)</f>
        <v>7</v>
      </c>
      <c r="J781" s="152">
        <f ca="1">IFERROR(__xludf.DUMMYFUNCTION("IMPORTRANGE(""https://docs.google.com/spreadsheets/d/10OvvATaaLtwErnr3qtWFcTmtbfpFEt5Bsqel9sXx0uE/edit?usp=sharing"",""งานกองทุน!J83"")"),6)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IFERROR(__xludf.DUMMYFUNCTION("IMPORTRANGE(""https://docs.google.com/spreadsheets/d/10OvvATaaLtwErnr3qtWFcTmtbfpFEt5Bsqel9sXx0uE/edit?usp=sharing"",""งานกองทุน!N83"")"),0)</f>
        <v>0</v>
      </c>
      <c r="J782" s="152">
        <f ca="1">IFERROR(__xludf.DUMMYFUNCTION("IMPORTRANGE(""https://docs.google.com/spreadsheets/d/10OvvATaaLtwErnr3qtWFcTmtbfpFEt5Bsqel9sXx0uE/edit?usp=sharing"",""งานกองทุน!P83"")"),0)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IFERROR(__xludf.DUMMYFUNCTION("IMPORTRANGE(""https://docs.google.com/spreadsheets/d/10OvvATaaLtwErnr3qtWFcTmtbfpFEt5Bsqel9sXx0uE/edit?usp=sharing"",""งานกองทุน!M83"")"),0)</f>
        <v>0</v>
      </c>
      <c r="J783" s="152">
        <f ca="1">IFERROR(__xludf.DUMMYFUNCTION("IMPORTRANGE(""https://docs.google.com/spreadsheets/d/10OvvATaaLtwErnr3qtWFcTmtbfpFEt5Bsqel9sXx0uE/edit?usp=sharing"",""งานกองทุน!O83"")"),0)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IFERROR(__xludf.DUMMYFUNCTION("IMPORTRANGE(""https://docs.google.com/spreadsheets/d/10OvvATaaLtwErnr3qtWFcTmtbfpFEt5Bsqel9sXx0uE/edit?usp=sharing"",""งานกองทุน!S83"")"),252000)</f>
        <v>252000</v>
      </c>
      <c r="J784" s="152">
        <f ca="1">IFERROR(__xludf.DUMMYFUNCTION("IMPORTRANGE(""https://docs.google.com/spreadsheets/d/10OvvATaaLtwErnr3qtWFcTmtbfpFEt5Bsqel9sXx0uE/edit?usp=sharing"",""งานกองทุน!U83"")"),0)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IFERROR(__xludf.DUMMYFUNCTION("IMPORTRANGE(""https://docs.google.com/spreadsheets/d/10OvvATaaLtwErnr3qtWFcTmtbfpFEt5Bsqel9sXx0uE/edit?usp=sharing"",""งานกองทุน!R83"")"),9)</f>
        <v>9</v>
      </c>
      <c r="J785" s="197">
        <f ca="1">IFERROR(__xludf.DUMMYFUNCTION("IMPORTRANGE(""https://docs.google.com/spreadsheets/d/10OvvATaaLtwErnr3qtWFcTmtbfpFEt5Bsqel9sXx0uE/edit?usp=sharing"",""งานกองทุน!T83"")"),0)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A9C595-57FE-47B8-861F-16B2FC103EC7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324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1843930</v>
      </c>
      <c r="M18" s="35">
        <f ca="1">M19+M20</f>
        <v>1901360</v>
      </c>
      <c r="N18" s="35">
        <f ca="1">N19+N20</f>
        <v>1287982.83</v>
      </c>
      <c r="O18" s="35">
        <f ca="1">IF(L18&gt;0,N18*100/L18,0)</f>
        <v>69.849876622214509</v>
      </c>
      <c r="P18" s="35">
        <f ca="1">IF(M18&gt;0,N18*100/M18,0)</f>
        <v>67.740082362098704</v>
      </c>
      <c r="Q18" s="896">
        <f ca="1">Q19+Q20</f>
        <v>726208.99</v>
      </c>
      <c r="R18" s="895">
        <f ca="1">R19+R20</f>
        <v>726209</v>
      </c>
      <c r="S18" s="895">
        <f ca="1">S19+S20</f>
        <v>270074.91000000003</v>
      </c>
      <c r="T18" s="895">
        <f ca="1">IF(Q18&gt;0,S18*100/Q18,0)</f>
        <v>37.189695214321162</v>
      </c>
      <c r="U18" s="895">
        <f ca="1">IF(R18&gt;0,S18*100/R18,0)</f>
        <v>37.189694702213828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806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1843930</v>
      </c>
      <c r="M20" s="39">
        <f ca="1">M23+M26</f>
        <v>1901360</v>
      </c>
      <c r="N20" s="39">
        <f ca="1">N23+N26</f>
        <v>1287982.83</v>
      </c>
      <c r="O20" s="39">
        <f ca="1">IF(L20&gt;0,N20*100/L20,0)</f>
        <v>69.849876622214509</v>
      </c>
      <c r="P20" s="39">
        <f ca="1">IF(M20&gt;0,N20*100/M20,0)</f>
        <v>67.740082362098704</v>
      </c>
      <c r="Q20" s="805">
        <f ca="1">Q23+Q26</f>
        <v>726208.99</v>
      </c>
      <c r="R20" s="39">
        <f ca="1">R23+R26</f>
        <v>726209</v>
      </c>
      <c r="S20" s="39">
        <f ca="1">S23+S26</f>
        <v>270074.91000000003</v>
      </c>
      <c r="T20" s="39">
        <f ca="1">IF(Q20&gt;0,S20*100/Q20,0)</f>
        <v>37.189695214321162</v>
      </c>
      <c r="U20" s="39">
        <f ca="1">IF(R20&gt;0,S20*100/R20,0)</f>
        <v>37.189694702213828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1843930</v>
      </c>
      <c r="M21" s="47">
        <f ca="1">M22+M23</f>
        <v>1901360</v>
      </c>
      <c r="N21" s="47">
        <f ca="1">N22+N23</f>
        <v>1287982.83</v>
      </c>
      <c r="O21" s="47">
        <f ca="1">IF(L21&gt;0,N21*100/L21,0)</f>
        <v>69.849876622214509</v>
      </c>
      <c r="P21" s="47">
        <f ca="1">IF(M21&gt;0,N21*100/M21,0)</f>
        <v>67.740082362098704</v>
      </c>
      <c r="Q21" s="548">
        <f ca="1">Q22+Q23</f>
        <v>726208.99</v>
      </c>
      <c r="R21" s="47">
        <f ca="1">R22+R23</f>
        <v>726209</v>
      </c>
      <c r="S21" s="47">
        <f ca="1">S22+S23</f>
        <v>270074.91000000003</v>
      </c>
      <c r="T21" s="47">
        <f ca="1">IF(Q21&gt;0,S21*100/Q21,0)</f>
        <v>37.189695214321162</v>
      </c>
      <c r="U21" s="47">
        <f ca="1">IF(R21&gt;0,S21*100/R21,0)</f>
        <v>37.189694702213828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5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1843930</v>
      </c>
      <c r="M23" s="47">
        <f ca="1">M49+M64+M77+M99+M122+M144+M162+M191+M178+M271+M287+M308+M325+M338+M361+M380+M418+M498+M518+M539+M560+M581+M604+M621+M647+M695+M719+M733+M765</f>
        <v>1901360</v>
      </c>
      <c r="N23" s="47">
        <f ca="1">N49+N64+N77+N99+N122+N144+N162+N191+N178+N271+N287+N308+N325+N338+N361+N380+N418+N498+N518+N539+N560+N581+N604+N621+N647+N695+N719+N733+N765</f>
        <v>1287982.83</v>
      </c>
      <c r="O23" s="47">
        <f ca="1">IF(L23&gt;0,N23*100/L23,0)</f>
        <v>69.849876622214509</v>
      </c>
      <c r="P23" s="47">
        <f ca="1">IF(M23&gt;0,N23*100/M23,0)</f>
        <v>67.740082362098704</v>
      </c>
      <c r="Q23" s="548">
        <f ca="1">Q77+Q99+Q122+Q144+Q162+Q178+Q191+Q271+Q287+Q308+Q338+Q380+Q397+Q418+Q498+Q604+Q621+Q647+Q695+Q719+Q733+Q765</f>
        <v>726208.99</v>
      </c>
      <c r="R23" s="47">
        <f ca="1">R77+R99+R122+R144+R162+R178+R191+R271+R287+R308+R338+R380+R397+R418+R498+R604+R621+R647+R695+R719+R733+R765</f>
        <v>726209</v>
      </c>
      <c r="S23" s="47">
        <f ca="1">S77+S99+S122+S144+S162+S178+S191+S271+S287+S308+S338+S380+S397+S418+S498+S604+S621+S647+S695+S719+S733+S765</f>
        <v>270074.91000000003</v>
      </c>
      <c r="T23" s="47">
        <f ca="1">IF(Q23&gt;0,S23*100/Q23,0)</f>
        <v>37.189695214321162</v>
      </c>
      <c r="U23" s="47">
        <f ca="1">IF(R23&gt;0,S23*100/R23,0)</f>
        <v>37.189694702213828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548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5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5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5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5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545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709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700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700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700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700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700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700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700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700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709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1823220</v>
      </c>
      <c r="M40" s="802">
        <f ca="1">M44+M59+M72+M94+M125+M139+M157+M173+M186+M266+M282+M303+M320+M333+M356</f>
        <v>1880650</v>
      </c>
      <c r="N40" s="802">
        <f ca="1">N44+N59+N72+N94+N125+N139+N157+N173+N186+N266+N282+N303+N320+N333+N356</f>
        <v>1287982.83</v>
      </c>
      <c r="O40" s="802">
        <f ca="1">IF(L40&gt;0,N40*100/L40,0)</f>
        <v>70.643303057228422</v>
      </c>
      <c r="P40" s="802">
        <f ca="1">IF(M40&gt;0,N40*100/M40,0)</f>
        <v>68.486046313774494</v>
      </c>
      <c r="Q40" s="894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893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80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700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221000</v>
      </c>
      <c r="M44" s="79">
        <f ca="1">M45+M46</f>
        <v>247480</v>
      </c>
      <c r="N44" s="79">
        <f ca="1">N45+N46</f>
        <v>182527</v>
      </c>
      <c r="O44" s="79">
        <f ca="1">IF(L44&gt;0,N44*100/L44,0)</f>
        <v>82.59140271493213</v>
      </c>
      <c r="P44" s="79">
        <f ca="1">IF(M44&gt;0,N44*100/M44,0)</f>
        <v>73.754242767092293</v>
      </c>
      <c r="Q44" s="797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794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221000</v>
      </c>
      <c r="M46" s="83">
        <f ca="1">M49+M52</f>
        <v>247480</v>
      </c>
      <c r="N46" s="83">
        <f ca="1">N49+N52</f>
        <v>182527</v>
      </c>
      <c r="O46" s="83">
        <f ca="1">IF(L46&gt;0,N46*100/L46,0)</f>
        <v>82.59140271493213</v>
      </c>
      <c r="P46" s="83">
        <f ca="1">IF(M46&gt;0,N46*100/M46,0)</f>
        <v>73.754242767092293</v>
      </c>
      <c r="Q46" s="79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221000</v>
      </c>
      <c r="M47" s="47">
        <f ca="1">M48+M49</f>
        <v>247480</v>
      </c>
      <c r="N47" s="47">
        <f ca="1">N48+N49</f>
        <v>182527</v>
      </c>
      <c r="O47" s="47">
        <f ca="1">IF(L47&gt;0,N47*100/L47,0)</f>
        <v>82.59140271493213</v>
      </c>
      <c r="P47" s="47">
        <f ca="1">IF(M47&gt;0,N47*100/M47,0)</f>
        <v>73.754242767092293</v>
      </c>
      <c r="Q47" s="548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5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IFERROR(__xludf.DUMMYFUNCTION("IMPORTRANGE(""https://docs.google.com/spreadsheets/d/1-uDff_7J0KD5mKrp0Vvzr7lt3OU09vwQwhkpOPPYv2Y/edit?usp=sharing"",""งบพรบ!P84"")"),221000)</f>
        <v>221000</v>
      </c>
      <c r="M49" s="47">
        <f ca="1">IFERROR(__xludf.DUMMYFUNCTION("IMPORTRANGE(""https://docs.google.com/spreadsheets/d/1-uDff_7J0KD5mKrp0Vvzr7lt3OU09vwQwhkpOPPYv2Y/edit?usp=sharing"",""งบพรบ!V84"")"),247480)</f>
        <v>247480</v>
      </c>
      <c r="N49" s="47">
        <f ca="1">IFERROR(__xludf.DUMMYFUNCTION("IMPORTRANGE(""https://docs.google.com/spreadsheets/d/1-uDff_7J0KD5mKrp0Vvzr7lt3OU09vwQwhkpOPPYv2Y/edit?usp=sharing"",""งบพรบ!Y84"")"),182527)</f>
        <v>182527</v>
      </c>
      <c r="O49" s="47">
        <f ca="1">IF(L49&gt;0,N49*100/L49,0)</f>
        <v>82.59140271493213</v>
      </c>
      <c r="P49" s="47">
        <f ca="1">IF(M49&gt;0,N49*100/M49,0)</f>
        <v>73.754242767092293</v>
      </c>
      <c r="Q49" s="548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548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5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IFERROR(__xludf.DUMMYFUNCTION("IMPORTRANGE(""https://docs.google.com/spreadsheets/d/1-uDff_7J0KD5mKrp0Vvzr7lt3OU09vwQwhkpOPPYv2Y/edit?usp=sharing"",""งบพรบ!S84"")"),0)</f>
        <v>0</v>
      </c>
      <c r="M52" s="47">
        <f ca="1">IFERROR(__xludf.DUMMYFUNCTION("IMPORTRANGE(""https://docs.google.com/spreadsheets/d/1-uDff_7J0KD5mKrp0Vvzr7lt3OU09vwQwhkpOPPYv2Y/edit?usp=sharing"",""งบพรบ!W84"")"),0)</f>
        <v>0</v>
      </c>
      <c r="N52" s="47">
        <f ca="1">IFERROR(__xludf.DUMMYFUNCTION("IMPORTRANGE(""https://docs.google.com/spreadsheets/d/1-uDff_7J0KD5mKrp0Vvzr7lt3OU09vwQwhkpOPPYv2Y/edit?usp=sharing"",""งบพรบ!Z84"")"),0)</f>
        <v>0</v>
      </c>
      <c r="O52" s="47">
        <f ca="1">IF(L52&gt;0,N52*100/L52,0)</f>
        <v>0</v>
      </c>
      <c r="P52" s="47">
        <f ca="1">IF(M52&gt;0,N52*100/M52,0)</f>
        <v>0</v>
      </c>
      <c r="Q52" s="548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5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5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545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92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792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791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578900</v>
      </c>
      <c r="M59" s="106">
        <f ca="1">M60+M61</f>
        <v>578900</v>
      </c>
      <c r="N59" s="106">
        <f ca="1">N60+N61</f>
        <v>464569.14</v>
      </c>
      <c r="O59" s="106">
        <f ca="1">IF(L59&gt;0,N59*100/L59,0)</f>
        <v>80.250326481257559</v>
      </c>
      <c r="P59" s="106">
        <f ca="1">IF(M59&gt;0,N59*100/M59,0)</f>
        <v>80.250326481257559</v>
      </c>
      <c r="Q59" s="788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785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578900</v>
      </c>
      <c r="M61" s="109">
        <f ca="1">M64+M67</f>
        <v>578900</v>
      </c>
      <c r="N61" s="109">
        <f ca="1">N64+N67</f>
        <v>464569.14</v>
      </c>
      <c r="O61" s="109">
        <f ca="1">IF(L61&gt;0,N61*100/L61,0)</f>
        <v>80.250326481257559</v>
      </c>
      <c r="P61" s="109">
        <f ca="1">IF(M61&gt;0,N61*100/M61,0)</f>
        <v>80.250326481257559</v>
      </c>
      <c r="Q61" s="784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578900</v>
      </c>
      <c r="M62" s="47">
        <f ca="1">M63+M64</f>
        <v>578900</v>
      </c>
      <c r="N62" s="47">
        <f ca="1">N63+N64</f>
        <v>464569.14</v>
      </c>
      <c r="O62" s="47">
        <f ca="1">IF(L62&gt;0,N62*100/L62,0)</f>
        <v>80.250326481257559</v>
      </c>
      <c r="P62" s="47">
        <f ca="1">IF(M62&gt;0,N62*100/M62,0)</f>
        <v>80.250326481257559</v>
      </c>
      <c r="Q62" s="548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5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IFERROR(__xludf.DUMMYFUNCTION("IMPORTRANGE(""https://docs.google.com/spreadsheets/d/1-uDff_7J0KD5mKrp0Vvzr7lt3OU09vwQwhkpOPPYv2Y/edit?usp=sharing"",""งบพรบ!AC84"")"),578900)</f>
        <v>578900</v>
      </c>
      <c r="M64" s="47">
        <f ca="1">IFERROR(__xludf.DUMMYFUNCTION("IMPORTRANGE(""https://docs.google.com/spreadsheets/d/1-uDff_7J0KD5mKrp0Vvzr7lt3OU09vwQwhkpOPPYv2Y/edit?usp=sharing"",""งบพรบ!AH84"")"),578900)</f>
        <v>578900</v>
      </c>
      <c r="N64" s="47">
        <f ca="1">IFERROR(__xludf.DUMMYFUNCTION("IMPORTRANGE(""https://docs.google.com/spreadsheets/d/1-uDff_7J0KD5mKrp0Vvzr7lt3OU09vwQwhkpOPPYv2Y/edit?usp=sharing"",""งบพรบ!AJ84"")"),464569.14)</f>
        <v>464569.14</v>
      </c>
      <c r="O64" s="47">
        <f ca="1">IF(L64&gt;0,N64*100/L64,0)</f>
        <v>80.250326481257559</v>
      </c>
      <c r="P64" s="47">
        <f ca="1">IF(M64&gt;0,N64*100/M64,0)</f>
        <v>80.250326481257559</v>
      </c>
      <c r="Q64" s="548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548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5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IFERROR(__xludf.DUMMYFUNCTION("IMPORTRANGE(""https://docs.google.com/spreadsheets/d/1-uDff_7J0KD5mKrp0Vvzr7lt3OU09vwQwhkpOPPYv2Y/edit?usp=sharing"",""งบพรบ!AF84"")"),0)</f>
        <v>0</v>
      </c>
      <c r="M67" s="111">
        <f ca="1">IFERROR(__xludf.DUMMYFUNCTION("IMPORTRANGE(""https://docs.google.com/spreadsheets/d/1-uDff_7J0KD5mKrp0Vvzr7lt3OU09vwQwhkpOPPYv2Y/edit?usp=sharing"",""งบพรบ!AI84"")"),0)</f>
        <v>0</v>
      </c>
      <c r="N67" s="111">
        <f ca="1">IFERROR(__xludf.DUMMYFUNCTION("IMPORTRANGE(""https://docs.google.com/spreadsheets/d/1-uDff_7J0KD5mKrp0Vvzr7lt3OU09vwQwhkpOPPYv2Y/edit?usp=sharing"",""งบพรบ!AK84"")"),0)</f>
        <v>0</v>
      </c>
      <c r="O67" s="111">
        <f ca="1">IF(L67&gt;0,N67*100/L67,0)</f>
        <v>0</v>
      </c>
      <c r="P67" s="111">
        <f ca="1">IF(M67&gt;0,N67*100/M67,0)</f>
        <v>0</v>
      </c>
      <c r="Q67" s="782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891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781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583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583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550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5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548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548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5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IFERROR(__xludf.DUMMYFUNCTION("IMPORTRANGE(""https://docs.google.com/spreadsheets/d/1-uDff_7J0KD5mKrp0Vvzr7lt3OU09vwQwhkpOPPYv2Y/edit?usp=sharing"",""งบพรบ!AM84"")"),0)</f>
        <v>0</v>
      </c>
      <c r="M77" s="47">
        <f ca="1">IFERROR(__xludf.DUMMYFUNCTION("IMPORTRANGE(""https://docs.google.com/spreadsheets/d/1-uDff_7J0KD5mKrp0Vvzr7lt3OU09vwQwhkpOPPYv2Y/edit?usp=sharing"",""งบพรบ!AR84"")"),0)</f>
        <v>0</v>
      </c>
      <c r="N77" s="47">
        <f ca="1">IFERROR(__xludf.DUMMYFUNCTION("IMPORTRANGE(""https://docs.google.com/spreadsheets/d/1-uDff_7J0KD5mKrp0Vvzr7lt3OU09vwQwhkpOPPYv2Y/edit?usp=sharing"",""งบพรบ!AT84"")"),0)</f>
        <v>0</v>
      </c>
      <c r="O77" s="47">
        <f ca="1">IF(L77&gt;0,N77*100/L77,0)</f>
        <v>0</v>
      </c>
      <c r="P77" s="47">
        <f ca="1">IF(M77&gt;0,N77*100/M77,0)</f>
        <v>0</v>
      </c>
      <c r="Q77" s="548">
        <f ca="1">IFERROR(__xludf.DUMMYFUNCTION("IMPORTRANGE(""https://docs.google.com/spreadsheets/d/1ItG2mGa2ceCfYo0BwxsXqNm01IGEUdYcSSLTEv9YCik/edit?usp=sharing"",""เบิกจ่ายกองทุน!BH84"")"),0)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IFERROR(__xludf.DUMMYFUNCTION("IMPORTRANGE(""https://docs.google.com/spreadsheets/d/1ItG2mGa2ceCfYo0BwxsXqNm01IGEUdYcSSLTEv9YCik/edit?usp=sharing"",""เบิกจ่ายกองทุน!BI84"")"),0)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IFERROR(__xludf.DUMMYFUNCTION("IMPORTRANGE(""https://docs.google.com/spreadsheets/d/1ItG2mGa2ceCfYo0BwxsXqNm01IGEUdYcSSLTEv9YCik/edit?usp=sharing"",""เบิกจ่ายกองทุน!BJ84"")"),0)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548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549">
        <v>0</v>
      </c>
      <c r="R79" s="49">
        <v>0</v>
      </c>
      <c r="S79" s="49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IFERROR(__xludf.DUMMYFUNCTION("IMPORTRANGE(""https://docs.google.com/spreadsheets/d/1-uDff_7J0KD5mKrp0Vvzr7lt3OU09vwQwhkpOPPYv2Y/edit?usp=sharing"",""งบพรบ!AP84"")"),0)</f>
        <v>0</v>
      </c>
      <c r="M80" s="47">
        <f ca="1">IFERROR(__xludf.DUMMYFUNCTION("IMPORTRANGE(""https://docs.google.com/spreadsheets/d/1-uDff_7J0KD5mKrp0Vvzr7lt3OU09vwQwhkpOPPYv2Y/edit?usp=sharing"",""งบพรบ!AS84"")"),0)</f>
        <v>0</v>
      </c>
      <c r="N80" s="47">
        <f ca="1">IFERROR(__xludf.DUMMYFUNCTION("IMPORTRANGE(""https://docs.google.com/spreadsheets/d/1-uDff_7J0KD5mKrp0Vvzr7lt3OU09vwQwhkpOPPYv2Y/edit?usp=sharing"",""งบพรบ!AU84"")"),0)</f>
        <v>0</v>
      </c>
      <c r="O80" s="47">
        <f ca="1">IF(L80&gt;0,N80*100/L80,0)</f>
        <v>0</v>
      </c>
      <c r="P80" s="47">
        <f ca="1">IF(M80&gt;0,N80*100/M80,0)</f>
        <v>0</v>
      </c>
      <c r="Q80" s="548">
        <f ca="1">IFERROR(__xludf.DUMMYFUNCTION("IMPORTRANGE(""https://docs.google.com/spreadsheets/d/1ItG2mGa2ceCfYo0BwxsXqNm01IGEUdYcSSLTEv9YCik/edit?usp=sharing"",""เบิกจ่ายกองทุน!BK84"")"),0)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IFERROR(__xludf.DUMMYFUNCTION("IMPORTRANGE(""https://docs.google.com/spreadsheets/d/1ItG2mGa2ceCfYo0BwxsXqNm01IGEUdYcSSLTEv9YCik/edit?usp=sharing"",""เบิกจ่ายกองทุน!BL84"")"),0)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IFERROR(__xludf.DUMMYFUNCTION("IMPORTRANGE(""https://docs.google.com/spreadsheets/d/1ItG2mGa2ceCfYo0BwxsXqNm01IGEUdYcSSLTEv9YCik/edit?usp=sharing"",""เบิกจ่ายกองทุน!BM84"")"),0)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558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558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558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IFERROR(__xludf.DUMMYFUNCTION("IMPORTRANGE(""https://docs.google.com/spreadsheets/d/1eHaY18a8A9IcSdp1K8H6x8fbOy06t2VsZHhMHf-1x7Y/edit?usp=sharing"",""แผน!H84"")"),0)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558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IFERROR(__xludf.DUMMYFUNCTION("IMPORTRANGE(""https://docs.google.com/spreadsheets/d/1eHaY18a8A9IcSdp1K8H6x8fbOy06t2VsZHhMHf-1x7Y/edit?usp=sharing"",""แผน!I84"")"),0)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558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IFERROR(__xludf.DUMMYFUNCTION("IMPORTRANGE(""https://docs.google.com/spreadsheets/d/1eHaY18a8A9IcSdp1K8H6x8fbOy06t2VsZHhMHf-1x7Y/edit?usp=sharing"",""แผน!F84"")"),0)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558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IFERROR(__xludf.DUMMYFUNCTION("IMPORTRANGE(""https://docs.google.com/spreadsheets/d/1eHaY18a8A9IcSdp1K8H6x8fbOy06t2VsZHhMHf-1x7Y/edit?usp=sharing"",""แผน!G84"")"),0)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558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IFERROR(__xludf.DUMMYFUNCTION("IMPORTRANGE(""https://docs.google.com/spreadsheets/d/1eHaY18a8A9IcSdp1K8H6x8fbOy06t2VsZHhMHf-1x7Y/edit?usp=sharing"",""แผน!D84"")"),0)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558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IFERROR(__xludf.DUMMYFUNCTION("IMPORTRANGE(""https://docs.google.com/spreadsheets/d/1eHaY18a8A9IcSdp1K8H6x8fbOy06t2VsZHhMHf-1x7Y/edit?usp=sharing"",""แผน!E84"")"),0)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558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IFERROR(__xludf.DUMMYFUNCTION("IMPORTRANGE(""https://docs.google.com/spreadsheets/d/1eHaY18a8A9IcSdp1K8H6x8fbOy06t2VsZHhMHf-1x7Y/edit?usp=sharing"",""แผน!J84"")"),0)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558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781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583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583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550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5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548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548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5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IFERROR(__xludf.DUMMYFUNCTION("IMPORTRANGE(""https://docs.google.com/spreadsheets/d/1-uDff_7J0KD5mKrp0Vvzr7lt3OU09vwQwhkpOPPYv2Y/edit?usp=sharing"",""งบพรบ!AW84"")"),0)</f>
        <v>0</v>
      </c>
      <c r="M99" s="47">
        <f ca="1">IFERROR(__xludf.DUMMYFUNCTION("IMPORTRANGE(""https://docs.google.com/spreadsheets/d/1-uDff_7J0KD5mKrp0Vvzr7lt3OU09vwQwhkpOPPYv2Y/edit?usp=sharing"",""งบพรบ!BB84"")"),0)</f>
        <v>0</v>
      </c>
      <c r="N99" s="47">
        <f ca="1">IFERROR(__xludf.DUMMYFUNCTION("IMPORTRANGE(""https://docs.google.com/spreadsheets/d/1-uDff_7J0KD5mKrp0Vvzr7lt3OU09vwQwhkpOPPYv2Y/edit?usp=sharing"",""งบพรบ!BD84"")"),0)</f>
        <v>0</v>
      </c>
      <c r="O99" s="47">
        <f ca="1">IF(L99&gt;0,N99*100/L99,0)</f>
        <v>0</v>
      </c>
      <c r="P99" s="47">
        <f ca="1">IF(M99&gt;0,N99*100/M99,0)</f>
        <v>0</v>
      </c>
      <c r="Q99" s="548">
        <f ca="1">IFERROR(__xludf.DUMMYFUNCTION("IMPORTRANGE(""https://docs.google.com/spreadsheets/d/1ItG2mGa2ceCfYo0BwxsXqNm01IGEUdYcSSLTEv9YCik/edit?usp=sharing"",""เบิกจ่ายกองทุน!AJ84"")"),0)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IFERROR(__xludf.DUMMYFUNCTION("IMPORTRANGE(""https://docs.google.com/spreadsheets/d/1ItG2mGa2ceCfYo0BwxsXqNm01IGEUdYcSSLTEv9YCik/edit?usp=sharing"",""เบิกจ่ายกองทุน!AK84"")"),0)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IFERROR(__xludf.DUMMYFUNCTION("IMPORTRANGE(""https://docs.google.com/spreadsheets/d/1ItG2mGa2ceCfYo0BwxsXqNm01IGEUdYcSSLTEv9YCik/edit?usp=sharing"",""เบิกจ่ายกองทุน!AL84"")"),0)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548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5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IFERROR(__xludf.DUMMYFUNCTION("IMPORTRANGE(""https://docs.google.com/spreadsheets/d/1-uDff_7J0KD5mKrp0Vvzr7lt3OU09vwQwhkpOPPYv2Y/edit?usp=sharing"",""งบพรบ!AZ84"")"),0)</f>
        <v>0</v>
      </c>
      <c r="M102" s="47">
        <f ca="1">IFERROR(__xludf.DUMMYFUNCTION("IMPORTRANGE(""https://docs.google.com/spreadsheets/d/1-uDff_7J0KD5mKrp0Vvzr7lt3OU09vwQwhkpOPPYv2Y/edit?usp=sharing"",""งบพรบ!BC84"")"),0)</f>
        <v>0</v>
      </c>
      <c r="N102" s="47">
        <f ca="1">IFERROR(__xludf.DUMMYFUNCTION("IMPORTRANGE(""https://docs.google.com/spreadsheets/d/1-uDff_7J0KD5mKrp0Vvzr7lt3OU09vwQwhkpOPPYv2Y/edit?usp=sharing"",""งบพรบ!BE84"")"),0)</f>
        <v>0</v>
      </c>
      <c r="O102" s="47">
        <f ca="1">IF(L102&gt;0,N102*100/L102,0)</f>
        <v>0</v>
      </c>
      <c r="P102" s="47">
        <f ca="1">IF(M102&gt;0,N102*100/M102,0)</f>
        <v>0</v>
      </c>
      <c r="Q102" s="548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5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700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700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700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5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IFERROR(__xludf.DUMMYFUNCTION("IMPORTRANGE(""https://docs.google.com/spreadsheets/d/1eHaY18a8A9IcSdp1K8H6x8fbOy06t2VsZHhMHf-1x7Y/edit?usp=sharing"",""แผน!N84"")"),0)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5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IFERROR(__xludf.DUMMYFUNCTION("IMPORTRANGE(""https://docs.google.com/spreadsheets/d/1eHaY18a8A9IcSdp1K8H6x8fbOy06t2VsZHhMHf-1x7Y/edit?usp=sharing"",""แผน!O84"")"),0)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5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700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700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700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546"/>
      <c r="R113" s="46"/>
      <c r="S113" s="46"/>
      <c r="T113" s="136"/>
      <c r="U113" s="136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IFERROR(__xludf.DUMMYFUNCTION("IMPORTRANGE(""https://docs.google.com/spreadsheets/d/1eHaY18a8A9IcSdp1K8H6x8fbOy06t2VsZHhMHf-1x7Y/edit?usp=sharing"",""แผน!R84"")"),0)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5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781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583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550">
        <f ca="1">Q118+Q119</f>
        <v>191460</v>
      </c>
      <c r="R117" s="132">
        <f ca="1">R118+R119</f>
        <v>191460</v>
      </c>
      <c r="S117" s="132">
        <f ca="1">S118+S119</f>
        <v>132453.44</v>
      </c>
      <c r="T117" s="132">
        <f ca="1">IF(Q117&gt;0,S117*100/Q117,0)</f>
        <v>69.180737490859713</v>
      </c>
      <c r="U117" s="132">
        <f ca="1">IF(R117&gt;0,S117*100/R117,0)</f>
        <v>69.180737490859713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5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548">
        <f ca="1">Q122+Q125</f>
        <v>191460</v>
      </c>
      <c r="R119" s="47">
        <f ca="1">R122+R125</f>
        <v>191460</v>
      </c>
      <c r="S119" s="47">
        <f ca="1">S122+S125</f>
        <v>132453.44</v>
      </c>
      <c r="T119" s="47">
        <f ca="1">IF(Q119&gt;0,S119*100/Q119,0)</f>
        <v>69.180737490859713</v>
      </c>
      <c r="U119" s="47">
        <f ca="1">IF(R119&gt;0,S119*100/R119,0)</f>
        <v>69.180737490859713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548">
        <f ca="1">Q121+Q122</f>
        <v>191460</v>
      </c>
      <c r="R120" s="47">
        <f ca="1">R121+R122</f>
        <v>191460</v>
      </c>
      <c r="S120" s="47">
        <f ca="1">S121+S122</f>
        <v>132453.44</v>
      </c>
      <c r="T120" s="47">
        <f ca="1">IF(Q120&gt;0,S120*100/Q120,0)</f>
        <v>69.180737490859713</v>
      </c>
      <c r="U120" s="47">
        <f ca="1">IF(R120&gt;0,S120*100/R120,0)</f>
        <v>69.180737490859713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5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IFERROR(__xludf.DUMMYFUNCTION("IMPORTRANGE(""https://docs.google.com/spreadsheets/d/1-uDff_7J0KD5mKrp0Vvzr7lt3OU09vwQwhkpOPPYv2Y/edit?usp=sharing"",""งบพรบ!BG84"")"),0)</f>
        <v>0</v>
      </c>
      <c r="M122" s="47">
        <f ca="1">IFERROR(__xludf.DUMMYFUNCTION("IMPORTRANGE(""https://docs.google.com/spreadsheets/d/1-uDff_7J0KD5mKrp0Vvzr7lt3OU09vwQwhkpOPPYv2Y/edit?usp=sharing"",""งบพรบ!BL84"")"),0)</f>
        <v>0</v>
      </c>
      <c r="N122" s="47">
        <f ca="1">IFERROR(__xludf.DUMMYFUNCTION("IMPORTRANGE(""https://docs.google.com/spreadsheets/d/1-uDff_7J0KD5mKrp0Vvzr7lt3OU09vwQwhkpOPPYv2Y/edit?usp=sharing"",""งบพรบ!BN84"")"),0)</f>
        <v>0</v>
      </c>
      <c r="O122" s="47">
        <f ca="1">IF(L122&gt;0,N122*100/L122,0)</f>
        <v>0</v>
      </c>
      <c r="P122" s="47">
        <f ca="1">IF(M122&gt;0,N122*100/M122,0)</f>
        <v>0</v>
      </c>
      <c r="Q122" s="548">
        <f ca="1">IFERROR(__xludf.DUMMYFUNCTION("IMPORTRANGE(""https://docs.google.com/spreadsheets/d/1ItG2mGa2ceCfYo0BwxsXqNm01IGEUdYcSSLTEv9YCik/edit?usp=sharing"",""เบิกจ่ายกองทุน!U84"")"),191460)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IFERROR(__xludf.DUMMYFUNCTION("IMPORTRANGE(""https://docs.google.com/spreadsheets/d/1ItG2mGa2ceCfYo0BwxsXqNm01IGEUdYcSSLTEv9YCik/edit?usp=sharing"",""เบิกจ่ายกองทุน!V84"")"),191460)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IFERROR(__xludf.DUMMYFUNCTION("IMPORTRANGE(""https://docs.google.com/spreadsheets/d/1ItG2mGa2ceCfYo0BwxsXqNm01IGEUdYcSSLTEv9YCik/edit?usp=sharing"",""เบิกจ่ายกองทุน!W84"")"),132453.44)</f>
        <v>132453.44</v>
      </c>
      <c r="T122" s="47">
        <f ca="1">IF(Q122&gt;0,S122*100/Q122,0)</f>
        <v>69.180737490859713</v>
      </c>
      <c r="U122" s="47">
        <f ca="1">IF(R122&gt;0,S122*100/R122,0)</f>
        <v>69.180737490859713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548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5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IFERROR(__xludf.DUMMYFUNCTION("IMPORTRANGE(""https://docs.google.com/spreadsheets/d/1-uDff_7J0KD5mKrp0Vvzr7lt3OU09vwQwhkpOPPYv2Y/edit?usp=sharing"",""งบพรบ!BJ84"")"),0)</f>
        <v>0</v>
      </c>
      <c r="M125" s="47">
        <f ca="1">IFERROR(__xludf.DUMMYFUNCTION("IMPORTRANGE(""https://docs.google.com/spreadsheets/d/1-uDff_7J0KD5mKrp0Vvzr7lt3OU09vwQwhkpOPPYv2Y/edit?usp=sharing"",""งบพรบ!BM84"")"),0)</f>
        <v>0</v>
      </c>
      <c r="N125" s="47">
        <f ca="1">IFERROR(__xludf.DUMMYFUNCTION("IMPORTRANGE(""https://docs.google.com/spreadsheets/d/1-uDff_7J0KD5mKrp0Vvzr7lt3OU09vwQwhkpOPPYv2Y/edit?usp=sharing"",""งบพรบ!BO84"")"),0)</f>
        <v>0</v>
      </c>
      <c r="O125" s="47">
        <f ca="1">IF(L125&gt;0,N125*100/L125,0)</f>
        <v>0</v>
      </c>
      <c r="P125" s="47">
        <f ca="1">IF(M125&gt;0,N125*100/M125,0)</f>
        <v>0</v>
      </c>
      <c r="Q125" s="548">
        <f ca="1">IFERROR(__xludf.DUMMYFUNCTION("IMPORTRANGE(""https://docs.google.com/spreadsheets/d/1ItG2mGa2ceCfYo0BwxsXqNm01IGEUdYcSSLTEv9YCik/edit?usp=sharing"",""เบิกจ่ายกองทุน!X84"")"),0)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IFERROR(__xludf.DUMMYFUNCTION("IMPORTRANGE(""https://docs.google.com/spreadsheets/d/1ItG2mGa2ceCfYo0BwxsXqNm01IGEUdYcSSLTEv9YCik/edit?usp=sharing"",""เบิกจ่ายกองทุน!Y84"")"),0)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IFERROR(__xludf.DUMMYFUNCTION("IMPORTRANGE(""https://docs.google.com/spreadsheets/d/1ItG2mGa2ceCfYo0BwxsXqNm01IGEUdYcSSLTEv9YCik/edit?usp=sharing"",""เบิกจ่ายกองทุน!Z84"")"),0)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5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IFERROR(__xludf.DUMMYFUNCTION("IMPORTRANGE(""https://docs.google.com/spreadsheets/d/1eHaY18a8A9IcSdp1K8H6x8fbOy06t2VsZHhMHf-1x7Y/edit?usp=sharing"",""แผน!FF84"")"),15)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5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IFERROR(__xludf.DUMMYFUNCTION("IMPORTRANGE(""https://docs.google.com/spreadsheets/d/1eHaY18a8A9IcSdp1K8H6x8fbOy06t2VsZHhMHf-1x7Y/edit?usp=sharing"",""แผน!FG84"")"),0)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5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IFERROR(__xludf.DUMMYFUNCTION("IMPORTRANGE(""https://docs.google.com/spreadsheets/d/1eHaY18a8A9IcSdp1K8H6x8fbOy06t2VsZHhMHf-1x7Y/edit?usp=sharing"",""แผน!FH84"")"),15)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5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IFERROR(__xludf.DUMMYFUNCTION("IMPORTRANGE(""https://docs.google.com/spreadsheets/d/1eHaY18a8A9IcSdp1K8H6x8fbOy06t2VsZHhMHf-1x7Y/edit?usp=sharing"",""แผน!FI84"")"),0)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5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5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5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700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781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583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583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583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583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550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5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548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548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5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IFERROR(__xludf.DUMMYFUNCTION("IMPORTRANGE(""https://docs.google.com/spreadsheets/d/1-uDff_7J0KD5mKrp0Vvzr7lt3OU09vwQwhkpOPPYv2Y/edit?usp=sharing"",""งบพรบ!BQ84"")"),0)</f>
        <v>0</v>
      </c>
      <c r="M144" s="47">
        <f ca="1">IFERROR(__xludf.DUMMYFUNCTION("IMPORTRANGE(""https://docs.google.com/spreadsheets/d/1-uDff_7J0KD5mKrp0Vvzr7lt3OU09vwQwhkpOPPYv2Y/edit?usp=sharing"",""งบพรบ!BV84"")"),0)</f>
        <v>0</v>
      </c>
      <c r="N144" s="47">
        <f ca="1">IFERROR(__xludf.DUMMYFUNCTION("IMPORTRANGE(""https://docs.google.com/spreadsheets/d/1-uDff_7J0KD5mKrp0Vvzr7lt3OU09vwQwhkpOPPYv2Y/edit?usp=sharing"",""งบพรบ!BX84"")"),0)</f>
        <v>0</v>
      </c>
      <c r="O144" s="47">
        <f ca="1">IF(L144&gt;0,N144*100/L144,0)</f>
        <v>0</v>
      </c>
      <c r="P144" s="47">
        <f ca="1">IF(M144&gt;0,N144*100/M144,0)</f>
        <v>0</v>
      </c>
      <c r="Q144" s="548">
        <f ca="1">IFERROR(__xludf.DUMMYFUNCTION("IMPORTRANGE(""https://docs.google.com/spreadsheets/d/1ItG2mGa2ceCfYo0BwxsXqNm01IGEUdYcSSLTEv9YCik/edit?usp=sharing"",""เบิกจ่ายกองทุน!CF84"")"),0)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IFERROR(__xludf.DUMMYFUNCTION("IMPORTRANGE(""https://docs.google.com/spreadsheets/d/1ItG2mGa2ceCfYo0BwxsXqNm01IGEUdYcSSLTEv9YCik/edit?usp=sharing"",""เบิกจ่ายกองทุน!CG84"")"),0)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IFERROR(__xludf.DUMMYFUNCTION("IMPORTRANGE(""https://docs.google.com/spreadsheets/d/1ItG2mGa2ceCfYo0BwxsXqNm01IGEUdYcSSLTEv9YCik/edit?usp=sharing"",""เบิกจ่ายกองทุน!CH84"")"),0)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548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5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IFERROR(__xludf.DUMMYFUNCTION("IMPORTRANGE(""https://docs.google.com/spreadsheets/d/1-uDff_7J0KD5mKrp0Vvzr7lt3OU09vwQwhkpOPPYv2Y/edit?usp=sharing"",""งบพรบ!BT84"")"),0)</f>
        <v>0</v>
      </c>
      <c r="M147" s="47">
        <f ca="1">IFERROR(__xludf.DUMMYFUNCTION("IMPORTRANGE(""https://docs.google.com/spreadsheets/d/1-uDff_7J0KD5mKrp0Vvzr7lt3OU09vwQwhkpOPPYv2Y/edit?usp=sharing"",""งบพรบ!BW84"")"),0)</f>
        <v>0</v>
      </c>
      <c r="N147" s="47">
        <f ca="1">IFERROR(__xludf.DUMMYFUNCTION("IMPORTRANGE(""https://docs.google.com/spreadsheets/d/1-uDff_7J0KD5mKrp0Vvzr7lt3OU09vwQwhkpOPPYv2Y/edit?usp=sharing"",""งบพรบ!BY84"")"),0)</f>
        <v>0</v>
      </c>
      <c r="O147" s="47">
        <f ca="1">IF(L147&gt;0,N147*100/L147,0)</f>
        <v>0</v>
      </c>
      <c r="P147" s="47">
        <f ca="1">IF(M147&gt;0,N147*100/M147,0)</f>
        <v>0</v>
      </c>
      <c r="Q147" s="548">
        <f ca="1">IFERROR(__xludf.DUMMYFUNCTION("IMPORTRANGE(""https://docs.google.com/spreadsheets/d/1ItG2mGa2ceCfYo0BwxsXqNm01IGEUdYcSSLTEv9YCik/edit?usp=sharing"",""เบิกจ่ายกองทุน!CI84"")"),0)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IFERROR(__xludf.DUMMYFUNCTION("IMPORTRANGE(""https://docs.google.com/spreadsheets/d/1ItG2mGa2ceCfYo0BwxsXqNm01IGEUdYcSSLTEv9YCik/edit?usp=sharing"",""เบิกจ่ายกองทุน!CJ84"")"),0)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IFERROR(__xludf.DUMMYFUNCTION("IMPORTRANGE(""https://docs.google.com/spreadsheets/d/1ItG2mGa2ceCfYo0BwxsXqNm01IGEUdYcSSLTEv9YCik/edit?usp=sharing"",""เบิกจ่ายกองทุน!CK84"")"),0)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5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5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IFERROR(__xludf.DUMMYFUNCTION("IMPORTRANGE(""https://docs.google.com/spreadsheets/d/1eHaY18a8A9IcSdp1K8H6x8fbOy06t2VsZHhMHf-1x7Y/edit?usp=sharing"",""แผน!U84"")"),0)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5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IFERROR(__xludf.DUMMYFUNCTION("IMPORTRANGE(""https://docs.google.com/spreadsheets/d/1eHaY18a8A9IcSdp1K8H6x8fbOy06t2VsZHhMHf-1x7Y/edit?usp=sharing"",""แผน!V84"")"),0)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5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IFERROR(__xludf.DUMMYFUNCTION("IMPORTRANGE(""https://docs.google.com/spreadsheets/d/1eHaY18a8A9IcSdp1K8H6x8fbOy06t2VsZHhMHf-1x7Y/edit?usp=sharing"",""แผน!W84"")"),0)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5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IFERROR(__xludf.DUMMYFUNCTION("IMPORTRANGE(""https://docs.google.com/spreadsheets/d/1eHaY18a8A9IcSdp1K8H6x8fbOy06t2VsZHhMHf-1x7Y/edit?usp=sharing"",""แผน!X84"")"),0)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5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IFERROR(__xludf.DUMMYFUNCTION("IMPORTRANGE(""https://docs.google.com/spreadsheets/d/1eHaY18a8A9IcSdp1K8H6x8fbOy06t2VsZHhMHf-1x7Y/edit?usp=sharing"",""แผน!Y84"")"),0)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5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781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583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550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5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548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548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5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IFERROR(__xludf.DUMMYFUNCTION("IMPORTRANGE(""https://docs.google.com/spreadsheets/d/1-uDff_7J0KD5mKrp0Vvzr7lt3OU09vwQwhkpOPPYv2Y/edit?usp=sharing"",""งบพรบ!CA84"")"),0)</f>
        <v>0</v>
      </c>
      <c r="M162" s="47">
        <f ca="1">IFERROR(__xludf.DUMMYFUNCTION("IMPORTRANGE(""https://docs.google.com/spreadsheets/d/1-uDff_7J0KD5mKrp0Vvzr7lt3OU09vwQwhkpOPPYv2Y/edit?usp=sharing"",""งบพรบ!CF84"")"),0)</f>
        <v>0</v>
      </c>
      <c r="N162" s="47">
        <f ca="1">IFERROR(__xludf.DUMMYFUNCTION("IMPORTRANGE(""https://docs.google.com/spreadsheets/d/1-uDff_7J0KD5mKrp0Vvzr7lt3OU09vwQwhkpOPPYv2Y/edit?usp=sharing"",""งบพรบ!CH84"")"),0)</f>
        <v>0</v>
      </c>
      <c r="O162" s="47">
        <f ca="1">IF(L162&gt;0,N162*100/L162,0)</f>
        <v>0</v>
      </c>
      <c r="P162" s="47">
        <f ca="1">IF(M162&gt;0,N162*100/M162,0)</f>
        <v>0</v>
      </c>
      <c r="Q162" s="548">
        <f ca="1">IFERROR(__xludf.DUMMYFUNCTION("IMPORTRANGE(""https://docs.google.com/spreadsheets/d/1ItG2mGa2ceCfYo0BwxsXqNm01IGEUdYcSSLTEv9YCik/edit?usp=sharing"",""เบิกจ่ายกองทุน!AM84"")"),0)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IFERROR(__xludf.DUMMYFUNCTION("IMPORTRANGE(""https://docs.google.com/spreadsheets/d/1ItG2mGa2ceCfYo0BwxsXqNm01IGEUdYcSSLTEv9YCik/edit?usp=sharing"",""เบิกจ่ายกองทุน!AN84"")"),0)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IFERROR(__xludf.DUMMYFUNCTION("IMPORTRANGE(""https://docs.google.com/spreadsheets/d/1ItG2mGa2ceCfYo0BwxsXqNm01IGEUdYcSSLTEv9YCik/edit?usp=sharing"",""เบิกจ่ายกองทุน!AO84"")"),0)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548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5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IFERROR(__xludf.DUMMYFUNCTION("IMPORTRANGE(""https://docs.google.com/spreadsheets/d/1-uDff_7J0KD5mKrp0Vvzr7lt3OU09vwQwhkpOPPYv2Y/edit?usp=sharing"",""งบพรบ!CD84"")"),0)</f>
        <v>0</v>
      </c>
      <c r="M165" s="47">
        <f ca="1">IFERROR(__xludf.DUMMYFUNCTION("IMPORTRANGE(""https://docs.google.com/spreadsheets/d/1-uDff_7J0KD5mKrp0Vvzr7lt3OU09vwQwhkpOPPYv2Y/edit?usp=sharing"",""งบพรบ!CG84"")"),0)</f>
        <v>0</v>
      </c>
      <c r="N165" s="47">
        <f ca="1">IFERROR(__xludf.DUMMYFUNCTION("IMPORTRANGE(""https://docs.google.com/spreadsheets/d/1-uDff_7J0KD5mKrp0Vvzr7lt3OU09vwQwhkpOPPYv2Y/edit?usp=sharing"",""งบพรบ!CI84"")"),0)</f>
        <v>0</v>
      </c>
      <c r="O165" s="47">
        <f ca="1">IF(L165&gt;0,N165*100/L165,0)</f>
        <v>0</v>
      </c>
      <c r="P165" s="47">
        <f ca="1">IF(M165&gt;0,N165*100/M165,0)</f>
        <v>0</v>
      </c>
      <c r="Q165" s="548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5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IFERROR(__xludf.DUMMYFUNCTION("IMPORTRANGE(""https://docs.google.com/spreadsheets/d/1eHaY18a8A9IcSdp1K8H6x8fbOy06t2VsZHhMHf-1x7Y/edit?usp=sharing"",""แผน!Z84"")"),0)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5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IFERROR(__xludf.DUMMYFUNCTION("IMPORTRANGE(""https://docs.google.com/spreadsheets/d/1eHaY18a8A9IcSdp1K8H6x8fbOy06t2VsZHhMHf-1x7Y/edit?usp=sharing"",""แผน!Z84"")"),0)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5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IFERROR(__xludf.DUMMYFUNCTION("IMPORTRANGE(""https://docs.google.com/spreadsheets/d/1eHaY18a8A9IcSdp1K8H6x8fbOy06t2VsZHhMHf-1x7Y/edit?usp=sharing"",""แผน!Z84"")"),0)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545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890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771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769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41020</v>
      </c>
      <c r="N173" s="132">
        <f ca="1">N174+N175</f>
        <v>41020</v>
      </c>
      <c r="O173" s="132">
        <f ca="1">IF(L173&gt;0,N173*100/L173,0)</f>
        <v>209.39254721796834</v>
      </c>
      <c r="P173" s="132">
        <f ca="1">IF(M173&gt;0,N173*100/M173,0)</f>
        <v>100</v>
      </c>
      <c r="Q173" s="550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5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41020</v>
      </c>
      <c r="N175" s="47">
        <f ca="1">N178+N181</f>
        <v>41020</v>
      </c>
      <c r="O175" s="47">
        <f ca="1">IF(L175&gt;0,N175*100/L175,0)</f>
        <v>209.39254721796834</v>
      </c>
      <c r="P175" s="47">
        <f ca="1">IF(M175&gt;0,N175*100/M175,0)</f>
        <v>100</v>
      </c>
      <c r="Q175" s="548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41020</v>
      </c>
      <c r="N176" s="47">
        <f ca="1">N177+N178</f>
        <v>41020</v>
      </c>
      <c r="O176" s="47">
        <f ca="1">IF(L176&gt;0,N176*100/L176,0)</f>
        <v>209.39254721796834</v>
      </c>
      <c r="P176" s="47">
        <f ca="1">IF(M176&gt;0,N176*100/M176,0)</f>
        <v>100</v>
      </c>
      <c r="Q176" s="548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5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IFERROR(__xludf.DUMMYFUNCTION("IMPORTRANGE(""https://docs.google.com/spreadsheets/d/1-uDff_7J0KD5mKrp0Vvzr7lt3OU09vwQwhkpOPPYv2Y/edit?usp=sharing"",""งบพรบ!CK84"")"),19590)</f>
        <v>19590</v>
      </c>
      <c r="M178" s="47">
        <f ca="1">IFERROR(__xludf.DUMMYFUNCTION("IMPORTRANGE(""https://docs.google.com/spreadsheets/d/1-uDff_7J0KD5mKrp0Vvzr7lt3OU09vwQwhkpOPPYv2Y/edit?usp=sharing"",""งบพรบ!CP84"")"),41020)</f>
        <v>41020</v>
      </c>
      <c r="N178" s="47">
        <f ca="1">IFERROR(__xludf.DUMMYFUNCTION("IMPORTRANGE(""https://docs.google.com/spreadsheets/d/1-uDff_7J0KD5mKrp0Vvzr7lt3OU09vwQwhkpOPPYv2Y/edit?usp=sharing"",""งบพรบ!CR84"")"),41020)</f>
        <v>41020</v>
      </c>
      <c r="O178" s="47">
        <f ca="1">IF(L178&gt;0,N178*100/L178,0)</f>
        <v>209.39254721796834</v>
      </c>
      <c r="P178" s="47">
        <f ca="1">IF(M178&gt;0,N178*100/M178,0)</f>
        <v>100</v>
      </c>
      <c r="Q178" s="548">
        <f ca="1">IFERROR(__xludf.DUMMYFUNCTION("IMPORTRANGE(""https://docs.google.com/spreadsheets/d/1ItG2mGa2ceCfYo0BwxsXqNm01IGEUdYcSSLTEv9YCik/edit?usp=sharing"",""เบิกจ่ายกองทุน!DG84"")"),0)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IFERROR(__xludf.DUMMYFUNCTION("IMPORTRANGE(""https://docs.google.com/spreadsheets/d/1ItG2mGa2ceCfYo0BwxsXqNm01IGEUdYcSSLTEv9YCik/edit?usp=sharing"",""เบิกจ่ายกองทุน!DH84"")"),0)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IFERROR(__xludf.DUMMYFUNCTION("IMPORTRANGE(""https://docs.google.com/spreadsheets/d/1ItG2mGa2ceCfYo0BwxsXqNm01IGEUdYcSSLTEv9YCik/edit?usp=sharing"",""เบิกจ่ายกองทุน!DI84"")"),0)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548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5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IFERROR(__xludf.DUMMYFUNCTION("IMPORTRANGE(""https://docs.google.com/spreadsheets/d/1-uDff_7J0KD5mKrp0Vvzr7lt3OU09vwQwhkpOPPYv2Y/edit?usp=sharing"",""งบพรบ!CN84"")"),0)</f>
        <v>0</v>
      </c>
      <c r="M181" s="47">
        <f ca="1">IFERROR(__xludf.DUMMYFUNCTION("IMPORTRANGE(""https://docs.google.com/spreadsheets/d/1-uDff_7J0KD5mKrp0Vvzr7lt3OU09vwQwhkpOPPYv2Y/edit?usp=sharing"",""งบพรบ!CQ84"")"),0)</f>
        <v>0</v>
      </c>
      <c r="N181" s="47">
        <f ca="1">IFERROR(__xludf.DUMMYFUNCTION("IMPORTRANGE(""https://docs.google.com/spreadsheets/d/1-uDff_7J0KD5mKrp0Vvzr7lt3OU09vwQwhkpOPPYv2Y/edit?usp=sharing"",""งบพรบ!CS84"")"),0)</f>
        <v>0</v>
      </c>
      <c r="O181" s="47">
        <f ca="1">IF(L181&gt;0,N181*100/L181,0)</f>
        <v>0</v>
      </c>
      <c r="P181" s="47">
        <f ca="1">IF(M181&gt;0,N181*100/M181,0)</f>
        <v>0</v>
      </c>
      <c r="Q181" s="548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5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IFERROR(__xludf.DUMMYFUNCTION("IMPORTRANGE(""https://docs.google.com/spreadsheets/d/1eHaY18a8A9IcSdp1K8H6x8fbOy06t2VsZHhMHf-1x7Y/edit?usp=sharing"",""แผน!AA84"")"),7)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5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5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769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142600</v>
      </c>
      <c r="M186" s="132">
        <f ca="1">M187+M188</f>
        <v>142600</v>
      </c>
      <c r="N186" s="132">
        <f ca="1">N187+N188</f>
        <v>85504.52</v>
      </c>
      <c r="O186" s="132">
        <f ca="1">IF(L186&gt;0,N186*100/L186,0)</f>
        <v>59.961093969144457</v>
      </c>
      <c r="P186" s="132">
        <f ca="1">IF(M186&gt;0,N186*100/M186,0)</f>
        <v>59.961093969144457</v>
      </c>
      <c r="Q186" s="550">
        <f ca="1">Q187+Q188</f>
        <v>14000</v>
      </c>
      <c r="R186" s="132">
        <f ca="1">R187+R188</f>
        <v>14000</v>
      </c>
      <c r="S186" s="132">
        <f ca="1">S187+S188</f>
        <v>14000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5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142600</v>
      </c>
      <c r="M188" s="47">
        <f ca="1">M191+M194</f>
        <v>142600</v>
      </c>
      <c r="N188" s="47">
        <f ca="1">N191+N194</f>
        <v>85504.52</v>
      </c>
      <c r="O188" s="47">
        <f ca="1">IF(L188&gt;0,N188*100/L188,0)</f>
        <v>59.961093969144457</v>
      </c>
      <c r="P188" s="47">
        <f ca="1">IF(M188&gt;0,N188*100/M188,0)</f>
        <v>59.961093969144457</v>
      </c>
      <c r="Q188" s="548">
        <f ca="1">Q191+Q194</f>
        <v>14000</v>
      </c>
      <c r="R188" s="47">
        <f ca="1">R191+R194</f>
        <v>14000</v>
      </c>
      <c r="S188" s="47">
        <f ca="1">S191+S194</f>
        <v>14000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142600</v>
      </c>
      <c r="M189" s="47">
        <f ca="1">M190+M191</f>
        <v>142600</v>
      </c>
      <c r="N189" s="47">
        <f ca="1">N190+N191</f>
        <v>85504.52</v>
      </c>
      <c r="O189" s="47">
        <f ca="1">IF(L189&gt;0,N189*100/L189,0)</f>
        <v>59.961093969144457</v>
      </c>
      <c r="P189" s="47">
        <f ca="1">IF(M189&gt;0,N189*100/M189,0)</f>
        <v>59.961093969144457</v>
      </c>
      <c r="Q189" s="548">
        <f ca="1">Q190+Q191</f>
        <v>14000</v>
      </c>
      <c r="R189" s="47">
        <f ca="1">R190+R191</f>
        <v>14000</v>
      </c>
      <c r="S189" s="47">
        <f ca="1">S190+S191</f>
        <v>14000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5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IFERROR(__xludf.DUMMYFUNCTION("IMPORTRANGE(""https://docs.google.com/spreadsheets/d/1-uDff_7J0KD5mKrp0Vvzr7lt3OU09vwQwhkpOPPYv2Y/edit?usp=sharing"",""งบพรบ!CU84"")"),142600)</f>
        <v>142600</v>
      </c>
      <c r="M191" s="47">
        <f ca="1">IFERROR(__xludf.DUMMYFUNCTION("IMPORTRANGE(""https://docs.google.com/spreadsheets/d/1-uDff_7J0KD5mKrp0Vvzr7lt3OU09vwQwhkpOPPYv2Y/edit?usp=sharing"",""งบพรบ!CZ84"")"),142600)</f>
        <v>142600</v>
      </c>
      <c r="N191" s="47">
        <f ca="1">IFERROR(__xludf.DUMMYFUNCTION("IMPORTRANGE(""https://docs.google.com/spreadsheets/d/1-uDff_7J0KD5mKrp0Vvzr7lt3OU09vwQwhkpOPPYv2Y/edit?usp=sharing"",""งบพรบ!DB84"")"),85504.52)</f>
        <v>85504.52</v>
      </c>
      <c r="O191" s="47">
        <f ca="1">IF(L191&gt;0,N191*100/L191,0)</f>
        <v>59.961093969144457</v>
      </c>
      <c r="P191" s="47">
        <f ca="1">IF(M191&gt;0,N191*100/M191,0)</f>
        <v>59.961093969144457</v>
      </c>
      <c r="Q191" s="548">
        <f ca="1">IFERROR(__xludf.DUMMYFUNCTION("IMPORTRANGE(""https://docs.google.com/spreadsheets/d/1ItG2mGa2ceCfYo0BwxsXqNm01IGEUdYcSSLTEv9YCik/edit?usp=sharing"",""เบิกจ่ายกองทุน!BQ84"")"),14000)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IFERROR(__xludf.DUMMYFUNCTION("IMPORTRANGE(""https://docs.google.com/spreadsheets/d/1ItG2mGa2ceCfYo0BwxsXqNm01IGEUdYcSSLTEv9YCik/edit?usp=sharing"",""เบิกจ่ายกองทุน!BR84"")"),14000)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IFERROR(__xludf.DUMMYFUNCTION("IMPORTRANGE(""https://docs.google.com/spreadsheets/d/1ItG2mGa2ceCfYo0BwxsXqNm01IGEUdYcSSLTEv9YCik/edit?usp=sharing"",""เบิกจ่ายกองทุน!BS84"")"),14000)</f>
        <v>14000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548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5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IFERROR(__xludf.DUMMYFUNCTION("IMPORTRANGE(""https://docs.google.com/spreadsheets/d/1-uDff_7J0KD5mKrp0Vvzr7lt3OU09vwQwhkpOPPYv2Y/edit?usp=sharing"",""งบพรบ!CX84"")"),0)</f>
        <v>0</v>
      </c>
      <c r="M194" s="47">
        <f ca="1">IFERROR(__xludf.DUMMYFUNCTION("IMPORTRANGE(""https://docs.google.com/spreadsheets/d/1-uDff_7J0KD5mKrp0Vvzr7lt3OU09vwQwhkpOPPYv2Y/edit?usp=sharing"",""งบพรบ!DA84"")"),0)</f>
        <v>0</v>
      </c>
      <c r="N194" s="47">
        <f ca="1">IFERROR(__xludf.DUMMYFUNCTION("IMPORTRANGE(""https://docs.google.com/spreadsheets/d/1-uDff_7J0KD5mKrp0Vvzr7lt3OU09vwQwhkpOPPYv2Y/edit?usp=sharing"",""งบพรบ!DC84"")"),0)</f>
        <v>0</v>
      </c>
      <c r="O194" s="47">
        <f ca="1">IF(L194&gt;0,N194*100/L194,0)</f>
        <v>0</v>
      </c>
      <c r="P194" s="47">
        <f ca="1">IF(M194&gt;0,N194*100/M194,0)</f>
        <v>0</v>
      </c>
      <c r="Q194" s="548">
        <f ca="1">IFERROR(__xludf.DUMMYFUNCTION("IMPORTRANGE(""https://docs.google.com/spreadsheets/d/1ItG2mGa2ceCfYo0BwxsXqNm01IGEUdYcSSLTEv9YCik/edit?usp=sharing"",""เบิกจ่ายกองทุน!BT84"")"),0)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IFERROR(__xludf.DUMMYFUNCTION("IMPORTRANGE(""https://docs.google.com/spreadsheets/d/1ItG2mGa2ceCfYo0BwxsXqNm01IGEUdYcSSLTEv9YCik/edit?usp=sharing"",""เบิกจ่ายกองทุน!BU84"")"),0)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IFERROR(__xludf.DUMMYFUNCTION("IMPORTRANGE(""https://docs.google.com/spreadsheets/d/1ItG2mGa2ceCfYo0BwxsXqNm01IGEUdYcSSLTEv9YCik/edit?usp=sharing"",""เบิกจ่ายกองทุน!BV84"")"),0)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686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IFERROR(__xludf.DUMMYFUNCTION("IMPORTRANGE(""https://docs.google.com/spreadsheets/d/1eHaY18a8A9IcSdp1K8H6x8fbOy06t2VsZHhMHf-1x7Y/edit?usp=sharing"",""แผน!AB84"")"),6000)</f>
        <v>6000</v>
      </c>
      <c r="M196" s="46"/>
      <c r="N196" s="768">
        <v>1980</v>
      </c>
      <c r="O196" s="132">
        <f ca="1">IF(L196&gt;0,N196*100/L196,0)</f>
        <v>33</v>
      </c>
      <c r="P196" s="132">
        <f>IF(M196&gt;0,N196*100/M196,0)</f>
        <v>0</v>
      </c>
      <c r="Q196" s="5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5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IFERROR(__xludf.DUMMYFUNCTION("IMPORTRANGE(""https://docs.google.com/spreadsheets/d/1eHaY18a8A9IcSdp1K8H6x8fbOy06t2VsZHhMHf-1x7Y/edit?usp=sharing"",""แผน!AE84"")"),4)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5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132</v>
      </c>
      <c r="K199" s="46"/>
      <c r="L199" s="546"/>
      <c r="M199" s="46"/>
      <c r="N199" s="46"/>
      <c r="O199" s="46"/>
      <c r="P199" s="46"/>
      <c r="Q199" s="5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132</v>
      </c>
      <c r="K200" s="46"/>
      <c r="L200" s="546"/>
      <c r="M200" s="46"/>
      <c r="N200" s="46"/>
      <c r="O200" s="46"/>
      <c r="P200" s="46"/>
      <c r="Q200" s="5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5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686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5000</v>
      </c>
      <c r="O203" s="132">
        <f ca="1">IF(L203&gt;0,N203*100/L203,0)</f>
        <v>100</v>
      </c>
      <c r="P203" s="132">
        <f>IF(M203&gt;0,N203*100/M203,0)</f>
        <v>0</v>
      </c>
      <c r="Q203" s="550">
        <f ca="1">Q204+Q205+Q206+Q207</f>
        <v>14000</v>
      </c>
      <c r="R203" s="46"/>
      <c r="S203" s="132">
        <f>S204+S205+S206+S207</f>
        <v>14000</v>
      </c>
      <c r="T203" s="132">
        <f ca="1">IF(Q203&gt;0,S203*100/Q203,0)</f>
        <v>100</v>
      </c>
      <c r="U203" s="132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IFERROR(__xludf.DUMMYFUNCTION("IMPORTRANGE(""https://docs.google.com/spreadsheets/d/1eHaY18a8A9IcSdp1K8H6x8fbOy06t2VsZHhMHf-1x7Y/edit?usp=sharing"",""แผน!AG84"")"),1000)</f>
        <v>1000</v>
      </c>
      <c r="M204" s="46"/>
      <c r="N204" s="742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IFERROR(__xludf.DUMMYFUNCTION("IMPORTRANGE(""https://docs.google.com/spreadsheets/d/1eHaY18a8A9IcSdp1K8H6x8fbOy06t2VsZHhMHf-1x7Y/edit?usp=sharing"",""แผน!AH84"")"),0)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IFERROR(__xludf.DUMMYFUNCTION("IMPORTRANGE(""https://docs.google.com/spreadsheets/d/1eHaY18a8A9IcSdp1K8H6x8fbOy06t2VsZHhMHf-1x7Y/edit?usp=sharing"",""แผน!AI84"")"),0)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IFERROR(__xludf.DUMMYFUNCTION("IMPORTRANGE(""https://docs.google.com/spreadsheets/d/1eHaY18a8A9IcSdp1K8H6x8fbOy06t2VsZHhMHf-1x7Y/edit?usp=sharing"",""แผน!LV84"")"),14000)</f>
        <v>14000</v>
      </c>
      <c r="R206" s="46"/>
      <c r="S206" s="742">
        <v>14000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IFERROR(__xludf.DUMMYFUNCTION("IMPORTRANGE(""https://docs.google.com/spreadsheets/d/1eHaY18a8A9IcSdp1K8H6x8fbOy06t2VsZHhMHf-1x7Y/edit?usp=sharing"",""แผน!AJ84"")"),4000)</f>
        <v>4000</v>
      </c>
      <c r="M207" s="46"/>
      <c r="N207" s="742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IFERROR(__xludf.DUMMYFUNCTION("IMPORTRANGE(""https://docs.google.com/spreadsheets/d/1eHaY18a8A9IcSdp1K8H6x8fbOy06t2VsZHhMHf-1x7Y/edit?usp=sharing"",""แผน!AK84"")"),1)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IFERROR(__xludf.DUMMYFUNCTION("IMPORTRANGE(""https://docs.google.com/spreadsheets/d/1eHaY18a8A9IcSdp1K8H6x8fbOy06t2VsZHhMHf-1x7Y/edit?usp=sharing"",""แผน!JX84"")"),1)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IFERROR(__xludf.DUMMYFUNCTION("IMPORTRANGE(""https://docs.google.com/spreadsheets/d/1eHaY18a8A9IcSdp1K8H6x8fbOy06t2VsZHhMHf-1x7Y/edit?usp=sharing"",""แผน!JY84"")"),0)</f>
        <v>0</v>
      </c>
      <c r="J212" s="167"/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IFERROR(__xludf.DUMMYFUNCTION("IMPORTRANGE(""https://docs.google.com/spreadsheets/d/1eHaY18a8A9IcSdp1K8H6x8fbOy06t2VsZHhMHf-1x7Y/edit?usp=sharing"",""แผน!AM84"")"),0)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IFERROR(__xludf.DUMMYFUNCTION("IMPORTRANGE(""https://docs.google.com/spreadsheets/d/1eHaY18a8A9IcSdp1K8H6x8fbOy06t2VsZHhMHf-1x7Y/edit?usp=sharing"",""แผน!AN84"")"),0)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IFERROR(__xludf.DUMMYFUNCTION("IMPORTRANGE(""https://docs.google.com/spreadsheets/d/1eHaY18a8A9IcSdp1K8H6x8fbOy06t2VsZHhMHf-1x7Y/edit?usp=sharing"",""แผน!AO84"")"),0)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IFERROR(__xludf.DUMMYFUNCTION("IMPORTRANGE(""https://docs.google.com/spreadsheets/d/1eHaY18a8A9IcSdp1K8H6x8fbOy06t2VsZHhMHf-1x7Y/edit?usp=sharing"",""แผน!LY84"")"),0)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IFERROR(__xludf.DUMMYFUNCTION("IMPORTRANGE(""https://docs.google.com/spreadsheets/d/1eHaY18a8A9IcSdp1K8H6x8fbOy06t2VsZHhMHf-1x7Y/edit?usp=sharing"",""แผน!AP84"")"),0)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IFERROR(__xludf.DUMMYFUNCTION("IMPORTRANGE(""https://docs.google.com/spreadsheets/d/1eHaY18a8A9IcSdp1K8H6x8fbOy06t2VsZHhMHf-1x7Y/edit?usp=sharing"",""แผน!AP84"")"),0)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686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5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IFERROR(__xludf.DUMMYFUNCTION("IMPORTRANGE(""https://docs.google.com/spreadsheets/d/1eHaY18a8A9IcSdp1K8H6x8fbOy06t2VsZHhMHf-1x7Y/edit?usp=sharing"",""แผน!AR84"")"),3000)</f>
        <v>3000</v>
      </c>
      <c r="M223" s="46"/>
      <c r="N223" s="742">
        <v>0</v>
      </c>
      <c r="O223" s="136"/>
      <c r="P223" s="46"/>
      <c r="Q223" s="5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IFERROR(__xludf.DUMMYFUNCTION("IMPORTRANGE(""https://docs.google.com/spreadsheets/d/1eHaY18a8A9IcSdp1K8H6x8fbOy06t2VsZHhMHf-1x7Y/edit?usp=sharing"",""แผน!AS84"")"),1500)</f>
        <v>1500</v>
      </c>
      <c r="M224" s="46"/>
      <c r="N224" s="742">
        <v>0</v>
      </c>
      <c r="O224" s="136"/>
      <c r="P224" s="46"/>
      <c r="Q224" s="5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IFERROR(__xludf.DUMMYFUNCTION("IMPORTRANGE(""https://docs.google.com/spreadsheets/d/1eHaY18a8A9IcSdp1K8H6x8fbOy06t2VsZHhMHf-1x7Y/edit?usp=sharing"",""แผน!AT84"")"),0)</f>
        <v>0</v>
      </c>
      <c r="M225" s="46"/>
      <c r="N225" s="742">
        <v>0</v>
      </c>
      <c r="O225" s="136"/>
      <c r="P225" s="46"/>
      <c r="Q225" s="5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558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558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IFERROR(__xludf.DUMMYFUNCTION("IMPORTRANGE(""https://docs.google.com/spreadsheets/d/1eHaY18a8A9IcSdp1K8H6x8fbOy06t2VsZHhMHf-1x7Y/edit?usp=sharing"",""แผน!AV84"")"),12000)</f>
        <v>12000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558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IFERROR(__xludf.DUMMYFUNCTION("IMPORTRANGE(""https://docs.google.com/spreadsheets/d/1eHaY18a8A9IcSdp1K8H6x8fbOy06t2VsZHhMHf-1x7Y/edit?usp=sharing"",""แผน!AV84"")"),12000)</f>
        <v>12000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5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IFERROR(__xludf.DUMMYFUNCTION("IMPORTRANGE(""https://docs.google.com/spreadsheets/d/1eHaY18a8A9IcSdp1K8H6x8fbOy06t2VsZHhMHf-1x7Y/edit?usp=sharing"",""แผน!AU84"")"),0)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5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686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889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549">
        <v>0</v>
      </c>
      <c r="R233" s="49">
        <v>0</v>
      </c>
      <c r="S233" s="49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9">
        <v>0</v>
      </c>
      <c r="R234" s="49">
        <v>0</v>
      </c>
      <c r="S234" s="49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9">
        <v>0</v>
      </c>
      <c r="R235" s="49">
        <v>0</v>
      </c>
      <c r="S235" s="49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9">
        <v>0</v>
      </c>
      <c r="R236" s="49">
        <v>0</v>
      </c>
      <c r="S236" s="49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5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5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5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5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5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686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5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IFERROR(__xludf.DUMMYFUNCTION("IMPORTRANGE(""https://docs.google.com/spreadsheets/d/1eHaY18a8A9IcSdp1K8H6x8fbOy06t2VsZHhMHf-1x7Y/edit?usp=sharing"",""แผน!AX84"")"),0)</f>
        <v>0</v>
      </c>
      <c r="M244" s="46"/>
      <c r="N244" s="742">
        <v>0</v>
      </c>
      <c r="O244" s="46"/>
      <c r="P244" s="46"/>
      <c r="Q244" s="5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IFERROR(__xludf.DUMMYFUNCTION("IMPORTRANGE(""https://docs.google.com/spreadsheets/d/1eHaY18a8A9IcSdp1K8H6x8fbOy06t2VsZHhMHf-1x7Y/edit?usp=sharing"",""แผน!AY84"")"),0)</f>
        <v>0</v>
      </c>
      <c r="M245" s="46"/>
      <c r="N245" s="742">
        <v>0</v>
      </c>
      <c r="O245" s="46"/>
      <c r="P245" s="46"/>
      <c r="Q245" s="5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IFERROR(__xludf.DUMMYFUNCTION("IMPORTRANGE(""https://docs.google.com/spreadsheets/d/1eHaY18a8A9IcSdp1K8H6x8fbOy06t2VsZHhMHf-1x7Y/edit?usp=sharing"",""แผน!AZ84"")"),0)</f>
        <v>0</v>
      </c>
      <c r="M246" s="46"/>
      <c r="N246" s="742">
        <v>0</v>
      </c>
      <c r="O246" s="46"/>
      <c r="P246" s="46"/>
      <c r="Q246" s="5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IFERROR(__xludf.DUMMYFUNCTION("IMPORTRANGE(""https://docs.google.com/spreadsheets/d/1eHaY18a8A9IcSdp1K8H6x8fbOy06t2VsZHhMHf-1x7Y/edit?usp=sharing"",""แผน!BA84"")"),0)</f>
        <v>0</v>
      </c>
      <c r="M247" s="46"/>
      <c r="N247" s="742">
        <v>0</v>
      </c>
      <c r="O247" s="46"/>
      <c r="P247" s="46"/>
      <c r="Q247" s="5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5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IFERROR(__xludf.DUMMYFUNCTION("IMPORTRANGE(""https://docs.google.com/spreadsheets/d/1eHaY18a8A9IcSdp1K8H6x8fbOy06t2VsZHhMHf-1x7Y/edit?usp=sharing"",""แผน!BG84"")"),0)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5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5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5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5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686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5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IFERROR(__xludf.DUMMYFUNCTION("IMPORTRANGE(""https://docs.google.com/spreadsheets/d/1eHaY18a8A9IcSdp1K8H6x8fbOy06t2VsZHhMHf-1x7Y/edit?usp=sharing"",""แผน!BB84"")"),0)</f>
        <v>0</v>
      </c>
      <c r="M255" s="46"/>
      <c r="N255" s="742">
        <v>0</v>
      </c>
      <c r="O255" s="46"/>
      <c r="P255" s="46"/>
      <c r="Q255" s="5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IFERROR(__xludf.DUMMYFUNCTION("IMPORTRANGE(""https://docs.google.com/spreadsheets/d/1eHaY18a8A9IcSdp1K8H6x8fbOy06t2VsZHhMHf-1x7Y/edit?usp=sharing"",""แผน!BC84"")"),0)</f>
        <v>0</v>
      </c>
      <c r="M256" s="46"/>
      <c r="N256" s="742">
        <v>0</v>
      </c>
      <c r="O256" s="46"/>
      <c r="P256" s="46"/>
      <c r="Q256" s="5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IFERROR(__xludf.DUMMYFUNCTION("IMPORTRANGE(""https://docs.google.com/spreadsheets/d/1eHaY18a8A9IcSdp1K8H6x8fbOy06t2VsZHhMHf-1x7Y/edit?usp=sharing"",""แผน!BD84"")"),0)</f>
        <v>0</v>
      </c>
      <c r="M257" s="46"/>
      <c r="N257" s="742">
        <v>0</v>
      </c>
      <c r="O257" s="46"/>
      <c r="P257" s="46"/>
      <c r="Q257" s="5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IFERROR(__xludf.DUMMYFUNCTION("IMPORTRANGE(""https://docs.google.com/spreadsheets/d/1eHaY18a8A9IcSdp1K8H6x8fbOy06t2VsZHhMHf-1x7Y/edit?usp=sharing"",""แผน!BE84"")"),0)</f>
        <v>0</v>
      </c>
      <c r="M258" s="46"/>
      <c r="N258" s="742">
        <v>0</v>
      </c>
      <c r="O258" s="46"/>
      <c r="P258" s="46"/>
      <c r="Q258" s="5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5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IFERROR(__xludf.DUMMYFUNCTION("IMPORTRANGE(""https://docs.google.com/spreadsheets/d/1eHaY18a8A9IcSdp1K8H6x8fbOy06t2VsZHhMHf-1x7Y/edit?usp=sharing"",""แผน!BH84"")"),0)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5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5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5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5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71"/>
      <c r="R264" s="209"/>
      <c r="S264" s="209"/>
      <c r="T264" s="209"/>
      <c r="U264" s="209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20</v>
      </c>
      <c r="J265" s="725">
        <f>J276</f>
        <v>20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69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550">
        <f ca="1">Q267+Q268</f>
        <v>47880</v>
      </c>
      <c r="R266" s="132">
        <f ca="1">R267+R268</f>
        <v>47880</v>
      </c>
      <c r="S266" s="132">
        <f ca="1">S267+S268</f>
        <v>45080</v>
      </c>
      <c r="T266" s="132">
        <f ca="1">IF(Q266&gt;0,S266*100/Q266,0)</f>
        <v>94.152046783625735</v>
      </c>
      <c r="U266" s="132">
        <f ca="1">IF(R266&gt;0,S266*100/R266,0)</f>
        <v>94.152046783625735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5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548">
        <f ca="1">Q271+Q274</f>
        <v>47880</v>
      </c>
      <c r="R268" s="47">
        <f ca="1">R271+R274</f>
        <v>47880</v>
      </c>
      <c r="S268" s="47">
        <f ca="1">S271+S274</f>
        <v>45080</v>
      </c>
      <c r="T268" s="47">
        <f ca="1">IF(Q268&gt;0,S268*100/Q268,0)</f>
        <v>94.152046783625735</v>
      </c>
      <c r="U268" s="47">
        <f ca="1">IF(R268&gt;0,S268*100/R268,0)</f>
        <v>94.152046783625735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548">
        <f ca="1">Q270+Q271</f>
        <v>47880</v>
      </c>
      <c r="R269" s="47">
        <f ca="1">R270+R271</f>
        <v>47880</v>
      </c>
      <c r="S269" s="47">
        <f ca="1">S270+S271</f>
        <v>45080</v>
      </c>
      <c r="T269" s="47">
        <f ca="1">IF(Q269&gt;0,S269*100/Q269,0)</f>
        <v>94.152046783625735</v>
      </c>
      <c r="U269" s="47">
        <f ca="1">IF(R269&gt;0,S269*100/R269,0)</f>
        <v>94.152046783625735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5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IFERROR(__xludf.DUMMYFUNCTION("IMPORTRANGE(""https://docs.google.com/spreadsheets/d/1-uDff_7J0KD5mKrp0Vvzr7lt3OU09vwQwhkpOPPYv2Y/edit?usp=sharing"",""งบพรบ!DE84"")"),5000)</f>
        <v>5000</v>
      </c>
      <c r="M271" s="331">
        <f ca="1">IFERROR(__xludf.DUMMYFUNCTION("IMPORTRANGE(""https://docs.google.com/spreadsheets/d/1-uDff_7J0KD5mKrp0Vvzr7lt3OU09vwQwhkpOPPYv2Y/edit?usp=sharing"",""งบพรบ!DJ84"")"),5000)</f>
        <v>5000</v>
      </c>
      <c r="N271" s="331">
        <f ca="1">IFERROR(__xludf.DUMMYFUNCTION("IMPORTRANGE(""https://docs.google.com/spreadsheets/d/1-uDff_7J0KD5mKrp0Vvzr7lt3OU09vwQwhkpOPPYv2Y/edit?usp=sharing"",""งบพรบ!DL84"")"),0)</f>
        <v>0</v>
      </c>
      <c r="O271" s="331">
        <f ca="1">IF(L271&gt;0,N271*100/L271,0)</f>
        <v>0</v>
      </c>
      <c r="P271" s="331">
        <f ca="1">IF(M271&gt;0,N271*100/M271,0)</f>
        <v>0</v>
      </c>
      <c r="Q271" s="548">
        <f ca="1">IFERROR(__xludf.DUMMYFUNCTION("IMPORTRANGE(""https://docs.google.com/spreadsheets/d/1ItG2mGa2ceCfYo0BwxsXqNm01IGEUdYcSSLTEv9YCik/edit?usp=sharing"",""เบิกจ่ายกองทุน!AP84"")"),47880)</f>
        <v>47880</v>
      </c>
      <c r="R271" s="47">
        <f ca="1">IFERROR(__xludf.DUMMYFUNCTION("IMPORTRANGE(""https://docs.google.com/spreadsheets/d/1ItG2mGa2ceCfYo0BwxsXqNm01IGEUdYcSSLTEv9YCik/edit?usp=sharing"",""เบิกจ่ายกองทุน!AQ84"")"),47880)</f>
        <v>47880</v>
      </c>
      <c r="S271" s="47">
        <f ca="1">IFERROR(__xludf.DUMMYFUNCTION("IMPORTRANGE(""https://docs.google.com/spreadsheets/d/1ItG2mGa2ceCfYo0BwxsXqNm01IGEUdYcSSLTEv9YCik/edit?usp=sharing"",""เบิกจ่ายกองทุน!AR84"")"),45080)</f>
        <v>45080</v>
      </c>
      <c r="T271" s="47">
        <f ca="1">IF(Q271&gt;0,S271*100/Q271,0)</f>
        <v>94.152046783625735</v>
      </c>
      <c r="U271" s="47">
        <f ca="1">IF(R271&gt;0,S271*100/R271,0)</f>
        <v>94.152046783625735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548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5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IFERROR(__xludf.DUMMYFUNCTION("IMPORTRANGE(""https://docs.google.com/spreadsheets/d/1-uDff_7J0KD5mKrp0Vvzr7lt3OU09vwQwhkpOPPYv2Y/edit?usp=sharing"",""งบพรบ!DH84"")"),0)</f>
        <v>0</v>
      </c>
      <c r="M274" s="331">
        <f ca="1">IFERROR(__xludf.DUMMYFUNCTION("IMPORTRANGE(""https://docs.google.com/spreadsheets/d/1-uDff_7J0KD5mKrp0Vvzr7lt3OU09vwQwhkpOPPYv2Y/edit?usp=sharing"",""งบพรบ!DK84"")"),0)</f>
        <v>0</v>
      </c>
      <c r="N274" s="331">
        <f ca="1">IFERROR(__xludf.DUMMYFUNCTION("IMPORTRANGE(""https://docs.google.com/spreadsheets/d/1-uDff_7J0KD5mKrp0Vvzr7lt3OU09vwQwhkpOPPYv2Y/edit?usp=sharing"",""งบพรบ!DM84"")"),0)</f>
        <v>0</v>
      </c>
      <c r="O274" s="331">
        <f ca="1">IF(L274&gt;0,N274*100/L274,0)</f>
        <v>0</v>
      </c>
      <c r="P274" s="331">
        <f ca="1">IF(M274&gt;0,N274*100/M274,0)</f>
        <v>0</v>
      </c>
      <c r="Q274" s="548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558"/>
      <c r="R275" s="136"/>
      <c r="S275" s="136"/>
      <c r="T275" s="136"/>
      <c r="U275" s="136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IFERROR(__xludf.DUMMYFUNCTION("IMPORTRANGE(""https://docs.google.com/spreadsheets/d/1eHaY18a8A9IcSdp1K8H6x8fbOy06t2VsZHhMHf-1x7Y/edit?usp=sharing"",""แผน!EC84"")"),20)</f>
        <v>20</v>
      </c>
      <c r="J276" s="175">
        <v>20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5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712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888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71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71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71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550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5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548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548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5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IFERROR(__xludf.DUMMYFUNCTION("IMPORTRANGE(""https://docs.google.com/spreadsheets/d/1-uDff_7J0KD5mKrp0Vvzr7lt3OU09vwQwhkpOPPYv2Y/edit?usp=sharing"",""งบพรบ!DO84"")"),0)</f>
        <v>0</v>
      </c>
      <c r="M287" s="47">
        <f ca="1">IFERROR(__xludf.DUMMYFUNCTION("IMPORTRANGE(""https://docs.google.com/spreadsheets/d/1-uDff_7J0KD5mKrp0Vvzr7lt3OU09vwQwhkpOPPYv2Y/edit?usp=sharing"",""งบพรบ!DT84"")"),0)</f>
        <v>0</v>
      </c>
      <c r="N287" s="47">
        <f ca="1">IFERROR(__xludf.DUMMYFUNCTION("IMPORTRANGE(""https://docs.google.com/spreadsheets/d/1-uDff_7J0KD5mKrp0Vvzr7lt3OU09vwQwhkpOPPYv2Y/edit?usp=sharing"",""งบพรบ!DV84"")"),0)</f>
        <v>0</v>
      </c>
      <c r="O287" s="47">
        <f ca="1">IF(L287&gt;0,N287*100/L287,0)</f>
        <v>0</v>
      </c>
      <c r="P287" s="47">
        <f ca="1">IF(M287&gt;0,N287*100/M287,0)</f>
        <v>0</v>
      </c>
      <c r="Q287" s="548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548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5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IFERROR(__xludf.DUMMYFUNCTION("IMPORTRANGE(""https://docs.google.com/spreadsheets/d/1-uDff_7J0KD5mKrp0Vvzr7lt3OU09vwQwhkpOPPYv2Y/edit?usp=sharing"",""งบพรบ!DR84"")"),0)</f>
        <v>0</v>
      </c>
      <c r="M290" s="47">
        <f ca="1">IFERROR(__xludf.DUMMYFUNCTION("IMPORTRANGE(""https://docs.google.com/spreadsheets/d/1-uDff_7J0KD5mKrp0Vvzr7lt3OU09vwQwhkpOPPYv2Y/edit?usp=sharing"",""งบพรบ!DU84"")"),0)</f>
        <v>0</v>
      </c>
      <c r="N290" s="47">
        <f ca="1">IFERROR(__xludf.DUMMYFUNCTION("IMPORTRANGE(""https://docs.google.com/spreadsheets/d/1-uDff_7J0KD5mKrp0Vvzr7lt3OU09vwQwhkpOPPYv2Y/edit?usp=sharing"",""งบพรบ!DW84"")"),0)</f>
        <v>0</v>
      </c>
      <c r="O290" s="47">
        <f ca="1">IF(L290&gt;0,N290*100/L290,0)</f>
        <v>0</v>
      </c>
      <c r="P290" s="47">
        <f ca="1">IF(M290&gt;0,N290*100/M290,0)</f>
        <v>0</v>
      </c>
      <c r="Q290" s="548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558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IFERROR(__xludf.DUMMYFUNCTION("IMPORTRANGE(""https://docs.google.com/spreadsheets/d/1eHaY18a8A9IcSdp1K8H6x8fbOy06t2VsZHhMHf-1x7Y/edit?usp=sharing"",""แผน!EE84"")"),0)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558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IFERROR(__xludf.DUMMYFUNCTION("IMPORTRANGE(""https://docs.google.com/spreadsheets/d/1eHaY18a8A9IcSdp1K8H6x8fbOy06t2VsZHhMHf-1x7Y/edit?usp=sharing"",""แผน!ED84"")"),0)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558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558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IFERROR(__xludf.DUMMYFUNCTION("IMPORTRANGE(""https://docs.google.com/spreadsheets/d/1eHaY18a8A9IcSdp1K8H6x8fbOy06t2VsZHhMHf-1x7Y/edit?usp=sharing"",""แผน!ED84"")"),0)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558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IFERROR(__xludf.DUMMYFUNCTION("IMPORTRANGE(""https://docs.google.com/spreadsheets/d/1eHaY18a8A9IcSdp1K8H6x8fbOy06t2VsZHhMHf-1x7Y/edit?usp=sharing"",""แผน!ED84"")"),0)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558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700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700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709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88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699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651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550">
        <f ca="1">Q304+Q305</f>
        <v>194611.99</v>
      </c>
      <c r="R303" s="132">
        <f ca="1">R304+R305</f>
        <v>194612</v>
      </c>
      <c r="S303" s="132">
        <f ca="1">S304+S305</f>
        <v>23110</v>
      </c>
      <c r="T303" s="132">
        <f ca="1">IF(Q303&gt;0,S303*100/Q303,0)</f>
        <v>11.874910687671402</v>
      </c>
      <c r="U303" s="132">
        <f ca="1">IF(R303&gt;0,S303*100/R303,0)</f>
        <v>11.874910077487513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5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548">
        <f ca="1">Q308+Q311</f>
        <v>194611.99</v>
      </c>
      <c r="R305" s="47">
        <f ca="1">R308+R311</f>
        <v>194612</v>
      </c>
      <c r="S305" s="47">
        <f ca="1">S308+S311</f>
        <v>23110</v>
      </c>
      <c r="T305" s="47">
        <f ca="1">IF(Q305&gt;0,S305*100/Q305,0)</f>
        <v>11.874910687671402</v>
      </c>
      <c r="U305" s="47">
        <f ca="1">IF(R305&gt;0,S305*100/R305,0)</f>
        <v>11.874910077487513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548">
        <f ca="1">Q307+Q308</f>
        <v>194611.99</v>
      </c>
      <c r="R306" s="47">
        <f ca="1">R307+R308</f>
        <v>194612</v>
      </c>
      <c r="S306" s="47">
        <f ca="1">S307+S308</f>
        <v>23110</v>
      </c>
      <c r="T306" s="47">
        <f ca="1">IF(Q306&gt;0,S306*100/Q306,0)</f>
        <v>11.874910687671402</v>
      </c>
      <c r="U306" s="47">
        <f ca="1">IF(R306&gt;0,S306*100/R306,0)</f>
        <v>11.874910077487513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5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IFERROR(__xludf.DUMMYFUNCTION("IMPORTRANGE(""https://docs.google.com/spreadsheets/d/1-uDff_7J0KD5mKrp0Vvzr7lt3OU09vwQwhkpOPPYv2Y/edit?usp=sharing"",""งบพรบ!DY84"")"),0)</f>
        <v>0</v>
      </c>
      <c r="M308" s="47">
        <f ca="1">IFERROR(__xludf.DUMMYFUNCTION("IMPORTRANGE(""https://docs.google.com/spreadsheets/d/1-uDff_7J0KD5mKrp0Vvzr7lt3OU09vwQwhkpOPPYv2Y/edit?usp=sharing"",""งบพรบ!ED84"")"),0)</f>
        <v>0</v>
      </c>
      <c r="N308" s="47">
        <f ca="1">IFERROR(__xludf.DUMMYFUNCTION("IMPORTRANGE(""https://docs.google.com/spreadsheets/d/1-uDff_7J0KD5mKrp0Vvzr7lt3OU09vwQwhkpOPPYv2Y/edit?usp=sharing"",""งบพรบ!EF84"")"),0)</f>
        <v>0</v>
      </c>
      <c r="O308" s="47">
        <f ca="1">IF(L308&gt;0,N308*100/L308,0)</f>
        <v>0</v>
      </c>
      <c r="P308" s="47">
        <f ca="1">IF(M308&gt;0,N308*100/M308,0)</f>
        <v>0</v>
      </c>
      <c r="Q308" s="548">
        <f ca="1">IFERROR(__xludf.DUMMYFUNCTION("IMPORTRANGE(""https://docs.google.com/spreadsheets/d/1ItG2mGa2ceCfYo0BwxsXqNm01IGEUdYcSSLTEv9YCik/edit?usp=sharing"",""เบิกจ่ายกองทุน!BB84"")"),194611.99)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IFERROR(__xludf.DUMMYFUNCTION("IMPORTRANGE(""https://docs.google.com/spreadsheets/d/1ItG2mGa2ceCfYo0BwxsXqNm01IGEUdYcSSLTEv9YCik/edit?usp=sharing"",""เบิกจ่ายกองทุน!BC84"")"),194612)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IFERROR(__xludf.DUMMYFUNCTION("IMPORTRANGE(""https://docs.google.com/spreadsheets/d/1ItG2mGa2ceCfYo0BwxsXqNm01IGEUdYcSSLTEv9YCik/edit?usp=sharing"",""เบิกจ่ายกองทุน!BD84"")"),23110)</f>
        <v>23110</v>
      </c>
      <c r="T308" s="47">
        <f ca="1">IF(Q308&gt;0,S308*100/Q308,0)</f>
        <v>11.874910687671402</v>
      </c>
      <c r="U308" s="47">
        <f ca="1">IF(R308&gt;0,S308*100/R308,0)</f>
        <v>11.874910077487513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548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5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IFERROR(__xludf.DUMMYFUNCTION("IMPORTRANGE(""https://docs.google.com/spreadsheets/d/1-uDff_7J0KD5mKrp0Vvzr7lt3OU09vwQwhkpOPPYv2Y/edit?usp=sharing"",""งบพรบ!EB84"")"),0)</f>
        <v>0</v>
      </c>
      <c r="M311" s="47">
        <f ca="1">IFERROR(__xludf.DUMMYFUNCTION("IMPORTRANGE(""https://docs.google.com/spreadsheets/d/1-uDff_7J0KD5mKrp0Vvzr7lt3OU09vwQwhkpOPPYv2Y/edit?usp=sharing"",""งบพรบ!EE84"")"),0)</f>
        <v>0</v>
      </c>
      <c r="N311" s="47">
        <f ca="1">IFERROR(__xludf.DUMMYFUNCTION("IMPORTRANGE(""https://docs.google.com/spreadsheets/d/1-uDff_7J0KD5mKrp0Vvzr7lt3OU09vwQwhkpOPPYv2Y/edit?usp=sharing"",""งบพรบ!EG84"")"),0)</f>
        <v>0</v>
      </c>
      <c r="O311" s="47">
        <f ca="1">IF(L311&gt;0,N311*100/L311,0)</f>
        <v>0</v>
      </c>
      <c r="P311" s="47">
        <f ca="1">IF(M311&gt;0,N311*100/M311,0)</f>
        <v>0</v>
      </c>
      <c r="Q311" s="548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5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700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IFERROR(__xludf.DUMMYFUNCTION("IMPORTRANGE(""https://docs.google.com/spreadsheets/d/1eHaY18a8A9IcSdp1K8H6x8fbOy06t2VsZHhMHf-1x7Y/edit?usp=sharing"",""แผน!EF84"")"),20)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5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700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700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700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699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651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550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5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548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548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5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IFERROR(__xludf.DUMMYFUNCTION("IMPORTRANGE(""https://docs.google.com/spreadsheets/d/1-uDff_7J0KD5mKrp0Vvzr7lt3OU09vwQwhkpOPPYv2Y/edit?usp=sharing"",""งบพรบ!EI84"")"),0)</f>
        <v>0</v>
      </c>
      <c r="M325" s="47">
        <f ca="1">IFERROR(__xludf.DUMMYFUNCTION("IMPORTRANGE(""https://docs.google.com/spreadsheets/d/1-uDff_7J0KD5mKrp0Vvzr7lt3OU09vwQwhkpOPPYv2Y/edit?usp=sharing"",""งบพรบ!EN84"")"),0)</f>
        <v>0</v>
      </c>
      <c r="N325" s="47">
        <f ca="1">IFERROR(__xludf.DUMMYFUNCTION("IMPORTRANGE(""https://docs.google.com/spreadsheets/d/1-uDff_7J0KD5mKrp0Vvzr7lt3OU09vwQwhkpOPPYv2Y/edit?usp=sharing"",""งบพรบ!EP84"")"),0)</f>
        <v>0</v>
      </c>
      <c r="O325" s="47">
        <f ca="1">IF(L325&gt;0,N325*100/L325,0)</f>
        <v>0</v>
      </c>
      <c r="P325" s="47">
        <f ca="1">IF(M325&gt;0,N325*100/M325,0)</f>
        <v>0</v>
      </c>
      <c r="Q325" s="548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548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5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IFERROR(__xludf.DUMMYFUNCTION("IMPORTRANGE(""https://docs.google.com/spreadsheets/d/1-uDff_7J0KD5mKrp0Vvzr7lt3OU09vwQwhkpOPPYv2Y/edit?usp=sharing"",""งบพรบ!EL84"")"),0)</f>
        <v>0</v>
      </c>
      <c r="M328" s="47">
        <f ca="1">IFERROR(__xludf.DUMMYFUNCTION("IMPORTRANGE(""https://docs.google.com/spreadsheets/d/1-uDff_7J0KD5mKrp0Vvzr7lt3OU09vwQwhkpOPPYv2Y/edit?usp=sharing"",""งบพรบ!EO84"")"),0)</f>
        <v>0</v>
      </c>
      <c r="N328" s="47">
        <f ca="1">IFERROR(__xludf.DUMMYFUNCTION("IMPORTRANGE(""https://docs.google.com/spreadsheets/d/1-uDff_7J0KD5mKrp0Vvzr7lt3OU09vwQwhkpOPPYv2Y/edit?usp=sharing"",""งบพรบ!EQ84"")"),0)</f>
        <v>0</v>
      </c>
      <c r="O328" s="47">
        <f ca="1">IF(L328&gt;0,N328*100/L328,0)</f>
        <v>0</v>
      </c>
      <c r="P328" s="47">
        <f ca="1">IF(M328&gt;0,N328*100/M328,0)</f>
        <v>0</v>
      </c>
      <c r="Q328" s="548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5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IFERROR(__xludf.DUMMYFUNCTION("IMPORTRANGE(""https://docs.google.com/spreadsheets/d/1eHaY18a8A9IcSdp1K8H6x8fbOy06t2VsZHhMHf-1x7Y/edit?usp=sharing"",""แผน!EJ84"")"),0)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5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699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525</v>
      </c>
      <c r="K332" s="696">
        <f ca="1">IF(I332&gt;0,J332*100/I332,0)</f>
        <v>375</v>
      </c>
      <c r="L332" s="651"/>
      <c r="M332" s="312"/>
      <c r="N332" s="312"/>
      <c r="O332" s="312"/>
      <c r="P332" s="312"/>
      <c r="Q332" s="651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68434.929999999993</v>
      </c>
      <c r="O333" s="132">
        <f ca="1">IF(L333&gt;0,N333*100/L333,0)</f>
        <v>39.787749999999996</v>
      </c>
      <c r="P333" s="132">
        <f ca="1">IF(M333&gt;0,N333*100/M333,0)</f>
        <v>39.787749999999996</v>
      </c>
      <c r="Q333" s="550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5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68434.929999999993</v>
      </c>
      <c r="O335" s="47">
        <f ca="1">IF(L335&gt;0,N335*100/L335,0)</f>
        <v>39.787749999999996</v>
      </c>
      <c r="P335" s="47">
        <f ca="1">IF(M335&gt;0,N335*100/M335,0)</f>
        <v>39.787749999999996</v>
      </c>
      <c r="Q335" s="548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68434.929999999993</v>
      </c>
      <c r="O336" s="47">
        <f ca="1">IF(L336&gt;0,N336*100/L336,0)</f>
        <v>39.787749999999996</v>
      </c>
      <c r="P336" s="47">
        <f ca="1">IF(M336&gt;0,N336*100/M336,0)</f>
        <v>39.787749999999996</v>
      </c>
      <c r="Q336" s="548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5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IFERROR(__xludf.DUMMYFUNCTION("IMPORTRANGE(""https://docs.google.com/spreadsheets/d/1-uDff_7J0KD5mKrp0Vvzr7lt3OU09vwQwhkpOPPYv2Y/edit?usp=sharing"",""งบพรบ!ES84"")"),172000)</f>
        <v>172000</v>
      </c>
      <c r="M338" s="47">
        <f ca="1">IFERROR(__xludf.DUMMYFUNCTION("IMPORTRANGE(""https://docs.google.com/spreadsheets/d/1-uDff_7J0KD5mKrp0Vvzr7lt3OU09vwQwhkpOPPYv2Y/edit?usp=sharing"",""งบพรบ!EX84"")"),172000)</f>
        <v>172000</v>
      </c>
      <c r="N338" s="47">
        <f ca="1">IFERROR(__xludf.DUMMYFUNCTION("IMPORTRANGE(""https://docs.google.com/spreadsheets/d/1-uDff_7J0KD5mKrp0Vvzr7lt3OU09vwQwhkpOPPYv2Y/edit?usp=sharing"",""งบพรบ!EZ84"")"),68434.93)</f>
        <v>68434.929999999993</v>
      </c>
      <c r="O338" s="47">
        <f ca="1">IF(L338&gt;0,N338*100/L338,0)</f>
        <v>39.787749999999996</v>
      </c>
      <c r="P338" s="47">
        <f ca="1">IF(M338&gt;0,N338*100/M338,0)</f>
        <v>39.787749999999996</v>
      </c>
      <c r="Q338" s="548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548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5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IFERROR(__xludf.DUMMYFUNCTION("IMPORTRANGE(""https://docs.google.com/spreadsheets/d/1-uDff_7J0KD5mKrp0Vvzr7lt3OU09vwQwhkpOPPYv2Y/edit?usp=sharing"",""งบพรบ!EV84"")"),0)</f>
        <v>0</v>
      </c>
      <c r="M341" s="47">
        <f ca="1">IFERROR(__xludf.DUMMYFUNCTION("IMPORTRANGE(""https://docs.google.com/spreadsheets/d/1-uDff_7J0KD5mKrp0Vvzr7lt3OU09vwQwhkpOPPYv2Y/edit?usp=sharing"",""งบพรบ!EY84"")"),0)</f>
        <v>0</v>
      </c>
      <c r="N341" s="47">
        <f ca="1">IFERROR(__xludf.DUMMYFUNCTION("IMPORTRANGE(""https://docs.google.com/spreadsheets/d/1-uDff_7J0KD5mKrp0Vvzr7lt3OU09vwQwhkpOPPYv2Y/edit?usp=sharing"",""งบพรบ!FA84"")"),0)</f>
        <v>0</v>
      </c>
      <c r="O341" s="47">
        <f ca="1">IF(L341&gt;0,N341*100/L341,0)</f>
        <v>0</v>
      </c>
      <c r="P341" s="47">
        <f ca="1">IF(M341&gt;0,N341*100/M341,0)</f>
        <v>0</v>
      </c>
      <c r="Q341" s="548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5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164</v>
      </c>
      <c r="K343" s="688">
        <v>0</v>
      </c>
      <c r="L343" s="686"/>
      <c r="M343" s="230"/>
      <c r="N343" s="230"/>
      <c r="O343" s="230"/>
      <c r="P343" s="230"/>
      <c r="Q343" s="686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IFERROR(__xludf.DUMMYFUNCTION("IMPORTRANGE(""https://docs.google.com/spreadsheets/d/1eHaY18a8A9IcSdp1K8H6x8fbOy06t2VsZHhMHf-1x7Y/edit?usp=sharing"",""แผน!EK84"")"),140)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IFERROR(__xludf.DUMMYFUNCTION("IMPORTRANGE(""https://docs.google.com/spreadsheets/d/1awYsYK3VOup2i3Pq_Yjnu8DRu_mYwSBnCR2QPthd0rU/edit?usp=sharing"",""ศูนย์ยกเว้นโฉนด!D84"")"),164)</f>
        <v>164</v>
      </c>
      <c r="K344" s="47">
        <f ca="1">IF(I344&gt;0,J344*100/I344,0)</f>
        <v>117.14285714285714</v>
      </c>
      <c r="L344" s="546"/>
      <c r="M344" s="46"/>
      <c r="N344" s="46"/>
      <c r="O344" s="46"/>
      <c r="P344" s="46"/>
      <c r="Q344" s="5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5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IFERROR(__xludf.DUMMYFUNCTION("IMPORTRANGE(""https://docs.google.com/spreadsheets/d/1eHaY18a8A9IcSdp1K8H6x8fbOy06t2VsZHhMHf-1x7Y/edit?usp=sharing"",""แผน!EL84"")"),1)</f>
        <v>1</v>
      </c>
      <c r="J346" s="152">
        <f ca="1">IFERROR(__xludf.DUMMYFUNCTION("IMPORTRANGE(""https://docs.google.com/spreadsheets/d/1awYsYK3VOup2i3Pq_Yjnu8DRu_mYwSBnCR2QPthd0rU/edit?usp=sharing"",""ศูนย์รวม!E84"")"),0)</f>
        <v>0</v>
      </c>
      <c r="K346" s="47">
        <f ca="1">IF(I346&gt;0,J346*100/I346,0)</f>
        <v>0</v>
      </c>
      <c r="L346" s="546"/>
      <c r="M346" s="46"/>
      <c r="N346" s="46"/>
      <c r="O346" s="46"/>
      <c r="P346" s="46"/>
      <c r="Q346" s="5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IFERROR(__xludf.DUMMYFUNCTION("IMPORTRANGE(""https://docs.google.com/spreadsheets/d/1awYsYK3VOup2i3Pq_Yjnu8DRu_mYwSBnCR2QPthd0rU/edit?usp=sharing"",""ศูนย์ยกเว้นโฉนด!F84"")"),0)</f>
        <v>0</v>
      </c>
      <c r="K347" s="46"/>
      <c r="L347" s="546"/>
      <c r="M347" s="46"/>
      <c r="N347" s="46"/>
      <c r="O347" s="46"/>
      <c r="P347" s="46"/>
      <c r="Q347" s="5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IFERROR(__xludf.DUMMYFUNCTION("IMPORTRANGE(""https://docs.google.com/spreadsheets/d/1awYsYK3VOup2i3Pq_Yjnu8DRu_mYwSBnCR2QPthd0rU/edit?usp=sharing"",""ศูนย์ยกเว้นโฉนด!G84"")"),0)</f>
        <v>0</v>
      </c>
      <c r="K348" s="46"/>
      <c r="L348" s="546"/>
      <c r="M348" s="46"/>
      <c r="N348" s="46"/>
      <c r="O348" s="46"/>
      <c r="P348" s="46"/>
      <c r="Q348" s="5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IFERROR(__xludf.DUMMYFUNCTION("IMPORTRANGE(""https://docs.google.com/spreadsheets/d/1awYsYK3VOup2i3Pq_Yjnu8DRu_mYwSBnCR2QPthd0rU/edit?usp=sharing"",""ศูนย์ยกเว้นโฉนด!H84"")"),0)</f>
        <v>0</v>
      </c>
      <c r="K349" s="46"/>
      <c r="L349" s="546"/>
      <c r="M349" s="46"/>
      <c r="N349" s="46"/>
      <c r="O349" s="46"/>
      <c r="P349" s="46"/>
      <c r="Q349" s="5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5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361</v>
      </c>
      <c r="K351" s="229">
        <v>0</v>
      </c>
      <c r="L351" s="686"/>
      <c r="M351" s="230"/>
      <c r="N351" s="230"/>
      <c r="O351" s="230"/>
      <c r="P351" s="230"/>
      <c r="Q351" s="686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IFERROR(__xludf.DUMMYFUNCTION("IMPORTRANGE(""https://docs.google.com/spreadsheets/d/1awYsYK3VOup2i3Pq_Yjnu8DRu_mYwSBnCR2QPthd0rU/edit?usp=sharing"",""โฉนดM3!G84"")"),0)</f>
        <v>0</v>
      </c>
      <c r="K352" s="46"/>
      <c r="L352" s="546"/>
      <c r="M352" s="46"/>
      <c r="N352" s="46"/>
      <c r="O352" s="46"/>
      <c r="P352" s="46"/>
      <c r="Q352" s="5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IFERROR(__xludf.DUMMYFUNCTION("IMPORTRANGE(""https://docs.google.com/spreadsheets/d/1awYsYK3VOup2i3Pq_Yjnu8DRu_mYwSBnCR2QPthd0rU/edit?usp=sharing"",""โฉนดM3!H84"")"),361)</f>
        <v>361</v>
      </c>
      <c r="K353" s="46"/>
      <c r="L353" s="546"/>
      <c r="M353" s="46"/>
      <c r="N353" s="46"/>
      <c r="O353" s="46"/>
      <c r="P353" s="46"/>
      <c r="Q353" s="5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5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651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684130</v>
      </c>
      <c r="M356" s="132">
        <f ca="1">M357+M358</f>
        <v>693650</v>
      </c>
      <c r="N356" s="132">
        <f ca="1">N357+N358</f>
        <v>445927.24</v>
      </c>
      <c r="O356" s="132">
        <f ca="1">IF(L356&gt;0,N356*100/L356,0)</f>
        <v>65.181652609884082</v>
      </c>
      <c r="P356" s="132">
        <f ca="1">IF(M356&gt;0,N356*100/M356,0)</f>
        <v>64.287066964607504</v>
      </c>
      <c r="Q356" s="550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5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684130</v>
      </c>
      <c r="M358" s="47">
        <f ca="1">M361+M364</f>
        <v>693650</v>
      </c>
      <c r="N358" s="47">
        <f ca="1">N361+N364</f>
        <v>445927.24</v>
      </c>
      <c r="O358" s="47">
        <f ca="1">IF(L358&gt;0,N358*100/L358,0)</f>
        <v>65.181652609884082</v>
      </c>
      <c r="P358" s="47">
        <f ca="1">IF(M358&gt;0,N358*100/M358,0)</f>
        <v>64.287066964607504</v>
      </c>
      <c r="Q358" s="548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684130</v>
      </c>
      <c r="M359" s="47">
        <f ca="1">M360+M361</f>
        <v>693650</v>
      </c>
      <c r="N359" s="47">
        <f ca="1">N360+N361</f>
        <v>445927.24</v>
      </c>
      <c r="O359" s="47">
        <f ca="1">IF(L359&gt;0,N359*100/L359,0)</f>
        <v>65.181652609884082</v>
      </c>
      <c r="P359" s="47">
        <f ca="1">IF(M359&gt;0,N359*100/M359,0)</f>
        <v>64.287066964607504</v>
      </c>
      <c r="Q359" s="548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5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IFERROR(__xludf.DUMMYFUNCTION("IMPORTRANGE(""https://docs.google.com/spreadsheets/d/1-uDff_7J0KD5mKrp0Vvzr7lt3OU09vwQwhkpOPPYv2Y/edit?usp=sharing"",""งบพรบ!FC84"")"),684130)</f>
        <v>684130</v>
      </c>
      <c r="M361" s="47">
        <f ca="1">IFERROR(__xludf.DUMMYFUNCTION("IMPORTRANGE(""https://docs.google.com/spreadsheets/d/1-uDff_7J0KD5mKrp0Vvzr7lt3OU09vwQwhkpOPPYv2Y/edit?usp=sharing"",""งบพรบ!FH84"")"),693650)</f>
        <v>693650</v>
      </c>
      <c r="N361" s="47">
        <f ca="1">IFERROR(__xludf.DUMMYFUNCTION("IMPORTRANGE(""https://docs.google.com/spreadsheets/d/1-uDff_7J0KD5mKrp0Vvzr7lt3OU09vwQwhkpOPPYv2Y/edit?usp=sharing"",""งบพรบ!FJ84"")"),445927.24)</f>
        <v>445927.24</v>
      </c>
      <c r="O361" s="47">
        <f ca="1">IF(L361&gt;0,N361*100/L361,0)</f>
        <v>65.181652609884082</v>
      </c>
      <c r="P361" s="47">
        <f ca="1">IF(M361&gt;0,N361*100/M361,0)</f>
        <v>64.287066964607504</v>
      </c>
      <c r="Q361" s="548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548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5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IFERROR(__xludf.DUMMYFUNCTION("IMPORTRANGE(""https://docs.google.com/spreadsheets/d/1-uDff_7J0KD5mKrp0Vvzr7lt3OU09vwQwhkpOPPYv2Y/edit?usp=sharing"",""งบพรบ!FF84"")"),0)</f>
        <v>0</v>
      </c>
      <c r="M364" s="47">
        <f ca="1">IFERROR(__xludf.DUMMYFUNCTION("IMPORTRANGE(""https://docs.google.com/spreadsheets/d/1-uDff_7J0KD5mKrp0Vvzr7lt3OU09vwQwhkpOPPYv2Y/edit?usp=sharing"",""งบพรบ!FI84"")"),0)</f>
        <v>0</v>
      </c>
      <c r="N364" s="47">
        <f ca="1">IFERROR(__xludf.DUMMYFUNCTION("IMPORTRANGE(""https://docs.google.com/spreadsheets/d/1-uDff_7J0KD5mKrp0Vvzr7lt3OU09vwQwhkpOPPYv2Y/edit?usp=sharing"",""งบพรบ!FK84"")"),0)</f>
        <v>0</v>
      </c>
      <c r="O364" s="47">
        <f ca="1">IF(L364&gt;0,N364*100/L364,0)</f>
        <v>0</v>
      </c>
      <c r="P364" s="47">
        <f ca="1">IF(M364&gt;0,N364*100/M364,0)</f>
        <v>0</v>
      </c>
      <c r="Q364" s="548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89</v>
      </c>
      <c r="J365" s="228">
        <f ca="1">J371</f>
        <v>66</v>
      </c>
      <c r="K365" s="229">
        <f ca="1">IF(I365&gt;0,J365*100/I365,0)</f>
        <v>74.157303370786522</v>
      </c>
      <c r="L365" s="686"/>
      <c r="M365" s="230"/>
      <c r="N365" s="230"/>
      <c r="O365" s="230"/>
      <c r="P365" s="230"/>
      <c r="Q365" s="686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558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IFERROR(__xludf.DUMMYFUNCTION("IMPORTRANGE(""https://docs.google.com/spreadsheets/d/1tdoBKaGub7dwA3U6UFTqxio9LNnvDCQjHKmttSEBsFQ/edit?usp=sharing"",""จัดที่ดิน!AB84"")"),60)</f>
        <v>60</v>
      </c>
      <c r="K367" s="47">
        <f>IF(I367&gt;0,J367*100/I367,0)</f>
        <v>0</v>
      </c>
      <c r="L367" s="558"/>
      <c r="M367" s="136"/>
      <c r="N367" s="136"/>
      <c r="O367" s="136"/>
      <c r="P367" s="136"/>
      <c r="Q367" s="558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IFERROR(__xludf.DUMMYFUNCTION("IMPORTRANGE(""https://docs.google.com/spreadsheets/d/1eHaY18a8A9IcSdp1K8H6x8fbOy06t2VsZHhMHf-1x7Y/edit?usp=sharing"",""แผน!EW84"")"),470)</f>
        <v>470</v>
      </c>
      <c r="J368" s="685">
        <f ca="1">IFERROR(__xludf.DUMMYFUNCTION("IMPORTRANGE(""https://docs.google.com/spreadsheets/d/1tdoBKaGub7dwA3U6UFTqxio9LNnvDCQjHKmttSEBsFQ/edit?usp=sharing"",""จัดที่ดิน!AC84"")"),435.159999999999)</f>
        <v>435.159999999999</v>
      </c>
      <c r="K368" s="47">
        <f ca="1">IF(I368&gt;0,J368*100/I368,0)</f>
        <v>92.587234042552979</v>
      </c>
      <c r="L368" s="558"/>
      <c r="M368" s="136"/>
      <c r="N368" s="136"/>
      <c r="O368" s="136"/>
      <c r="P368" s="136"/>
      <c r="Q368" s="558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IFERROR(__xludf.DUMMYFUNCTION("IMPORTRANGE(""https://docs.google.com/spreadsheets/d/1eHaY18a8A9IcSdp1K8H6x8fbOy06t2VsZHhMHf-1x7Y/edit?usp=sharing"",""แผน!EX84"")"),89)</f>
        <v>89</v>
      </c>
      <c r="J369" s="152">
        <f ca="1">IFERROR(__xludf.DUMMYFUNCTION("IMPORTRANGE(""https://docs.google.com/spreadsheets/d/1tdoBKaGub7dwA3U6UFTqxio9LNnvDCQjHKmttSEBsFQ/edit?usp=sharing"",""จัดที่ดิน!AD84"")"),115)</f>
        <v>115</v>
      </c>
      <c r="K369" s="47">
        <f ca="1">IF(I369&gt;0,J369*100/I369,0)</f>
        <v>129.2134831460674</v>
      </c>
      <c r="L369" s="558"/>
      <c r="M369" s="136"/>
      <c r="N369" s="136"/>
      <c r="O369" s="136"/>
      <c r="P369" s="136"/>
      <c r="Q369" s="558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IFERROR(__xludf.DUMMYFUNCTION("IMPORTRANGE(""https://docs.google.com/spreadsheets/d/1tdoBKaGub7dwA3U6UFTqxio9LNnvDCQjHKmttSEBsFQ/edit?usp=sharing"",""จัดที่ดิน!AE84"")"),799.74)</f>
        <v>799.74</v>
      </c>
      <c r="K370" s="47">
        <f>IF(I370&gt;0,J370*100/I370,0)</f>
        <v>0</v>
      </c>
      <c r="L370" s="558"/>
      <c r="M370" s="136"/>
      <c r="N370" s="136"/>
      <c r="O370" s="136"/>
      <c r="P370" s="136"/>
      <c r="Q370" s="558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IFERROR(__xludf.DUMMYFUNCTION("IMPORTRANGE(""https://docs.google.com/spreadsheets/d/1eHaY18a8A9IcSdp1K8H6x8fbOy06t2VsZHhMHf-1x7Y/edit?usp=sharing"",""แผน!EY84"")"),89)</f>
        <v>89</v>
      </c>
      <c r="J371" s="152">
        <f ca="1">IFERROR(__xludf.DUMMYFUNCTION("IMPORTRANGE(""https://docs.google.com/spreadsheets/d/1tdoBKaGub7dwA3U6UFTqxio9LNnvDCQjHKmttSEBsFQ/edit?usp=sharing"",""จัดที่ดิน!AF84"")"),66)</f>
        <v>66</v>
      </c>
      <c r="K371" s="47">
        <f ca="1">IF(I371&gt;0,J371*100/I371,0)</f>
        <v>74.157303370786522</v>
      </c>
      <c r="L371" s="558"/>
      <c r="M371" s="136"/>
      <c r="N371" s="136"/>
      <c r="O371" s="136"/>
      <c r="P371" s="136"/>
      <c r="Q371" s="558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IFERROR(__xludf.DUMMYFUNCTION("IMPORTRANGE(""https://docs.google.com/spreadsheets/d/1tdoBKaGub7dwA3U6UFTqxio9LNnvDCQjHKmttSEBsFQ/edit?usp=sharing"",""จัดที่ดิน!AG84"")"),417.78)</f>
        <v>417.78</v>
      </c>
      <c r="K372" s="47">
        <f>IF(I372&gt;0,J372*100/I372,0)</f>
        <v>0</v>
      </c>
      <c r="L372" s="558"/>
      <c r="M372" s="136"/>
      <c r="N372" s="136"/>
      <c r="O372" s="136"/>
      <c r="P372" s="136"/>
      <c r="Q372" s="558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545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651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550">
        <f ca="1">Q376+Q377</f>
        <v>9375</v>
      </c>
      <c r="R375" s="132">
        <f ca="1">R376+R377</f>
        <v>9375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5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548">
        <f ca="1">Q380+Q383</f>
        <v>9375</v>
      </c>
      <c r="R377" s="47">
        <f ca="1">R380+R383</f>
        <v>9375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548">
        <f ca="1">Q379+Q380</f>
        <v>9375</v>
      </c>
      <c r="R378" s="47">
        <f ca="1">R379+R380</f>
        <v>9375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5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IFERROR(__xludf.DUMMYFUNCTION("IMPORTRANGE(""https://docs.google.com/spreadsheets/d/1-uDff_7J0KD5mKrp0Vvzr7lt3OU09vwQwhkpOPPYv2Y/edit?usp=sharing"",""งบพรบ!IE84"")"),0)</f>
        <v>0</v>
      </c>
      <c r="M380" s="47">
        <f ca="1">IFERROR(__xludf.DUMMYFUNCTION("IMPORTRANGE(""https://docs.google.com/spreadsheets/d/1-uDff_7J0KD5mKrp0Vvzr7lt3OU09vwQwhkpOPPYv2Y/edit?usp=sharing"",""งบพรบ!IJ84"")"),0)</f>
        <v>0</v>
      </c>
      <c r="N380" s="47">
        <f ca="1">IFERROR(__xludf.DUMMYFUNCTION("IMPORTRANGE(""https://docs.google.com/spreadsheets/d/1-uDff_7J0KD5mKrp0Vvzr7lt3OU09vwQwhkpOPPYv2Y/edit?usp=sharing"",""งบพรบ!IL84"")"),0)</f>
        <v>0</v>
      </c>
      <c r="O380" s="47">
        <f ca="1">IF(L380&gt;0,N380*100/L380,0)</f>
        <v>0</v>
      </c>
      <c r="P380" s="47">
        <f ca="1">IF(M380&gt;0,N380*100/M380,0)</f>
        <v>0</v>
      </c>
      <c r="Q380" s="548">
        <f ca="1">IFERROR(__xludf.DUMMYFUNCTION("IMPORTRANGE(""https://docs.google.com/spreadsheets/d/1ItG2mGa2ceCfYo0BwxsXqNm01IGEUdYcSSLTEv9YCik/edit?usp=sharing"",""เบิกจ่ายกองทุน!BW84"")"),9375)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IFERROR(__xludf.DUMMYFUNCTION("IMPORTRANGE(""https://docs.google.com/spreadsheets/d/1ItG2mGa2ceCfYo0BwxsXqNm01IGEUdYcSSLTEv9YCik/edit?usp=sharing"",""เบิกจ่ายกองทุน!BX84"")"),9375)</f>
        <v>9375</v>
      </c>
      <c r="S380" s="47">
        <f ca="1">IFERROR(__xludf.DUMMYFUNCTION("IMPORTRANGE(""https://docs.google.com/spreadsheets/d/1ItG2mGa2ceCfYo0BwxsXqNm01IGEUdYcSSLTEv9YCik/edit?usp=sharing"",""เบิกจ่ายกองทุน!BY84"")"),0)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548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5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IFERROR(__xludf.DUMMYFUNCTION("IMPORTRANGE(""https://docs.google.com/spreadsheets/d/1-uDff_7J0KD5mKrp0Vvzr7lt3OU09vwQwhkpOPPYv2Y/edit?usp=sharing"",""งบพรบ!IH84"")"),0)</f>
        <v>0</v>
      </c>
      <c r="M383" s="47">
        <f ca="1">IFERROR(__xludf.DUMMYFUNCTION("IMPORTRANGE(""https://docs.google.com/spreadsheets/d/1-uDff_7J0KD5mKrp0Vvzr7lt3OU09vwQwhkpOPPYv2Y/edit?usp=sharing"",""งบพรบ!IK84"")"),0)</f>
        <v>0</v>
      </c>
      <c r="N383" s="47">
        <f ca="1">IFERROR(__xludf.DUMMYFUNCTION("IMPORTRANGE(""https://docs.google.com/spreadsheets/d/1-uDff_7J0KD5mKrp0Vvzr7lt3OU09vwQwhkpOPPYv2Y/edit?usp=sharing"",""งบพรบ!IM84"")"),0)</f>
        <v>0</v>
      </c>
      <c r="O383" s="47">
        <f ca="1">IF(L383&gt;0,N383*100/L383,0)</f>
        <v>0</v>
      </c>
      <c r="P383" s="47">
        <f ca="1">IF(M383&gt;0,N383*100/M383,0)</f>
        <v>0</v>
      </c>
      <c r="Q383" s="548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5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IFERROR(__xludf.DUMMYFUNCTION("IMPORTRANGE(""https://docs.google.com/spreadsheets/d/1w5rwWK1o49a35cNtocGL0gxDwhFSTZUQu90BiH9_zqM/edit?usp=sharing"",""RTK!H84"")"),0)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5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IFERROR(__xludf.DUMMYFUNCTION("IMPORTRANGE(""https://docs.google.com/spreadsheets/d/1w5rwWK1o49a35cNtocGL0gxDwhFSTZUQu90BiH9_zqM/edit?usp=sharing"",""RTK!G84"")"),150)</f>
        <v>150</v>
      </c>
      <c r="J386" s="152">
        <f ca="1">IFERROR(__xludf.DUMMYFUNCTION("IMPORTRANGE(""https://docs.google.com/spreadsheets/d/1w5rwWK1o49a35cNtocGL0gxDwhFSTZUQu90BiH9_zqM/edit?usp=sharing"",""RTK!I84"")"),0)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5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IFERROR(__xludf.DUMMYFUNCTION("IMPORTRANGE(""https://docs.google.com/spreadsheets/d/1w5rwWK1o49a35cNtocGL0gxDwhFSTZUQu90BiH9_zqM/edit?usp=sharing"",""RTK!L84"")"),0)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546"/>
      <c r="R387" s="46"/>
      <c r="S387" s="46"/>
      <c r="T387" s="46"/>
      <c r="U387" s="46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IFERROR(__xludf.DUMMYFUNCTION("IMPORTRANGE(""https://docs.google.com/spreadsheets/d/1w5rwWK1o49a35cNtocGL0gxDwhFSTZUQu90BiH9_zqM/edit?usp=sharing"",""RTK!K84"")"),0)</f>
        <v>0</v>
      </c>
      <c r="J388" s="330">
        <f ca="1">IFERROR(__xludf.DUMMYFUNCTION("IMPORTRANGE(""https://docs.google.com/spreadsheets/d/1w5rwWK1o49a35cNtocGL0gxDwhFSTZUQu90BiH9_zqM/edit?usp=sharing"",""RTK!M84"")"),0)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5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590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562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651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550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5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548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548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5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548">
        <f ca="1">IFERROR(__xludf.DUMMYFUNCTION("IMPORTRANGE(""https://docs.google.com/spreadsheets/d/1ItG2mGa2ceCfYo0BwxsXqNm01IGEUdYcSSLTEv9YCik/edit?usp=sharing"",""เบิกจ่ายกองทุน!CL84"")"),0)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IFERROR(__xludf.DUMMYFUNCTION("IMPORTRANGE(""https://docs.google.com/spreadsheets/d/1ItG2mGa2ceCfYo0BwxsXqNm01IGEUdYcSSLTEv9YCik/edit?usp=sharing"",""เบิกจ่ายกองทุน!CM84"")"),0)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IFERROR(__xludf.DUMMYFUNCTION("IMPORTRANGE(""https://docs.google.com/spreadsheets/d/1ItG2mGa2ceCfYo0BwxsXqNm01IGEUdYcSSLTEv9YCik/edit?usp=sharing"",""เบิกจ่ายกองทุน!CN84"")"),0)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548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5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548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5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590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590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590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590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590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590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590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590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590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562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651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20710</v>
      </c>
      <c r="M413" s="132">
        <f ca="1">M414+M415</f>
        <v>20710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550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5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20710</v>
      </c>
      <c r="M415" s="47">
        <f ca="1">M418+M421</f>
        <v>20710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548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20710</v>
      </c>
      <c r="M416" s="47">
        <f ca="1">M417+M418</f>
        <v>20710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548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5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IFERROR(__xludf.DUMMYFUNCTION("IMPORTRANGE(""https://docs.google.com/spreadsheets/d/1-uDff_7J0KD5mKrp0Vvzr7lt3OU09vwQwhkpOPPYv2Y/edit?usp=sharing"",""งบพรบ!IO84"")"),20710)</f>
        <v>20710</v>
      </c>
      <c r="M418" s="47">
        <f ca="1">IFERROR(__xludf.DUMMYFUNCTION("IMPORTRANGE(""https://docs.google.com/spreadsheets/d/1-uDff_7J0KD5mKrp0Vvzr7lt3OU09vwQwhkpOPPYv2Y/edit?usp=sharing"",""งบพรบ!IT84"")"),20710)</f>
        <v>20710</v>
      </c>
      <c r="N418" s="47">
        <f ca="1">IFERROR(__xludf.DUMMYFUNCTION("IMPORTRANGE(""https://docs.google.com/spreadsheets/d/1-uDff_7J0KD5mKrp0Vvzr7lt3OU09vwQwhkpOPPYv2Y/edit?usp=sharing"",""งบพรบ!IV84"")"),0)</f>
        <v>0</v>
      </c>
      <c r="O418" s="47">
        <f ca="1">IF(L418&gt;0,N418*100/L418,0)</f>
        <v>0</v>
      </c>
      <c r="P418" s="47">
        <f ca="1">IF(M418&gt;0,N418*100/M418,0)</f>
        <v>0</v>
      </c>
      <c r="Q418" s="548">
        <f ca="1">IFERROR(__xludf.DUMMYFUNCTION("IMPORTRANGE(""https://docs.google.com/spreadsheets/d/1ItG2mGa2ceCfYo0BwxsXqNm01IGEUdYcSSLTEv9YCik/edit?usp=sharing"",""เบิกจ่ายกองทุน!BZ84"")"),15150)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IFERROR(__xludf.DUMMYFUNCTION("IMPORTRANGE(""https://docs.google.com/spreadsheets/d/1ItG2mGa2ceCfYo0BwxsXqNm01IGEUdYcSSLTEv9YCik/edit?usp=sharing"",""เบิกจ่ายกองทุน!CA84"")"),15150)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IFERROR(__xludf.DUMMYFUNCTION("IMPORTRANGE(""https://docs.google.com/spreadsheets/d/1ItG2mGa2ceCfYo0BwxsXqNm01IGEUdYcSSLTEv9YCik/edit?usp=sharing"",""เบิกจ่ายกองทุน!CB84"")"),0)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548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5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IFERROR(__xludf.DUMMYFUNCTION("IMPORTRANGE(""https://docs.google.com/spreadsheets/d/1-uDff_7J0KD5mKrp0Vvzr7lt3OU09vwQwhkpOPPYv2Y/edit?usp=sharing"",""งบพรบ!IR84"")"),0)</f>
        <v>0</v>
      </c>
      <c r="M421" s="47">
        <f ca="1">IFERROR(__xludf.DUMMYFUNCTION("IMPORTRANGE(""https://docs.google.com/spreadsheets/d/1-uDff_7J0KD5mKrp0Vvzr7lt3OU09vwQwhkpOPPYv2Y/edit?usp=sharing"",""งบพรบ!IU84"")"),0)</f>
        <v>0</v>
      </c>
      <c r="N421" s="47">
        <f ca="1">IFERROR(__xludf.DUMMYFUNCTION("IMPORTRANGE(""https://docs.google.com/spreadsheets/d/1-uDff_7J0KD5mKrp0Vvzr7lt3OU09vwQwhkpOPPYv2Y/edit?usp=sharing"",""งบพรบ!IW84"")"),0)</f>
        <v>0</v>
      </c>
      <c r="O421" s="47">
        <f ca="1">IF(L421&gt;0,N421*100/L421,0)</f>
        <v>0</v>
      </c>
      <c r="P421" s="47">
        <f ca="1">IF(M421&gt;0,N421*100/M421,0)</f>
        <v>0</v>
      </c>
      <c r="Q421" s="548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5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569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IFERROR(__xludf.DUMMYFUNCTION("IMPORTRANGE(""https://docs.google.com/spreadsheets/d/1eHaY18a8A9IcSdp1K8H6x8fbOy06t2VsZHhMHf-1x7Y/edit?usp=sharing"",""แผน!HJ84"")"),0)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5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IFERROR(__xludf.DUMMYFUNCTION("IMPORTRANGE(""https://docs.google.com/spreadsheets/d/1eHaY18a8A9IcSdp1K8H6x8fbOy06t2VsZHhMHf-1x7Y/edit?usp=sharing"",""แผน!HK84"")"),0)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5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5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5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5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5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5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5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IFERROR(__xludf.DUMMYFUNCTION("IMPORTRANGE(""https://docs.google.com/spreadsheets/d/1eHaY18a8A9IcSdp1K8H6x8fbOy06t2VsZHhMHf-1x7Y/edit?usp=sharing"",""แผน!HJ84"")"),0)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5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IFERROR(__xludf.DUMMYFUNCTION("IMPORTRANGE(""https://docs.google.com/spreadsheets/d/1eHaY18a8A9IcSdp1K8H6x8fbOy06t2VsZHhMHf-1x7Y/edit?usp=sharing"",""แผน!HK84"")"),0)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5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5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5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5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5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5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5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IFERROR(__xludf.DUMMYFUNCTION("IMPORTRANGE(""https://docs.google.com/spreadsheets/d/1eHaY18a8A9IcSdp1K8H6x8fbOy06t2VsZHhMHf-1x7Y/edit?usp=sharing"",""แผน!HJ84"")"),0)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5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IFERROR(__xludf.DUMMYFUNCTION("IMPORTRANGE(""https://docs.google.com/spreadsheets/d/1eHaY18a8A9IcSdp1K8H6x8fbOy06t2VsZHhMHf-1x7Y/edit?usp=sharing"",""แผน!HK84"")"),0)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5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5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5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5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5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5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5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5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5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5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5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5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5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5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5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21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569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IFERROR(__xludf.DUMMYFUNCTION("IMPORTRANGE(""https://docs.google.com/spreadsheets/d/1eHaY18a8A9IcSdp1K8H6x8fbOy06t2VsZHhMHf-1x7Y/edit?usp=sharing"",""แผน!HL84"")"),21)</f>
        <v>21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5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IFERROR(__xludf.DUMMYFUNCTION("IMPORTRANGE(""https://docs.google.com/spreadsheets/d/1eHaY18a8A9IcSdp1K8H6x8fbOy06t2VsZHhMHf-1x7Y/edit?usp=sharing"",""แผน!HM84"")"),0)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5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5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5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5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5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5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5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5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5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5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5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5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5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5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5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5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5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569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5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5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5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5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5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5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5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5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5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5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5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5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5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5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5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545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651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550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5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548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548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5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IFERROR(__xludf.DUMMYFUNCTION("IMPORTRANGE(""https://docs.google.com/spreadsheets/d/1-uDff_7J0KD5mKrp0Vvzr7lt3OU09vwQwhkpOPPYv2Y/edit?usp=sharing"",""งบพรบ!HU84"")"),0)</f>
        <v>0</v>
      </c>
      <c r="M498" s="47">
        <f ca="1">IFERROR(__xludf.DUMMYFUNCTION("IMPORTRANGE(""https://docs.google.com/spreadsheets/d/1-uDff_7J0KD5mKrp0Vvzr7lt3OU09vwQwhkpOPPYv2Y/edit?usp=sharing"",""งบพรบ!HZ84"")"),0)</f>
        <v>0</v>
      </c>
      <c r="N498" s="47">
        <f ca="1">IFERROR(__xludf.DUMMYFUNCTION("IMPORTRANGE(""https://docs.google.com/spreadsheets/d/1-uDff_7J0KD5mKrp0Vvzr7lt3OU09vwQwhkpOPPYv2Y/edit?usp=sharing"",""งบพรบ!IB84"")"),0)</f>
        <v>0</v>
      </c>
      <c r="O498" s="47">
        <f ca="1">IF(L498&gt;0,N498*100/L498,0)</f>
        <v>0</v>
      </c>
      <c r="P498" s="47">
        <f ca="1">IF(M498&gt;0,N498*100/M498,0)</f>
        <v>0</v>
      </c>
      <c r="Q498" s="548">
        <f ca="1">IFERROR(__xludf.DUMMYFUNCTION("IMPORTRANGE(""https://docs.google.com/spreadsheets/d/1ItG2mGa2ceCfYo0BwxsXqNm01IGEUdYcSSLTEv9YCik/edit?usp=sharing"",""เบิกจ่ายกองทุน!AD84"")"),0)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IFERROR(__xludf.DUMMYFUNCTION("IMPORTRANGE(""https://docs.google.com/spreadsheets/d/1ItG2mGa2ceCfYo0BwxsXqNm01IGEUdYcSSLTEv9YCik/edit?usp=sharing"",""เบิกจ่ายกองทุน!AE84"")"),0)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IFERROR(__xludf.DUMMYFUNCTION("IMPORTRANGE(""https://docs.google.com/spreadsheets/d/1ItG2mGa2ceCfYo0BwxsXqNm01IGEUdYcSSLTEv9YCik/edit?usp=sharing"",""เบิกจ่ายกองทุน!AF84"")"),0)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548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5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IFERROR(__xludf.DUMMYFUNCTION("IMPORTRANGE(""https://docs.google.com/spreadsheets/d/1-uDff_7J0KD5mKrp0Vvzr7lt3OU09vwQwhkpOPPYv2Y/edit?usp=sharing"",""งบพรบ!HX84"")"),0)</f>
        <v>0</v>
      </c>
      <c r="M501" s="47">
        <f ca="1">IFERROR(__xludf.DUMMYFUNCTION("IMPORTRANGE(""https://docs.google.com/spreadsheets/d/1-uDff_7J0KD5mKrp0Vvzr7lt3OU09vwQwhkpOPPYv2Y/edit?usp=sharing"",""งบพรบ!IA84"")"),0)</f>
        <v>0</v>
      </c>
      <c r="N501" s="47">
        <f ca="1">IFERROR(__xludf.DUMMYFUNCTION("IMPORTRANGE(""https://docs.google.com/spreadsheets/d/1-uDff_7J0KD5mKrp0Vvzr7lt3OU09vwQwhkpOPPYv2Y/edit?usp=sharing"",""งบพรบ!IC84"")"),0)</f>
        <v>0</v>
      </c>
      <c r="O501" s="47">
        <f ca="1">IF(L501&gt;0,N501*100/L501,0)</f>
        <v>0</v>
      </c>
      <c r="P501" s="47">
        <f ca="1">IF(M501&gt;0,N501*100/M501,0)</f>
        <v>0</v>
      </c>
      <c r="Q501" s="548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558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IFERROR(__xludf.DUMMYFUNCTION("IMPORTRANGE(""https://docs.google.com/spreadsheets/d/1eHaY18a8A9IcSdp1K8H6x8fbOy06t2VsZHhMHf-1x7Y/edit?usp=sharing"",""แผน!GX84"")"),0)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5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IFERROR(__xludf.DUMMYFUNCTION("IMPORTRANGE(""https://docs.google.com/spreadsheets/d/1eHaY18a8A9IcSdp1K8H6x8fbOy06t2VsZHhMHf-1x7Y/edit?usp=sharing"",""แผน!GY84"")"),0)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5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IFERROR(__xludf.DUMMYFUNCTION("IMPORTRANGE(""https://docs.google.com/spreadsheets/d/1eHaY18a8A9IcSdp1K8H6x8fbOy06t2VsZHhMHf-1x7Y/edit?usp=sharing"",""แผน!GZ84"")"),0)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5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IFERROR(__xludf.DUMMYFUNCTION("IMPORTRANGE(""https://docs.google.com/spreadsheets/d/1eHaY18a8A9IcSdp1K8H6x8fbOy06t2VsZHhMHf-1x7Y/edit?usp=sharing"",""แผน!HA84"")"),0)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5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IFERROR(__xludf.DUMMYFUNCTION("IMPORTRANGE(""https://docs.google.com/spreadsheets/d/1eHaY18a8A9IcSdp1K8H6x8fbOy06t2VsZHhMHf-1x7Y/edit?usp=sharing"",""แผน!HB84"")"),0)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5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5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IFERROR(__xludf.DUMMYFUNCTION("IMPORTRANGE(""https://docs.google.com/spreadsheets/d/1eHaY18a8A9IcSdp1K8H6x8fbOy06t2VsZHhMHf-1x7Y/edit?usp=sharing"",""แผน!HC84"")"),0)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545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643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636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592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550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5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548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548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5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IFERROR(__xludf.DUMMYFUNCTION("IMPORTRANGE(""https://docs.google.com/spreadsheets/d/1-uDff_7J0KD5mKrp0Vvzr7lt3OU09vwQwhkpOPPYv2Y/edit?usp=sharing"",""งบพรบ!FM84"")"),0)</f>
        <v>0</v>
      </c>
      <c r="M518" s="47">
        <f ca="1">IFERROR(__xludf.DUMMYFUNCTION("IMPORTRANGE(""https://docs.google.com/spreadsheets/d/1-uDff_7J0KD5mKrp0Vvzr7lt3OU09vwQwhkpOPPYv2Y/edit?usp=sharing"",""งบพรบ!FR84"")"),0)</f>
        <v>0</v>
      </c>
      <c r="N518" s="47">
        <f ca="1">IFERROR(__xludf.DUMMYFUNCTION("IMPORTRANGE(""https://docs.google.com/spreadsheets/d/1-uDff_7J0KD5mKrp0Vvzr7lt3OU09vwQwhkpOPPYv2Y/edit?usp=sharing"",""งบพรบ!FT84"")"),0)</f>
        <v>0</v>
      </c>
      <c r="O518" s="47">
        <f ca="1">IF(L518&gt;0,N518*100/L518,0)</f>
        <v>0</v>
      </c>
      <c r="P518" s="47">
        <f ca="1">IF(M518&gt;0,N518*100/M518,0)</f>
        <v>0</v>
      </c>
      <c r="Q518" s="548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548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5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IFERROR(__xludf.DUMMYFUNCTION("IMPORTRANGE(""https://docs.google.com/spreadsheets/d/1-uDff_7J0KD5mKrp0Vvzr7lt3OU09vwQwhkpOPPYv2Y/edit?usp=sharing"",""งบพรบ!FP84"")"),0)</f>
        <v>0</v>
      </c>
      <c r="M521" s="47">
        <f ca="1">IFERROR(__xludf.DUMMYFUNCTION("IMPORTRANGE(""https://docs.google.com/spreadsheets/d/1-uDff_7J0KD5mKrp0Vvzr7lt3OU09vwQwhkpOPPYv2Y/edit?usp=sharing"",""งบพรบ!FS84"")"),0)</f>
        <v>0</v>
      </c>
      <c r="N521" s="47">
        <f ca="1">IFERROR(__xludf.DUMMYFUNCTION("IMPORTRANGE(""https://docs.google.com/spreadsheets/d/1-uDff_7J0KD5mKrp0Vvzr7lt3OU09vwQwhkpOPPYv2Y/edit?usp=sharing"",""งบพรบ!FU84"")"),0)</f>
        <v>0</v>
      </c>
      <c r="O521" s="47">
        <f ca="1">IF(L521&gt;0,N521*100/L521,0)</f>
        <v>0</v>
      </c>
      <c r="P521" s="47">
        <f ca="1">IF(M521&gt;0,N521*100/M521,0)</f>
        <v>0</v>
      </c>
      <c r="Q521" s="548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5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5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5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590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590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590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590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590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590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590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562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592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550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5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548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548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5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IFERROR(__xludf.DUMMYFUNCTION("IMPORTRANGE(""https://docs.google.com/spreadsheets/d/1-uDff_7J0KD5mKrp0Vvzr7lt3OU09vwQwhkpOPPYv2Y/edit?usp=sharing"",""งบพรบ!FW84"")"),0)</f>
        <v>0</v>
      </c>
      <c r="M539" s="47">
        <f ca="1">IFERROR(__xludf.DUMMYFUNCTION("IMPORTRANGE(""https://docs.google.com/spreadsheets/d/1-uDff_7J0KD5mKrp0Vvzr7lt3OU09vwQwhkpOPPYv2Y/edit?usp=sharing"",""งบพรบ!GB84"")"),0)</f>
        <v>0</v>
      </c>
      <c r="N539" s="47">
        <f ca="1">IFERROR(__xludf.DUMMYFUNCTION("IMPORTRANGE(""https://docs.google.com/spreadsheets/d/1-uDff_7J0KD5mKrp0Vvzr7lt3OU09vwQwhkpOPPYv2Y/edit?usp=sharing"",""งบพรบ!GD84"")"),0)</f>
        <v>0</v>
      </c>
      <c r="O539" s="47">
        <f ca="1">IF(L539&gt;0,N539*100/L539,0)</f>
        <v>0</v>
      </c>
      <c r="P539" s="47">
        <f ca="1">IF(M539&gt;0,N539*100/M539,0)</f>
        <v>0</v>
      </c>
      <c r="Q539" s="548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548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5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IFERROR(__xludf.DUMMYFUNCTION("IMPORTRANGE(""https://docs.google.com/spreadsheets/d/1-uDff_7J0KD5mKrp0Vvzr7lt3OU09vwQwhkpOPPYv2Y/edit?usp=sharing"",""งบพรบ!FZ84"")"),0)</f>
        <v>0</v>
      </c>
      <c r="M542" s="47">
        <f ca="1">IFERROR(__xludf.DUMMYFUNCTION("IMPORTRANGE(""https://docs.google.com/spreadsheets/d/1-uDff_7J0KD5mKrp0Vvzr7lt3OU09vwQwhkpOPPYv2Y/edit?usp=sharing"",""งบพรบ!GC84"")"),0)</f>
        <v>0</v>
      </c>
      <c r="N542" s="47">
        <f ca="1">IFERROR(__xludf.DUMMYFUNCTION("IMPORTRANGE(""https://docs.google.com/spreadsheets/d/1-uDff_7J0KD5mKrp0Vvzr7lt3OU09vwQwhkpOPPYv2Y/edit?usp=sharing"",""งบพรบ!GE84"")"),0)</f>
        <v>0</v>
      </c>
      <c r="O542" s="47">
        <f ca="1">IF(L542&gt;0,N542*100/L542,0)</f>
        <v>0</v>
      </c>
      <c r="P542" s="47">
        <f ca="1">IF(M542&gt;0,N542*100/M542,0)</f>
        <v>0</v>
      </c>
      <c r="Q542" s="548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5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590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590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590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590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590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590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590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590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590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562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592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550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5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548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548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5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IFERROR(__xludf.DUMMYFUNCTION("IMPORTRANGE(""https://docs.google.com/spreadsheets/d/1-uDff_7J0KD5mKrp0Vvzr7lt3OU09vwQwhkpOPPYv2Y/edit?usp=sharing"",""งบพรบ!GG84"")"),0)</f>
        <v>0</v>
      </c>
      <c r="M560" s="47">
        <f ca="1">IFERROR(__xludf.DUMMYFUNCTION("IMPORTRANGE(""https://docs.google.com/spreadsheets/d/1-uDff_7J0KD5mKrp0Vvzr7lt3OU09vwQwhkpOPPYv2Y/edit?usp=sharing"",""งบพรบ!GL84"")"),0)</f>
        <v>0</v>
      </c>
      <c r="N560" s="47">
        <f ca="1">IFERROR(__xludf.DUMMYFUNCTION("IMPORTRANGE(""https://docs.google.com/spreadsheets/d/1-uDff_7J0KD5mKrp0Vvzr7lt3OU09vwQwhkpOPPYv2Y/edit?usp=sharing"",""งบพรบ!GN84"")"),0)</f>
        <v>0</v>
      </c>
      <c r="O560" s="47">
        <f ca="1">IF(L560&gt;0,N560*100/L560,0)</f>
        <v>0</v>
      </c>
      <c r="P560" s="47">
        <f ca="1">IF(M560&gt;0,N560*100/M560,0)</f>
        <v>0</v>
      </c>
      <c r="Q560" s="548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548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5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IFERROR(__xludf.DUMMYFUNCTION("IMPORTRANGE(""https://docs.google.com/spreadsheets/d/1-uDff_7J0KD5mKrp0Vvzr7lt3OU09vwQwhkpOPPYv2Y/edit?usp=sharing"",""งบพรบ!GJ84"")"),0)</f>
        <v>0</v>
      </c>
      <c r="M563" s="47">
        <f ca="1">IFERROR(__xludf.DUMMYFUNCTION("IMPORTRANGE(""https://docs.google.com/spreadsheets/d/1-uDff_7J0KD5mKrp0Vvzr7lt3OU09vwQwhkpOPPYv2Y/edit?usp=sharing"",""งบพรบ!GM84"")"),0)</f>
        <v>0</v>
      </c>
      <c r="N563" s="47">
        <f ca="1">IFERROR(__xludf.DUMMYFUNCTION("IMPORTRANGE(""https://docs.google.com/spreadsheets/d/1-uDff_7J0KD5mKrp0Vvzr7lt3OU09vwQwhkpOPPYv2Y/edit?usp=sharing"",""งบพรบ!GO84"")"),0)</f>
        <v>0</v>
      </c>
      <c r="O563" s="47">
        <f ca="1">IF(L563&gt;0,N563*100/L563,0)</f>
        <v>0</v>
      </c>
      <c r="P563" s="47">
        <f ca="1">IF(M563&gt;0,N563*100/M563,0)</f>
        <v>0</v>
      </c>
      <c r="Q563" s="548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5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590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590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590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590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590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590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590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590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590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562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592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550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5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548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548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5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IFERROR(__xludf.DUMMYFUNCTION("IMPORTRANGE(""https://docs.google.com/spreadsheets/d/1-uDff_7J0KD5mKrp0Vvzr7lt3OU09vwQwhkpOPPYv2Y/edit?usp=sharing"",""งบพรบ!GQ84"")"),0)</f>
        <v>0</v>
      </c>
      <c r="M581" s="47">
        <f ca="1">IFERROR(__xludf.DUMMYFUNCTION("IMPORTRANGE(""https://docs.google.com/spreadsheets/d/1-uDff_7J0KD5mKrp0Vvzr7lt3OU09vwQwhkpOPPYv2Y/edit?usp=sharing"",""งบพรบ!GV84"")"),0)</f>
        <v>0</v>
      </c>
      <c r="N581" s="47">
        <f ca="1">IFERROR(__xludf.DUMMYFUNCTION("IMPORTRANGE(""https://docs.google.com/spreadsheets/d/1-uDff_7J0KD5mKrp0Vvzr7lt3OU09vwQwhkpOPPYv2Y/edit?usp=sharing"",""งบพรบ!GX84"")"),0)</f>
        <v>0</v>
      </c>
      <c r="O581" s="47">
        <f ca="1">IF(L581&gt;0,N581*100/L581,0)</f>
        <v>0</v>
      </c>
      <c r="P581" s="47">
        <f ca="1">IF(M581&gt;0,N581*100/M581,0)</f>
        <v>0</v>
      </c>
      <c r="Q581" s="548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548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5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IFERROR(__xludf.DUMMYFUNCTION("IMPORTRANGE(""https://docs.google.com/spreadsheets/d/1-uDff_7J0KD5mKrp0Vvzr7lt3OU09vwQwhkpOPPYv2Y/edit?usp=sharing"",""งบพรบ!GT84"")"),0)</f>
        <v>0</v>
      </c>
      <c r="M584" s="47">
        <f ca="1">IFERROR(__xludf.DUMMYFUNCTION("IMPORTRANGE(""https://docs.google.com/spreadsheets/d/1-uDff_7J0KD5mKrp0Vvzr7lt3OU09vwQwhkpOPPYv2Y/edit?usp=sharing"",""งบพรบ!GW84"")"),0)</f>
        <v>0</v>
      </c>
      <c r="N584" s="47">
        <f ca="1">IFERROR(__xludf.DUMMYFUNCTION("IMPORTRANGE(""https://docs.google.com/spreadsheets/d/1-uDff_7J0KD5mKrp0Vvzr7lt3OU09vwQwhkpOPPYv2Y/edit?usp=sharing"",""งบพรบ!GY84"")"),0)</f>
        <v>0</v>
      </c>
      <c r="O584" s="47">
        <f ca="1">IF(L584&gt;0,N584*100/L584,0)</f>
        <v>0</v>
      </c>
      <c r="P584" s="47">
        <f ca="1">IF(M584&gt;0,N584*100/M584,0)</f>
        <v>0</v>
      </c>
      <c r="Q584" s="548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5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590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590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590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590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590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590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590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590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590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562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781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583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583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550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5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548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548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5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IFERROR(__xludf.DUMMYFUNCTION("IMPORTRANGE(""https://docs.google.com/spreadsheets/d/1-uDff_7J0KD5mKrp0Vvzr7lt3OU09vwQwhkpOPPYv2Y/edit?usp=sharing"",""งบพรบ!HK84"")"),0)</f>
        <v>0</v>
      </c>
      <c r="M604" s="47">
        <f ca="1">IFERROR(__xludf.DUMMYFUNCTION("IMPORTRANGE(""https://docs.google.com/spreadsheets/d/1-uDff_7J0KD5mKrp0Vvzr7lt3OU09vwQwhkpOPPYv2Y/edit?usp=sharing"",""งบพรบ!HP84"")"),0)</f>
        <v>0</v>
      </c>
      <c r="N604" s="47">
        <f ca="1">IFERROR(__xludf.DUMMYFUNCTION("IMPORTRANGE(""https://docs.google.com/spreadsheets/d/1-uDff_7J0KD5mKrp0Vvzr7lt3OU09vwQwhkpOPPYv2Y/edit?usp=sharing"",""งบพรบ!HR84"")"),0)</f>
        <v>0</v>
      </c>
      <c r="O604" s="47">
        <f ca="1">IF(L604&gt;0,N604*100/L604,0)</f>
        <v>0</v>
      </c>
      <c r="P604" s="47">
        <f ca="1">IF(M604&gt;0,N604*100/M604,0)</f>
        <v>0</v>
      </c>
      <c r="Q604" s="548">
        <f ca="1">IFERROR(__xludf.DUMMYFUNCTION("IMPORTRANGE(""https://docs.google.com/spreadsheets/d/1ItG2mGa2ceCfYo0BwxsXqNm01IGEUdYcSSLTEv9YCik/edit?usp=sharing"",""เบิกจ่ายกองทุน!AV84"")"),0)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IFERROR(__xludf.DUMMYFUNCTION("IMPORTRANGE(""https://docs.google.com/spreadsheets/d/1ItG2mGa2ceCfYo0BwxsXqNm01IGEUdYcSSLTEv9YCik/edit?usp=sharing"",""เบิกจ่ายกองทุน!AW84"")"),0)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IFERROR(__xludf.DUMMYFUNCTION("IMPORTRANGE(""https://docs.google.com/spreadsheets/d/1ItG2mGa2ceCfYo0BwxsXqNm01IGEUdYcSSLTEv9YCik/edit?usp=sharing"",""เบิกจ่ายกองทุน!AX84"")"),0)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548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5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IFERROR(__xludf.DUMMYFUNCTION("IMPORTRANGE(""https://docs.google.com/spreadsheets/d/1-uDff_7J0KD5mKrp0Vvzr7lt3OU09vwQwhkpOPPYv2Y/edit?usp=sharing"",""งบพรบ!HN84"")"),0)</f>
        <v>0</v>
      </c>
      <c r="M607" s="47">
        <f ca="1">IFERROR(__xludf.DUMMYFUNCTION("IMPORTRANGE(""https://docs.google.com/spreadsheets/d/1-uDff_7J0KD5mKrp0Vvzr7lt3OU09vwQwhkpOPPYv2Y/edit?usp=sharing"",""งบพรบ!HQ84"")"),0)</f>
        <v>0</v>
      </c>
      <c r="N607" s="47">
        <f ca="1">IFERROR(__xludf.DUMMYFUNCTION("IMPORTRANGE(""https://docs.google.com/spreadsheets/d/1-uDff_7J0KD5mKrp0Vvzr7lt3OU09vwQwhkpOPPYv2Y/edit?usp=sharing"",""งบพรบ!HS84"")"),0)</f>
        <v>0</v>
      </c>
      <c r="O607" s="47">
        <f ca="1">IF(L607&gt;0,N607*100/L607,0)</f>
        <v>0</v>
      </c>
      <c r="P607" s="47">
        <f ca="1">IF(M607&gt;0,N607*100/M607,0)</f>
        <v>0</v>
      </c>
      <c r="Q607" s="548">
        <f ca="1">IFERROR(__xludf.DUMMYFUNCTION("IMPORTRANGE(""https://docs.google.com/spreadsheets/d/1ItG2mGa2ceCfYo0BwxsXqNm01IGEUdYcSSLTEv9YCik/edit?usp=sharing"",""เบิกจ่ายกองทุน!AY84"")"),0)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IFERROR(__xludf.DUMMYFUNCTION("IMPORTRANGE(""https://docs.google.com/spreadsheets/d/1ItG2mGa2ceCfYo0BwxsXqNm01IGEUdYcSSLTEv9YCik/edit?usp=sharing"",""เบิกจ่ายกองทุน!AZ84"")"),0)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IFERROR(__xludf.DUMMYFUNCTION("IMPORTRANGE(""https://docs.google.com/spreadsheets/d/1ItG2mGa2ceCfYo0BwxsXqNm01IGEUdYcSSLTEv9YCik/edit?usp=sharing"",""เบิกจ่ายกองทุน!BA84"")"),0)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5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5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5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5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3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571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55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569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550">
        <f ca="1">Q617+Q618</f>
        <v>6700</v>
      </c>
      <c r="R616" s="132">
        <f ca="1">R617+R618</f>
        <v>6700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5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548">
        <f ca="1">Q621+Q624</f>
        <v>6700</v>
      </c>
      <c r="R618" s="47">
        <f ca="1">R621+R624</f>
        <v>6700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548">
        <f ca="1">Q620+Q621</f>
        <v>6700</v>
      </c>
      <c r="R619" s="47">
        <f ca="1">R620+R621</f>
        <v>6700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5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548">
        <f ca="1">IFERROR(__xludf.DUMMYFUNCTION("IMPORTRANGE(""https://docs.google.com/spreadsheets/d/1ItG2mGa2ceCfYo0BwxsXqNm01IGEUdYcSSLTEv9YCik/edit?usp=sharing"",""เบิกจ่ายกองทุน!F84"")"),6700)</f>
        <v>6700</v>
      </c>
      <c r="R621" s="47">
        <f ca="1">IFERROR(__xludf.DUMMYFUNCTION("IMPORTRANGE(""https://docs.google.com/spreadsheets/d/1ItG2mGa2ceCfYo0BwxsXqNm01IGEUdYcSSLTEv9YCik/edit?usp=sharing"",""เบิกจ่ายกองทุน!G84"")"),6700)</f>
        <v>6700</v>
      </c>
      <c r="S621" s="47">
        <f ca="1">IFERROR(__xludf.DUMMYFUNCTION("IMPORTRANGE(""https://docs.google.com/spreadsheets/d/1ItG2mGa2ceCfYo0BwxsXqNm01IGEUdYcSSLTEv9YCik/edit?usp=sharing"",""เบิกจ่ายกองทุน!H84"")"),0)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548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5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548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558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IFERROR(__xludf.DUMMYFUNCTION("IMPORTRANGE(""https://docs.google.com/spreadsheets/d/1eHaY18a8A9IcSdp1K8H6x8fbOy06t2VsZHhMHf-1x7Y/edit?usp=sharing"",""แผน!ID84"")"),50)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558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IFERROR(__xludf.DUMMYFUNCTION("IMPORTRANGE(""https://docs.google.com/spreadsheets/d/1eHaY18a8A9IcSdp1K8H6x8fbOy06t2VsZHhMHf-1x7Y/edit?usp=sharing"",""แผน!IC84"")"),0)</f>
        <v>0</v>
      </c>
      <c r="J627" s="167">
        <v>0</v>
      </c>
      <c r="K627" s="47">
        <f ca="1">IF(I627&gt;0,(J628*100)/I627,0)</f>
        <v>0</v>
      </c>
      <c r="L627" s="558"/>
      <c r="M627" s="136"/>
      <c r="N627" s="136"/>
      <c r="O627" s="136"/>
      <c r="P627" s="136"/>
      <c r="Q627" s="558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IFERROR(__xludf.DUMMYFUNCTION("IMPORTRANGE(""https://docs.google.com/spreadsheets/d/1eHaY18a8A9IcSdp1K8H6x8fbOy06t2VsZHhMHf-1x7Y/edit?usp=sharing"",""แผน!IC84"")"),0)</f>
        <v>0</v>
      </c>
      <c r="J628" s="167">
        <v>8</v>
      </c>
      <c r="K628" s="47">
        <f ca="1">IF(I628&gt;0,(#REF!*100)/I628,0)</f>
        <v>0</v>
      </c>
      <c r="L628" s="558"/>
      <c r="M628" s="136"/>
      <c r="N628" s="136"/>
      <c r="O628" s="136"/>
      <c r="P628" s="136"/>
      <c r="Q628" s="558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558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558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558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558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558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558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IFERROR(__xludf.DUMMYFUNCTION("IMPORTRANGE(""https://docs.google.com/spreadsheets/d/1eHaY18a8A9IcSdp1K8H6x8fbOy06t2VsZHhMHf-1x7Y/edit?usp=sharing"",""แผน!IE84"")"),0)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558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558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558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558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558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558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569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550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5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548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548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5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548">
        <f ca="1">IFERROR(__xludf.DUMMYFUNCTION("IMPORTRANGE(""https://docs.google.com/spreadsheets/d/1ItG2mGa2ceCfYo0BwxsXqNm01IGEUdYcSSLTEv9YCik/edit?usp=sharing"",""เบิกจ่ายกองทุน!I84"")"),0)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IFERROR(__xludf.DUMMYFUNCTION("IMPORTRANGE(""https://docs.google.com/spreadsheets/d/1ItG2mGa2ceCfYo0BwxsXqNm01IGEUdYcSSLTEv9YCik/edit?usp=sharing"",""เบิกจ่ายกองทุน!J84"")"),0)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IFERROR(__xludf.DUMMYFUNCTION("IMPORTRANGE(""https://docs.google.com/spreadsheets/d/1ItG2mGa2ceCfYo0BwxsXqNm01IGEUdYcSSLTEv9YCik/edit?usp=sharing"",""เบิกจ่ายกองทุน!K84"")"),0)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548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5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548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5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IFERROR(__xludf.DUMMYFUNCTION("IMPORTRANGE(""https://docs.google.com/spreadsheets/d/1eHaY18a8A9IcSdp1K8H6x8fbOy06t2VsZHhMHf-1x7Y/edit?usp=sharing"",""แผน!IF84"")"),0)</f>
        <v>0</v>
      </c>
      <c r="J652" s="152">
        <f ca="1">IFERROR(__xludf.DUMMYFUNCTION("IMPORTRANGE(""https://docs.google.com/spreadsheets/d/1tdoBKaGub7dwA3U6UFTqxio9LNnvDCQjHKmttSEBsFQ/edit?usp=sharing"",""จัดที่ดิน!AU84"")"),0)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5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IFERROR(__xludf.DUMMYFUNCTION("IMPORTRANGE(""https://docs.google.com/spreadsheets/d/1eHaY18a8A9IcSdp1K8H6x8fbOy06t2VsZHhMHf-1x7Y/edit?usp=sharing"",""แผน!IG84"")"),0)</f>
        <v>0</v>
      </c>
      <c r="J653" s="152">
        <f ca="1">IFERROR(__xludf.DUMMYFUNCTION("IMPORTRANGE(""https://docs.google.com/spreadsheets/d/1tdoBKaGub7dwA3U6UFTqxio9LNnvDCQjHKmttSEBsFQ/edit?usp=sharing"",""จัดที่ดิน!AW84"")"),0)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5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IFERROR(__xludf.DUMMYFUNCTION("IMPORTRANGE(""https://docs.google.com/spreadsheets/d/1eHaY18a8A9IcSdp1K8H6x8fbOy06t2VsZHhMHf-1x7Y/edit?usp=sharing"",""แผน!IH84"")"),0)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5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5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5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IFERROR(__xludf.DUMMYFUNCTION("IMPORTRANGE(""https://docs.google.com/spreadsheets/d/1eHaY18a8A9IcSdp1K8H6x8fbOy06t2VsZHhMHf-1x7Y/edit?usp=sharing"",""แผน!II84"")"),0)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5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5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5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IFERROR(__xludf.DUMMYFUNCTION("IMPORTRANGE(""https://docs.google.com/spreadsheets/d/1eHaY18a8A9IcSdp1K8H6x8fbOy06t2VsZHhMHf-1x7Y/edit?usp=sharing"",""แผน!IJ84"")"),0)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5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IFERROR(__xludf.DUMMYFUNCTION("IMPORTRANGE(""https://docs.google.com/spreadsheets/d/1eHaY18a8A9IcSdp1K8H6x8fbOy06t2VsZHhMHf-1x7Y/edit?usp=sharing"",""แผน!IK84"")"),0)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5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567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567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567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567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567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567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567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567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567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IFERROR(__xludf.DUMMYFUNCTION("IMPORTRANGE(""https://docs.google.com/spreadsheets/d/1tdoBKaGub7dwA3U6UFTqxio9LNnvDCQjHKmttSEBsFQ/edit?usp=sharing"",""จัดที่ดิน!AY84"")"),0)</f>
        <v>0</v>
      </c>
      <c r="K671" s="46"/>
      <c r="L671" s="546"/>
      <c r="M671" s="46"/>
      <c r="N671" s="479"/>
      <c r="O671" s="46"/>
      <c r="P671" s="46"/>
      <c r="Q671" s="5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IFERROR(__xludf.DUMMYFUNCTION("IMPORTRANGE(""https://docs.google.com/spreadsheets/d/1tdoBKaGub7dwA3U6UFTqxio9LNnvDCQjHKmttSEBsFQ/edit?usp=sharing"",""จัดที่ดิน!AZ84"")"),0)</f>
        <v>0</v>
      </c>
      <c r="K672" s="46"/>
      <c r="L672" s="567"/>
      <c r="M672" s="46"/>
      <c r="N672" s="479"/>
      <c r="O672" s="46"/>
      <c r="P672" s="46"/>
      <c r="Q672" s="567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IFERROR(__xludf.DUMMYFUNCTION("IMPORTRANGE(""https://docs.google.com/spreadsheets/d/1eHaY18a8A9IcSdp1K8H6x8fbOy06t2VsZHhMHf-1x7Y/edit?usp=sharing"",""แผน!IL84"")"),0)</f>
        <v>0</v>
      </c>
      <c r="J673" s="152">
        <f ca="1">IFERROR(__xludf.DUMMYFUNCTION("IMPORTRANGE(""https://docs.google.com/spreadsheets/d/1tdoBKaGub7dwA3U6UFTqxio9LNnvDCQjHKmttSEBsFQ/edit?usp=sharing"",""จัดที่ดิน!BA84"")"),0)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567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IFERROR(__xludf.DUMMYFUNCTION("IMPORTRANGE(""https://docs.google.com/spreadsheets/d/1eHaY18a8A9IcSdp1K8H6x8fbOy06t2VsZHhMHf-1x7Y/edit?usp=sharing"",""แผน!IM84"")"),0)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567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IFERROR(__xludf.DUMMYFUNCTION("IMPORTRANGE(""https://docs.google.com/spreadsheets/d/1eHaY18a8A9IcSdp1K8H6x8fbOy06t2VsZHhMHf-1x7Y/edit?usp=sharing"",""แผน!IN84"")"),0)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5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IFERROR(__xludf.DUMMYFUNCTION("IMPORTRANGE(""https://docs.google.com/spreadsheets/d/1eHaY18a8A9IcSdp1K8H6x8fbOy06t2VsZHhMHf-1x7Y/edit?usp=sharing"",""แผน!IO84"")"),0)</f>
        <v>0</v>
      </c>
      <c r="J676" s="152">
        <f ca="1">IFERROR(__xludf.DUMMYFUNCTION("IMPORTRANGE(""https://docs.google.com/spreadsheets/d/1tdoBKaGub7dwA3U6UFTqxio9LNnvDCQjHKmttSEBsFQ/edit?usp=sharing"",""จัดที่ดิน!BF84"")"),0)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5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IFERROR(__xludf.DUMMYFUNCTION("IMPORTRANGE(""https://docs.google.com/spreadsheets/d/1tdoBKaGub7dwA3U6UFTqxio9LNnvDCQjHKmttSEBsFQ/edit?usp=sharing"",""จัดที่ดิน!BG84"")"),0)</f>
        <v>0</v>
      </c>
      <c r="K677" s="46"/>
      <c r="L677" s="567"/>
      <c r="M677" s="46"/>
      <c r="N677" s="479"/>
      <c r="O677" s="46"/>
      <c r="P677" s="46"/>
      <c r="Q677" s="567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IFERROR(__xludf.DUMMYFUNCTION("IMPORTRANGE(""https://docs.google.com/spreadsheets/d/1eHaY18a8A9IcSdp1K8H6x8fbOy06t2VsZHhMHf-1x7Y/edit?usp=sharing"",""แผน!IP84"")"),0)</f>
        <v>0</v>
      </c>
      <c r="J678" s="152">
        <f ca="1">IFERROR(__xludf.DUMMYFUNCTION("IMPORTRANGE(""https://docs.google.com/spreadsheets/d/1tdoBKaGub7dwA3U6UFTqxio9LNnvDCQjHKmttSEBsFQ/edit?usp=sharing"",""จัดที่ดิน!BH84"")"),0)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567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IFERROR(__xludf.DUMMYFUNCTION("IMPORTRANGE(""https://docs.google.com/spreadsheets/d/1eHaY18a8A9IcSdp1K8H6x8fbOy06t2VsZHhMHf-1x7Y/edit?usp=sharing"",""แผน!IQ84"")"),0)</f>
        <v>0</v>
      </c>
      <c r="J679" s="152">
        <f ca="1">IFERROR(__xludf.DUMMYFUNCTION("IMPORTRANGE(""https://docs.google.com/spreadsheets/d/1tdoBKaGub7dwA3U6UFTqxio9LNnvDCQjHKmttSEBsFQ/edit?usp=sharing"",""จัดที่ดิน!BK84"")"),0)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5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IFERROR(__xludf.DUMMYFUNCTION("IMPORTRANGE(""https://docs.google.com/spreadsheets/d/1tdoBKaGub7dwA3U6UFTqxio9LNnvDCQjHKmttSEBsFQ/edit?usp=sharing"",""จัดที่ดิน!BL84"")"),0)</f>
        <v>0</v>
      </c>
      <c r="K680" s="46"/>
      <c r="L680" s="567"/>
      <c r="M680" s="46"/>
      <c r="N680" s="479"/>
      <c r="O680" s="46"/>
      <c r="P680" s="46"/>
      <c r="Q680" s="567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IFERROR(__xludf.DUMMYFUNCTION("IMPORTRANGE(""https://docs.google.com/spreadsheets/d/1eHaY18a8A9IcSdp1K8H6x8fbOy06t2VsZHhMHf-1x7Y/edit?usp=sharing"",""แผน!IR84"")"),0)</f>
        <v>0</v>
      </c>
      <c r="J681" s="152">
        <f ca="1">IFERROR(__xludf.DUMMYFUNCTION("IMPORTRANGE(""https://docs.google.com/spreadsheets/d/1tdoBKaGub7dwA3U6UFTqxio9LNnvDCQjHKmttSEBsFQ/edit?usp=sharing"",""จัดที่ดิน!BM84"")"),0)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567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IFERROR(__xludf.DUMMYFUNCTION("IMPORTRANGE(""https://docs.google.com/spreadsheets/d/1eHaY18a8A9IcSdp1K8H6x8fbOy06t2VsZHhMHf-1x7Y/edit?usp=sharing"",""แผน!IS84"")"),0)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5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567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567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567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567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567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566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31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55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550">
        <f ca="1">Q691+Q692</f>
        <v>135150</v>
      </c>
      <c r="R690" s="132">
        <f ca="1">R691+R692</f>
        <v>135150</v>
      </c>
      <c r="S690" s="132">
        <f ca="1">S691+S692</f>
        <v>54191.47</v>
      </c>
      <c r="T690" s="132">
        <f ca="1">IF(Q690&gt;0,S690*100/Q690,0)</f>
        <v>40.097277099519054</v>
      </c>
      <c r="U690" s="132">
        <f ca="1">IF(R690&gt;0,S690*100/R690,0)</f>
        <v>40.097277099519054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5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548">
        <f ca="1">Q695+Q698</f>
        <v>135150</v>
      </c>
      <c r="R692" s="47">
        <f ca="1">R695+R698</f>
        <v>135150</v>
      </c>
      <c r="S692" s="47">
        <f ca="1">S695+S698</f>
        <v>54191.47</v>
      </c>
      <c r="T692" s="47">
        <f ca="1">IF(Q692&gt;0,S692*100/Q692,0)</f>
        <v>40.097277099519054</v>
      </c>
      <c r="U692" s="47">
        <f ca="1">IF(R692&gt;0,S692*100/R692,0)</f>
        <v>40.097277099519054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548">
        <f ca="1">Q694+Q695</f>
        <v>135150</v>
      </c>
      <c r="R693" s="47">
        <f ca="1">R694+R695</f>
        <v>135150</v>
      </c>
      <c r="S693" s="47">
        <f ca="1">S694+S695</f>
        <v>54191.47</v>
      </c>
      <c r="T693" s="47">
        <f ca="1">IF(Q693&gt;0,S693*100/Q693,0)</f>
        <v>40.097277099519054</v>
      </c>
      <c r="U693" s="47">
        <f ca="1">IF(R693&gt;0,S693*100/R693,0)</f>
        <v>40.097277099519054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5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548">
        <f ca="1">IFERROR(__xludf.DUMMYFUNCTION("IMPORTRANGE(""https://docs.google.com/spreadsheets/d/1ItG2mGa2ceCfYo0BwxsXqNm01IGEUdYcSSLTEv9YCik/edit?usp=sharing"",""เบิกจ่ายกองทุน!L84"")"),135150)</f>
        <v>135150</v>
      </c>
      <c r="R695" s="47">
        <f ca="1">IFERROR(__xludf.DUMMYFUNCTION("IMPORTRANGE(""https://docs.google.com/spreadsheets/d/1ItG2mGa2ceCfYo0BwxsXqNm01IGEUdYcSSLTEv9YCik/edit?usp=sharing"",""เบิกจ่ายกองทุน!M84"")"),135150)</f>
        <v>135150</v>
      </c>
      <c r="S695" s="47">
        <f ca="1">IFERROR(__xludf.DUMMYFUNCTION("IMPORTRANGE(""https://docs.google.com/spreadsheets/d/1ItG2mGa2ceCfYo0BwxsXqNm01IGEUdYcSSLTEv9YCik/edit?usp=sharing"",""เบิกจ่ายกองทุน!N84"")"),54191.47)</f>
        <v>54191.47</v>
      </c>
      <c r="T695" s="47">
        <f ca="1">IF(Q695&gt;0,S695*100/Q695,0)</f>
        <v>40.097277099519054</v>
      </c>
      <c r="U695" s="47">
        <f ca="1">IF(R695&gt;0,S695*100/R695,0)</f>
        <v>40.097277099519054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548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5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548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5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IFERROR(__xludf.DUMMYFUNCTION("IMPORTRANGE(""https://docs.google.com/spreadsheets/d/1eHaY18a8A9IcSdp1K8H6x8fbOy06t2VsZHhMHf-1x7Y/edit?usp=sharing"",""แผน!LC84"")"),0)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558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34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558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558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IFERROR(__xludf.DUMMYFUNCTION("IMPORTRANGE(""https://docs.google.com/spreadsheets/d/1eHaY18a8A9IcSdp1K8H6x8fbOy06t2VsZHhMHf-1x7Y/edit?usp=sharing"",""แผน!LJ84"")"),31)</f>
        <v>31</v>
      </c>
      <c r="J703" s="152">
        <f ca="1">IFERROR(__xludf.DUMMYFUNCTION("IMPORTRANGE(""https://docs.google.com/spreadsheets/d/1tdoBKaGub7dwA3U6UFTqxio9LNnvDCQjHKmttSEBsFQ/edit?usp=sharing"",""จัดที่ดิน!AP84"")"),0)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558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IFERROR(__xludf.DUMMYFUNCTION("IMPORTRANGE(""https://docs.google.com/spreadsheets/d/1tdoBKaGub7dwA3U6UFTqxio9LNnvDCQjHKmttSEBsFQ/edit?usp=sharing"",""จัดที่ดิน!AQ84"")"),0)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558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IFERROR(__xludf.DUMMYFUNCTION("IMPORTRANGE(""https://docs.google.com/spreadsheets/d/1eHaY18a8A9IcSdp1K8H6x8fbOy06t2VsZHhMHf-1x7Y/edit?usp=sharing"",""แผน!LK84"")"),3)</f>
        <v>3</v>
      </c>
      <c r="J705" s="152">
        <f ca="1">IFERROR(__xludf.DUMMYFUNCTION("IMPORTRANGE(""https://docs.google.com/spreadsheets/d/1tdoBKaGub7dwA3U6UFTqxio9LNnvDCQjHKmttSEBsFQ/edit?usp=sharing"",""จัดที่ดิน!AR84"")"),0)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558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IFERROR(__xludf.DUMMYFUNCTION("IMPORTRANGE(""https://docs.google.com/spreadsheets/d/1tdoBKaGub7dwA3U6UFTqxio9LNnvDCQjHKmttSEBsFQ/edit?usp=sharing"",""จัดที่ดิน!AS84"")"),0)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558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IFERROR(__xludf.DUMMYFUNCTION("IMPORTRANGE(""https://docs.google.com/spreadsheets/d/1eHaY18a8A9IcSdp1K8H6x8fbOy06t2VsZHhMHf-1x7Y/edit?usp=sharing"",""แผน!LJ84"")"),31)</f>
        <v>31</v>
      </c>
      <c r="J707" s="152">
        <f ca="1">IFERROR(__xludf.DUMMYFUNCTION("IMPORTRANGE(""https://docs.google.com/spreadsheets/d/1tdoBKaGub7dwA3U6UFTqxio9LNnvDCQjHKmttSEBsFQ/edit?usp=sharing"",""จัดที่ดิน!BN84"")"),0)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558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IFERROR(__xludf.DUMMYFUNCTION("IMPORTRANGE(""https://docs.google.com/spreadsheets/d/1tdoBKaGub7dwA3U6UFTqxio9LNnvDCQjHKmttSEBsFQ/edit?usp=sharing"",""จัดที่ดิน!BO84"")"),0)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558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IFERROR(__xludf.DUMMYFUNCTION("IMPORTRANGE(""https://docs.google.com/spreadsheets/d/1eHaY18a8A9IcSdp1K8H6x8fbOy06t2VsZHhMHf-1x7Y/edit?usp=sharing"",""แผน!LK84"")"),3)</f>
        <v>3</v>
      </c>
      <c r="J709" s="152">
        <f ca="1">IFERROR(__xludf.DUMMYFUNCTION("IMPORTRANGE(""https://docs.google.com/spreadsheets/d/1tdoBKaGub7dwA3U6UFTqxio9LNnvDCQjHKmttSEBsFQ/edit?usp=sharing"",""จัดที่ดิน!BP84"")"),0)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5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IFERROR(__xludf.DUMMYFUNCTION("IMPORTRANGE(""https://docs.google.com/spreadsheets/d/1tdoBKaGub7dwA3U6UFTqxio9LNnvDCQjHKmttSEBsFQ/edit?usp=sharing"",""จัดที่ดิน!BQ84"")"),0)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5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562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55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55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550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5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548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548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5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548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548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5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548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558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5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545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IFERROR(__xludf.DUMMYFUNCTION("IMPORTRANGE(""https://docs.google.com/spreadsheets/d/1eHaY18a8A9IcSdp1K8H6x8fbOy06t2VsZHhMHf-1x7Y/edit?usp=sharing"",""แผน!GA84"")"),11)</f>
        <v>11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55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IFERROR(__xludf.DUMMYFUNCTION("IMPORTRANGE(""https://docs.google.com/spreadsheets/d/1eHaY18a8A9IcSdp1K8H6x8fbOy06t2VsZHhMHf-1x7Y/edit?usp=sharing"",""แผน!FZ84"")"),100)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55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550">
        <f ca="1">Q729+Q730</f>
        <v>111882</v>
      </c>
      <c r="R728" s="132">
        <f ca="1">R729+R730</f>
        <v>111882</v>
      </c>
      <c r="S728" s="132">
        <f ca="1">S729+S730</f>
        <v>1240</v>
      </c>
      <c r="T728" s="132">
        <f ca="1">IF(Q728&gt;0,S728*100/Q728,0)</f>
        <v>1.1083105414633274</v>
      </c>
      <c r="U728" s="132">
        <f ca="1">IF(R728&gt;0,S728*100/R728,0)</f>
        <v>1.1083105414633274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5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548">
        <f ca="1">Q733+Q736</f>
        <v>111882</v>
      </c>
      <c r="R730" s="47">
        <f ca="1">R733+R736</f>
        <v>111882</v>
      </c>
      <c r="S730" s="47">
        <f ca="1">S733+S736</f>
        <v>1240</v>
      </c>
      <c r="T730" s="47">
        <f ca="1">IF(Q730&gt;0,S730*100/Q730,0)</f>
        <v>1.1083105414633274</v>
      </c>
      <c r="U730" s="47">
        <f ca="1">IF(R730&gt;0,S730*100/R730,0)</f>
        <v>1.1083105414633274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548">
        <f ca="1">Q732+Q733</f>
        <v>111882</v>
      </c>
      <c r="R731" s="47">
        <f ca="1">R732+R733</f>
        <v>111882</v>
      </c>
      <c r="S731" s="47">
        <f ca="1">S732+S733</f>
        <v>1240</v>
      </c>
      <c r="T731" s="47">
        <f ca="1">IF(Q731&gt;0,S731*100/Q731,0)</f>
        <v>1.1083105414633274</v>
      </c>
      <c r="U731" s="47">
        <f ca="1">IF(R731&gt;0,S731*100/R731,0)</f>
        <v>1.1083105414633274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5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548">
        <f ca="1">IFERROR(__xludf.DUMMYFUNCTION("IMPORTRANGE(""https://docs.google.com/spreadsheets/d/1ItG2mGa2ceCfYo0BwxsXqNm01IGEUdYcSSLTEv9YCik/edit?usp=sharing"",""เบิกจ่ายกองทุน!O84"")"),111882)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IFERROR(__xludf.DUMMYFUNCTION("IMPORTRANGE(""https://docs.google.com/spreadsheets/d/1ItG2mGa2ceCfYo0BwxsXqNm01IGEUdYcSSLTEv9YCik/edit?usp=sharing"",""เบิกจ่ายกองทุน!P84"")"),111882)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IFERROR(__xludf.DUMMYFUNCTION("IMPORTRANGE(""https://docs.google.com/spreadsheets/d/1ItG2mGa2ceCfYo0BwxsXqNm01IGEUdYcSSLTEv9YCik/edit?usp=sharing"",""เบิกจ่ายกองทุน!Q84"")"),1240)</f>
        <v>1240</v>
      </c>
      <c r="T733" s="47">
        <f ca="1">IF(Q733&gt;0,S733*100/Q733,0)</f>
        <v>1.1083105414633274</v>
      </c>
      <c r="U733" s="47">
        <f ca="1">IF(R733&gt;0,S733*100/R733,0)</f>
        <v>1.1083105414633274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548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5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548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5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5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5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IFERROR(__xludf.DUMMYFUNCTION("IMPORTRANGE(""https://docs.google.com/spreadsheets/d/1eHaY18a8A9IcSdp1K8H6x8fbOy06t2VsZHhMHf-1x7Y/edit?usp=sharing"",""แผน!GB84"")"),80)</f>
        <v>80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5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546"/>
      <c r="R741" s="46"/>
      <c r="S741" s="46"/>
      <c r="T741" s="46"/>
      <c r="U741" s="46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IFERROR(__xludf.DUMMYFUNCTION("IMPORTRANGE(""https://docs.google.com/spreadsheets/d/1eHaY18a8A9IcSdp1K8H6x8fbOy06t2VsZHhMHf-1x7Y/edit?usp=sharing"",""แผน!GC84"")"),8)</f>
        <v>8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546"/>
      <c r="R742" s="46"/>
      <c r="S742" s="46"/>
      <c r="T742" s="46"/>
      <c r="U742" s="46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546"/>
      <c r="R743" s="46"/>
      <c r="S743" s="46"/>
      <c r="T743" s="46"/>
      <c r="U743" s="46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IFERROR(__xludf.DUMMYFUNCTION("IMPORTRANGE(""https://docs.google.com/spreadsheets/d/1eHaY18a8A9IcSdp1K8H6x8fbOy06t2VsZHhMHf-1x7Y/edit?usp=sharing"",""แผน!GD84"")"),20)</f>
        <v>20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546"/>
      <c r="R744" s="46"/>
      <c r="S744" s="46"/>
      <c r="T744" s="46"/>
      <c r="U744" s="46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546"/>
      <c r="R745" s="46"/>
      <c r="S745" s="46"/>
      <c r="T745" s="46"/>
      <c r="U745" s="46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IFERROR(__xludf.DUMMYFUNCTION("IMPORTRANGE(""https://docs.google.com/spreadsheets/d/1eHaY18a8A9IcSdp1K8H6x8fbOy06t2VsZHhMHf-1x7Y/edit?usp=sharing"",""แผน!GE84"")"),2)</f>
        <v>2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546"/>
      <c r="R746" s="46"/>
      <c r="S746" s="46"/>
      <c r="T746" s="46"/>
      <c r="U746" s="46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546"/>
      <c r="R747" s="46"/>
      <c r="S747" s="46"/>
      <c r="T747" s="46"/>
      <c r="U747" s="46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546"/>
      <c r="R748" s="46"/>
      <c r="S748" s="46"/>
      <c r="T748" s="46"/>
      <c r="U748" s="46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IFERROR(__xludf.DUMMYFUNCTION("IMPORTRANGE(""https://docs.google.com/spreadsheets/d/1eHaY18a8A9IcSdp1K8H6x8fbOy06t2VsZHhMHf-1x7Y/edit?usp=sharing"",""แผน!GF84"")"),1)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546"/>
      <c r="R749" s="46"/>
      <c r="S749" s="46"/>
      <c r="T749" s="46"/>
      <c r="U749" s="46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546"/>
      <c r="R750" s="46"/>
      <c r="S750" s="46"/>
      <c r="T750" s="46"/>
      <c r="U750" s="46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546"/>
      <c r="R751" s="46"/>
      <c r="S751" s="46"/>
      <c r="T751" s="46"/>
      <c r="U751" s="46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IFERROR(__xludf.DUMMYFUNCTION("IMPORTRANGE(""https://docs.google.com/spreadsheets/d/1eHaY18a8A9IcSdp1K8H6x8fbOy06t2VsZHhMHf-1x7Y/edit?usp=sharing"",""แผน!GB84"")"),80)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546"/>
      <c r="R752" s="46"/>
      <c r="S752" s="46"/>
      <c r="T752" s="46"/>
      <c r="U752" s="46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546"/>
      <c r="R753" s="46"/>
      <c r="S753" s="46"/>
      <c r="T753" s="46"/>
      <c r="U753" s="46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546"/>
      <c r="R754" s="46"/>
      <c r="S754" s="46"/>
      <c r="T754" s="46"/>
      <c r="U754" s="46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IFERROR(__xludf.DUMMYFUNCTION("IMPORTRANGE(""https://docs.google.com/spreadsheets/d/1eHaY18a8A9IcSdp1K8H6x8fbOy06t2VsZHhMHf-1x7Y/edit?usp=sharing"",""แผน!GD84"")"),20)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546"/>
      <c r="R755" s="46"/>
      <c r="S755" s="46"/>
      <c r="T755" s="46"/>
      <c r="U755" s="46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5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558"/>
      <c r="R757" s="136"/>
      <c r="S757" s="136"/>
      <c r="T757" s="136"/>
      <c r="U757" s="136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55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55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550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5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548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548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5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548">
        <f ca="1">IFERROR(__xludf.DUMMYFUNCTION("IMPORTRANGE(""https://docs.google.com/spreadsheets/d/1ItG2mGa2ceCfYo0BwxsXqNm01IGEUdYcSSLTEv9YCik/edit?usp=sharing"",""เบิกจ่ายกองทุน!AA84"")"),0)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IFERROR(__xludf.DUMMYFUNCTION("IMPORTRANGE(""https://docs.google.com/spreadsheets/d/1ItG2mGa2ceCfYo0BwxsXqNm01IGEUdYcSSLTEv9YCik/edit?usp=sharing"",""เบิกจ่ายกองทุน!AB84"")"),0)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IFERROR(__xludf.DUMMYFUNCTION("IMPORTRANGE(""https://docs.google.com/spreadsheets/d/1ItG2mGa2ceCfYo0BwxsXqNm01IGEUdYcSSLTEv9YCik/edit?usp=sharing"",""เบิกจ่ายกองทุน!AC84"")"),0)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548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5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548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5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IFERROR(__xludf.DUMMYFUNCTION("IMPORTRANGE(""https://docs.google.com/spreadsheets/d/1eHaY18a8A9IcSdp1K8H6x8fbOy06t2VsZHhMHf-1x7Y/edit?usp=sharing"",""แผน!FI84"")"),0)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5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5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IFERROR(__xludf.DUMMYFUNCTION("IMPORTRANGE(""https://docs.google.com/spreadsheets/d/1eHaY18a8A9IcSdp1K8H6x8fbOy06t2VsZHhMHf-1x7Y/edit?usp=sharing"",""แผน!FQ84"")"),0)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5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5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IFERROR(__xludf.DUMMYFUNCTION("IMPORTRANGE(""https://docs.google.com/spreadsheets/d/1eHaY18a8A9IcSdp1K8H6x8fbOy06t2VsZHhMHf-1x7Y/edit?usp=sharing"",""แผน!FR84"")"),0)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5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IFERROR(__xludf.DUMMYFUNCTION("IMPORTRANGE(""https://docs.google.com/spreadsheets/d/1eHaY18a8A9IcSdp1K8H6x8fbOy06t2VsZHhMHf-1x7Y/edit?usp=sharing"",""แผน!FS84"")"),0)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5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IFERROR(__xludf.DUMMYFUNCTION("IMPORTRANGE(""https://docs.google.com/spreadsheets/d/1eHaY18a8A9IcSdp1K8H6x8fbOy06t2VsZHhMHf-1x7Y/edit?usp=sharing"",""แผน!FT84"")"),0)</f>
        <v>0</v>
      </c>
      <c r="J776" s="355">
        <v>0</v>
      </c>
      <c r="K776" s="4"/>
      <c r="L776" s="545"/>
      <c r="M776" s="4"/>
      <c r="N776" s="4"/>
      <c r="O776" s="4"/>
      <c r="P776" s="4"/>
      <c r="Q776" s="545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886"/>
      <c r="R777" s="885"/>
      <c r="S777" s="885"/>
      <c r="T777" s="885"/>
      <c r="U777" s="885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IFERROR(__xludf.DUMMYFUNCTION("IMPORTRANGE(""https://docs.google.com/spreadsheets/d/10OvvATaaLtwErnr3qtWFcTmtbfpFEt5Bsqel9sXx0uE/edit?usp=sharing"",""งานกองทุน!D84"")"),458739.33)</f>
        <v>458739.33</v>
      </c>
      <c r="J778" s="152">
        <f ca="1">IFERROR(__xludf.DUMMYFUNCTION("IMPORTRANGE(""https://docs.google.com/spreadsheets/d/10OvvATaaLtwErnr3qtWFcTmtbfpFEt5Bsqel9sXx0uE/edit?usp=sharing"",""งานกองทุน!F84"")"),261497.34)</f>
        <v>261497.34</v>
      </c>
      <c r="K778" s="47">
        <f ca="1">IF(I778&gt;0,J778*100/I778,0)</f>
        <v>57.003470794623169</v>
      </c>
      <c r="L778" s="46"/>
      <c r="M778" s="46"/>
      <c r="N778" s="46"/>
      <c r="O778" s="46"/>
      <c r="P778" s="46"/>
      <c r="Q778" s="5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IFERROR(__xludf.DUMMYFUNCTION("IMPORTRANGE(""https://docs.google.com/spreadsheets/d/10OvvATaaLtwErnr3qtWFcTmtbfpFEt5Bsqel9sXx0uE/edit?usp=sharing"",""งานกองทุน!C84"")"),46)</f>
        <v>46</v>
      </c>
      <c r="J779" s="152">
        <f ca="1">IFERROR(__xludf.DUMMYFUNCTION("IMPORTRANGE(""https://docs.google.com/spreadsheets/d/10OvvATaaLtwErnr3qtWFcTmtbfpFEt5Bsqel9sXx0uE/edit?usp=sharing"",""งานกองทุน!E84"")"),27)</f>
        <v>27</v>
      </c>
      <c r="K779" s="47">
        <f ca="1">IF(I779&gt;0,J779*100/I779,0)</f>
        <v>58.695652173913047</v>
      </c>
      <c r="L779" s="46"/>
      <c r="M779" s="46"/>
      <c r="N779" s="46"/>
      <c r="O779" s="46"/>
      <c r="P779" s="46"/>
      <c r="Q779" s="5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IFERROR(__xludf.DUMMYFUNCTION("IMPORTRANGE(""https://docs.google.com/spreadsheets/d/10OvvATaaLtwErnr3qtWFcTmtbfpFEt5Bsqel9sXx0uE/edit?usp=sharing"",""งานกองทุน!I84"")"),32247.44)</f>
        <v>32247.439999999999</v>
      </c>
      <c r="J780" s="152">
        <f ca="1">IFERROR(__xludf.DUMMYFUNCTION("IMPORTRANGE(""https://docs.google.com/spreadsheets/d/10OvvATaaLtwErnr3qtWFcTmtbfpFEt5Bsqel9sXx0uE/edit?usp=sharing"",""งานกองทุน!K84"")"),32247.44)</f>
        <v>32247.439999999999</v>
      </c>
      <c r="K780" s="47">
        <f ca="1">IF(I780&gt;0,J780*100/I780,0)</f>
        <v>100</v>
      </c>
      <c r="L780" s="46"/>
      <c r="M780" s="46"/>
      <c r="N780" s="46"/>
      <c r="O780" s="46"/>
      <c r="P780" s="46"/>
      <c r="Q780" s="5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IFERROR(__xludf.DUMMYFUNCTION("IMPORTRANGE(""https://docs.google.com/spreadsheets/d/10OvvATaaLtwErnr3qtWFcTmtbfpFEt5Bsqel9sXx0uE/edit?usp=sharing"",""งานกองทุน!H84"")"),3)</f>
        <v>3</v>
      </c>
      <c r="J781" s="152">
        <f ca="1">IFERROR(__xludf.DUMMYFUNCTION("IMPORTRANGE(""https://docs.google.com/spreadsheets/d/10OvvATaaLtwErnr3qtWFcTmtbfpFEt5Bsqel9sXx0uE/edit?usp=sharing"",""งานกองทุน!J84"")"),3)</f>
        <v>3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5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IFERROR(__xludf.DUMMYFUNCTION("IMPORTRANGE(""https://docs.google.com/spreadsheets/d/10OvvATaaLtwErnr3qtWFcTmtbfpFEt5Bsqel9sXx0uE/edit?usp=sharing"",""งานกองทุน!N84"")"),64187.59)</f>
        <v>64187.59</v>
      </c>
      <c r="J782" s="152">
        <f ca="1">IFERROR(__xludf.DUMMYFUNCTION("IMPORTRANGE(""https://docs.google.com/spreadsheets/d/10OvvATaaLtwErnr3qtWFcTmtbfpFEt5Bsqel9sXx0uE/edit?usp=sharing"",""งานกองทุน!P84"")"),24322.33)</f>
        <v>24322.33</v>
      </c>
      <c r="K782" s="47">
        <f ca="1">IF(I782&gt;0,J782*100/I782,0)</f>
        <v>37.89257393835787</v>
      </c>
      <c r="L782" s="46"/>
      <c r="M782" s="46"/>
      <c r="N782" s="46"/>
      <c r="O782" s="46"/>
      <c r="P782" s="46"/>
      <c r="Q782" s="5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IFERROR(__xludf.DUMMYFUNCTION("IMPORTRANGE(""https://docs.google.com/spreadsheets/d/10OvvATaaLtwErnr3qtWFcTmtbfpFEt5Bsqel9sXx0uE/edit?usp=sharing"",""งานกองทุน!M84"")"),149)</f>
        <v>149</v>
      </c>
      <c r="J783" s="152">
        <f ca="1">IFERROR(__xludf.DUMMYFUNCTION("IMPORTRANGE(""https://docs.google.com/spreadsheets/d/10OvvATaaLtwErnr3qtWFcTmtbfpFEt5Bsqel9sXx0uE/edit?usp=sharing"",""งานกองทุน!O84"")"),72)</f>
        <v>72</v>
      </c>
      <c r="K783" s="47">
        <f ca="1">IF(I783&gt;0,J783*100/I783,0)</f>
        <v>48.322147651006709</v>
      </c>
      <c r="L783" s="46"/>
      <c r="M783" s="46"/>
      <c r="N783" s="46"/>
      <c r="O783" s="46"/>
      <c r="P783" s="46"/>
      <c r="Q783" s="5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IFERROR(__xludf.DUMMYFUNCTION("IMPORTRANGE(""https://docs.google.com/spreadsheets/d/10OvvATaaLtwErnr3qtWFcTmtbfpFEt5Bsqel9sXx0uE/edit?usp=sharing"",""งานกองทุน!S84"")"),1372000)</f>
        <v>1372000</v>
      </c>
      <c r="J784" s="152">
        <f ca="1">IFERROR(__xludf.DUMMYFUNCTION("IMPORTRANGE(""https://docs.google.com/spreadsheets/d/10OvvATaaLtwErnr3qtWFcTmtbfpFEt5Bsqel9sXx0uE/edit?usp=sharing"",""งานกองทุน!U84"")"),1400000)</f>
        <v>1400000</v>
      </c>
      <c r="K784" s="47">
        <f ca="1">IF(I784&gt;0,J784*100/I784,0)</f>
        <v>102.04081632653062</v>
      </c>
      <c r="L784" s="46"/>
      <c r="M784" s="46"/>
      <c r="N784" s="46"/>
      <c r="O784" s="46"/>
      <c r="P784" s="46"/>
      <c r="Q784" s="5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IFERROR(__xludf.DUMMYFUNCTION("IMPORTRANGE(""https://docs.google.com/spreadsheets/d/10OvvATaaLtwErnr3qtWFcTmtbfpFEt5Bsqel9sXx0uE/edit?usp=sharing"",""งานกองทุน!R84"")"),49)</f>
        <v>49</v>
      </c>
      <c r="J785" s="197">
        <f ca="1">IFERROR(__xludf.DUMMYFUNCTION("IMPORTRANGE(""https://docs.google.com/spreadsheets/d/10OvvATaaLtwErnr3qtWFcTmtbfpFEt5Bsqel9sXx0uE/edit?usp=sharing"",""งานกองทุน!T84"")"),28)</f>
        <v>28</v>
      </c>
      <c r="K785" s="111">
        <f ca="1">IF(I785&gt;0,J785*100/I785,0)</f>
        <v>57.142857142857146</v>
      </c>
      <c r="L785" s="4"/>
      <c r="M785" s="4"/>
      <c r="N785" s="4"/>
      <c r="O785" s="4"/>
      <c r="P785" s="4"/>
      <c r="Q785" s="545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A05C6-BA46-496C-90CD-311911474C85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325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2976450</v>
      </c>
      <c r="M18" s="35">
        <f ca="1">M19+M20</f>
        <v>3009028</v>
      </c>
      <c r="N18" s="35">
        <f ca="1">N19+N20</f>
        <v>1409450.5299999998</v>
      </c>
      <c r="O18" s="35">
        <f ca="1">IF(L18&gt;0,N18*100/L18,0)</f>
        <v>47.353408590770876</v>
      </c>
      <c r="P18" s="35">
        <f ca="1">IF(M18&gt;0,N18*100/M18,0)</f>
        <v>46.840724978298631</v>
      </c>
      <c r="Q18" s="35">
        <f ca="1">Q19+Q20</f>
        <v>1150425</v>
      </c>
      <c r="R18" s="35">
        <f ca="1">R19+R20</f>
        <v>1150425</v>
      </c>
      <c r="S18" s="35">
        <f ca="1">S19+S20</f>
        <v>192844.1</v>
      </c>
      <c r="T18" s="35">
        <f ca="1">IF(Q18&gt;0,S18*100/Q18,0)</f>
        <v>16.762857204945998</v>
      </c>
      <c r="U18" s="35">
        <f ca="1">IF(R18&gt;0,S18*100/R18,0)</f>
        <v>16.762857204945998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2976450</v>
      </c>
      <c r="M20" s="39">
        <f ca="1">M23+M26</f>
        <v>3009028</v>
      </c>
      <c r="N20" s="39">
        <f ca="1">N23+N26</f>
        <v>1409450.5299999998</v>
      </c>
      <c r="O20" s="39">
        <f ca="1">IF(L20&gt;0,N20*100/L20,0)</f>
        <v>47.353408590770876</v>
      </c>
      <c r="P20" s="39">
        <f ca="1">IF(M20&gt;0,N20*100/M20,0)</f>
        <v>46.840724978298631</v>
      </c>
      <c r="Q20" s="39">
        <f ca="1">Q23+Q26</f>
        <v>1150425</v>
      </c>
      <c r="R20" s="39">
        <f ca="1">R23+R26</f>
        <v>1150425</v>
      </c>
      <c r="S20" s="39">
        <f ca="1">S23+S26</f>
        <v>192844.1</v>
      </c>
      <c r="T20" s="39">
        <f ca="1">IF(Q20&gt;0,S20*100/Q20,0)</f>
        <v>16.762857204945998</v>
      </c>
      <c r="U20" s="39">
        <f ca="1">IF(R20&gt;0,S20*100/R20,0)</f>
        <v>16.762857204945998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2084950</v>
      </c>
      <c r="M21" s="47">
        <f ca="1">M22+M23</f>
        <v>2117528</v>
      </c>
      <c r="N21" s="47">
        <f ca="1">N22+N23</f>
        <v>1367950.5299999998</v>
      </c>
      <c r="O21" s="47">
        <f ca="1">IF(L21&gt;0,N21*100/L21,0)</f>
        <v>65.610711527854377</v>
      </c>
      <c r="P21" s="47">
        <f ca="1">IF(M21&gt;0,N21*100/M21,0)</f>
        <v>64.601295945083123</v>
      </c>
      <c r="Q21" s="47">
        <f ca="1">Q22+Q23</f>
        <v>1150425</v>
      </c>
      <c r="R21" s="47">
        <f ca="1">R22+R23</f>
        <v>1150425</v>
      </c>
      <c r="S21" s="47">
        <f ca="1">S22+S23</f>
        <v>192844.1</v>
      </c>
      <c r="T21" s="47">
        <f ca="1">IF(Q21&gt;0,S21*100/Q21,0)</f>
        <v>16.762857204945998</v>
      </c>
      <c r="U21" s="47">
        <f ca="1">IF(R21&gt;0,S21*100/R21,0)</f>
        <v>16.762857204945998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2084950</v>
      </c>
      <c r="M23" s="47">
        <f ca="1">M49+M64+M77+M99+M122+M144+M162+M191+M178+M271+M287+M308+M325+M338+M361+M380+M418+M498+M518+M539+M560+M581+M604+M621+M647+M695+M719+M733+M765</f>
        <v>2117528</v>
      </c>
      <c r="N23" s="47">
        <f ca="1">N49+N64+N77+N99+N122+N144+N162+N191+N178+N271+N287+N308+N325+N338+N361+N380+N418+N498+N518+N539+N560+N581+N604+N621+N647+N695+N719+N733+N765</f>
        <v>1367950.5299999998</v>
      </c>
      <c r="O23" s="47">
        <f ca="1">IF(L23&gt;0,N23*100/L23,0)</f>
        <v>65.610711527854377</v>
      </c>
      <c r="P23" s="47">
        <f ca="1">IF(M23&gt;0,N23*100/M23,0)</f>
        <v>64.601295945083123</v>
      </c>
      <c r="Q23" s="47">
        <f ca="1">Q77+Q99+Q122+Q144+Q162+Q178+Q191+Q271+Q287+Q308+Q338+Q380+Q397+Q418+Q498+Q604+Q621+Q647+Q695+Q719+Q733+Q765</f>
        <v>1150425</v>
      </c>
      <c r="R23" s="47">
        <f ca="1">R77+R99+R122+R144+R162+R178+R191+R271+R287+R308+R338+R380+R397+R418+R498+R604+R621+R647+R695+R719+R733+R765</f>
        <v>1150425</v>
      </c>
      <c r="S23" s="47">
        <f ca="1">S77+S99+S122+S144+S162+S178+S191+S271+S287+S308+S338+S380+S397+S418+S498+S604+S621+S647+S695+S719+S733+S765</f>
        <v>192844.1</v>
      </c>
      <c r="T23" s="47">
        <f ca="1">IF(Q23&gt;0,S23*100/Q23,0)</f>
        <v>16.762857204945998</v>
      </c>
      <c r="U23" s="47">
        <f ca="1">IF(R23&gt;0,S23*100/R23,0)</f>
        <v>16.762857204945998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891500</v>
      </c>
      <c r="M24" s="47">
        <f ca="1">M25+M26</f>
        <v>891500</v>
      </c>
      <c r="N24" s="47">
        <f ca="1">N25+N26</f>
        <v>41500</v>
      </c>
      <c r="O24" s="47">
        <f ca="1">IF(L24&gt;0,N24*100/L24,0)</f>
        <v>4.655075715086932</v>
      </c>
      <c r="P24" s="47">
        <f ca="1">IF(M24&gt;0,N24*100/M24,0)</f>
        <v>4.655075715086932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891500</v>
      </c>
      <c r="M26" s="47">
        <f ca="1">M52+M67+M80+M102+M125+M147+M165+M194+M181+M274+M290+M311+M328+M341+M364+M383+M421+M501+M521+M542+M563+M584+M607+M624+M650+M698+M722+M736+M768</f>
        <v>891500</v>
      </c>
      <c r="N26" s="47">
        <f ca="1">N52+N67+N80+N102+N125+N147+N165+N194+N181+N274+N290+N311+N328+N341+N364+N383+N421+N501+N521+N542+N563+N584+N607+N624+N650+N698+N722+N736+N768</f>
        <v>41500</v>
      </c>
      <c r="O26" s="47">
        <f ca="1">IF(L26&gt;0,N26*100/L26,0)</f>
        <v>4.655075715086932</v>
      </c>
      <c r="P26" s="47">
        <f ca="1">IF(M26&gt;0,N26*100/M26,0)</f>
        <v>4.655075715086932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2965470</v>
      </c>
      <c r="M40" s="802">
        <f ca="1">M44+M59+M72+M94+M125+M139+M157+M173+M186+M266+M282+M303+M320+M333+M356</f>
        <v>2998048</v>
      </c>
      <c r="N40" s="802">
        <f ca="1">N44+N59+N72+N94+N125+N139+N157+N173+N186+N266+N282+N303+N320+N333+N356</f>
        <v>1409450.5299999998</v>
      </c>
      <c r="O40" s="802">
        <f ca="1">IF(L40&gt;0,N40*100/L40,0)</f>
        <v>47.528740132255585</v>
      </c>
      <c r="P40" s="802">
        <f ca="1">IF(M40&gt;0,N40*100/M40,0)</f>
        <v>47.012273652723366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212200</v>
      </c>
      <c r="M44" s="79">
        <f ca="1">M45+M46</f>
        <v>225218</v>
      </c>
      <c r="N44" s="79">
        <f ca="1">N45+N46</f>
        <v>129676</v>
      </c>
      <c r="O44" s="79">
        <f ca="1">IF(L44&gt;0,N44*100/L44,0)</f>
        <v>61.110273327049953</v>
      </c>
      <c r="P44" s="79">
        <f ca="1">IF(M44&gt;0,N44*100/M44,0)</f>
        <v>57.577991101954552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212200</v>
      </c>
      <c r="M46" s="83">
        <f ca="1">M49+M52</f>
        <v>225218</v>
      </c>
      <c r="N46" s="83">
        <f ca="1">N49+N52</f>
        <v>129676</v>
      </c>
      <c r="O46" s="83">
        <f ca="1">IF(L46&gt;0,N46*100/L46,0)</f>
        <v>61.110273327049953</v>
      </c>
      <c r="P46" s="83">
        <f ca="1">IF(M46&gt;0,N46*100/M46,0)</f>
        <v>57.577991101954552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212200</v>
      </c>
      <c r="M47" s="47">
        <f ca="1">M48+M49</f>
        <v>225218</v>
      </c>
      <c r="N47" s="47">
        <f ca="1">N48+N49</f>
        <v>129676</v>
      </c>
      <c r="O47" s="47">
        <f ca="1">IF(L47&gt;0,N47*100/L47,0)</f>
        <v>61.110273327049953</v>
      </c>
      <c r="P47" s="47">
        <f ca="1">IF(M47&gt;0,N47*100/M47,0)</f>
        <v>57.577991101954552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IFERROR(__xludf.DUMMYFUNCTION("IMPORTRANGE(""https://docs.google.com/spreadsheets/d/1-uDff_7J0KD5mKrp0Vvzr7lt3OU09vwQwhkpOPPYv2Y/edit?usp=sharing"",""งบพรบ!P85"")"),212200)</f>
        <v>212200</v>
      </c>
      <c r="M49" s="47">
        <f ca="1">IFERROR(__xludf.DUMMYFUNCTION("IMPORTRANGE(""https://docs.google.com/spreadsheets/d/1-uDff_7J0KD5mKrp0Vvzr7lt3OU09vwQwhkpOPPYv2Y/edit?usp=sharing"",""งบพรบ!V85"")"),225218)</f>
        <v>225218</v>
      </c>
      <c r="N49" s="47">
        <f ca="1">IFERROR(__xludf.DUMMYFUNCTION("IMPORTRANGE(""https://docs.google.com/spreadsheets/d/1-uDff_7J0KD5mKrp0Vvzr7lt3OU09vwQwhkpOPPYv2Y/edit?usp=sharing"",""งบพรบ!Y85"")"),129676)</f>
        <v>129676</v>
      </c>
      <c r="O49" s="47">
        <f ca="1">IF(L49&gt;0,N49*100/L49,0)</f>
        <v>61.110273327049953</v>
      </c>
      <c r="P49" s="47">
        <f ca="1">IF(M49&gt;0,N49*100/M49,0)</f>
        <v>57.577991101954552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IFERROR(__xludf.DUMMYFUNCTION("IMPORTRANGE(""https://docs.google.com/spreadsheets/d/1-uDff_7J0KD5mKrp0Vvzr7lt3OU09vwQwhkpOPPYv2Y/edit?usp=sharing"",""งบพรบ!S85"")"),0)</f>
        <v>0</v>
      </c>
      <c r="M52" s="47">
        <f ca="1">IFERROR(__xludf.DUMMYFUNCTION("IMPORTRANGE(""https://docs.google.com/spreadsheets/d/1-uDff_7J0KD5mKrp0Vvzr7lt3OU09vwQwhkpOPPYv2Y/edit?usp=sharing"",""งบพรบ!W85"")"),0)</f>
        <v>0</v>
      </c>
      <c r="N52" s="47">
        <f ca="1">IFERROR(__xludf.DUMMYFUNCTION("IMPORTRANGE(""https://docs.google.com/spreadsheets/d/1-uDff_7J0KD5mKrp0Vvzr7lt3OU09vwQwhkpOPPYv2Y/edit?usp=sharing"",""งบพรบ!Z85"")"),0)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690800</v>
      </c>
      <c r="M59" s="106">
        <f ca="1">M60+M61</f>
        <v>699800</v>
      </c>
      <c r="N59" s="106">
        <f ca="1">N60+N61</f>
        <v>503248.38</v>
      </c>
      <c r="O59" s="106">
        <f ca="1">IF(L59&gt;0,N59*100/L59,0)</f>
        <v>72.850083960625355</v>
      </c>
      <c r="P59" s="106">
        <f ca="1">IF(M59&gt;0,N59*100/M59,0)</f>
        <v>71.913172334952847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690800</v>
      </c>
      <c r="M61" s="109">
        <f ca="1">M64+M67</f>
        <v>699800</v>
      </c>
      <c r="N61" s="109">
        <f ca="1">N64+N67</f>
        <v>503248.38</v>
      </c>
      <c r="O61" s="109">
        <f ca="1">IF(L61&gt;0,N61*100/L61,0)</f>
        <v>72.850083960625355</v>
      </c>
      <c r="P61" s="109">
        <f ca="1">IF(M61&gt;0,N61*100/M61,0)</f>
        <v>71.913172334952847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649300</v>
      </c>
      <c r="M62" s="47">
        <f ca="1">M63+M64</f>
        <v>658300</v>
      </c>
      <c r="N62" s="47">
        <f ca="1">N63+N64</f>
        <v>461748.38</v>
      </c>
      <c r="O62" s="47">
        <f ca="1">IF(L62&gt;0,N62*100/L62,0)</f>
        <v>71.114797474202987</v>
      </c>
      <c r="P62" s="47">
        <f ca="1">IF(M62&gt;0,N62*100/M62,0)</f>
        <v>70.142545951693762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IFERROR(__xludf.DUMMYFUNCTION("IMPORTRANGE(""https://docs.google.com/spreadsheets/d/1-uDff_7J0KD5mKrp0Vvzr7lt3OU09vwQwhkpOPPYv2Y/edit?usp=sharing"",""งบพรบ!AC85"")"),649300)</f>
        <v>649300</v>
      </c>
      <c r="M64" s="47">
        <f ca="1">IFERROR(__xludf.DUMMYFUNCTION("IMPORTRANGE(""https://docs.google.com/spreadsheets/d/1-uDff_7J0KD5mKrp0Vvzr7lt3OU09vwQwhkpOPPYv2Y/edit?usp=sharing"",""งบพรบ!AH85"")"),658300)</f>
        <v>658300</v>
      </c>
      <c r="N64" s="47">
        <f ca="1">IFERROR(__xludf.DUMMYFUNCTION("IMPORTRANGE(""https://docs.google.com/spreadsheets/d/1-uDff_7J0KD5mKrp0Vvzr7lt3OU09vwQwhkpOPPYv2Y/edit?usp=sharing"",""งบพรบ!AJ85"")"),461748.38)</f>
        <v>461748.38</v>
      </c>
      <c r="O64" s="47">
        <f ca="1">IF(L64&gt;0,N64*100/L64,0)</f>
        <v>71.114797474202987</v>
      </c>
      <c r="P64" s="47">
        <f ca="1">IF(M64&gt;0,N64*100/M64,0)</f>
        <v>70.142545951693762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41500</v>
      </c>
      <c r="M65" s="47">
        <f ca="1">M66+M67</f>
        <v>41500</v>
      </c>
      <c r="N65" s="47">
        <f ca="1">N66+N67</f>
        <v>41500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IFERROR(__xludf.DUMMYFUNCTION("IMPORTRANGE(""https://docs.google.com/spreadsheets/d/1-uDff_7J0KD5mKrp0Vvzr7lt3OU09vwQwhkpOPPYv2Y/edit?usp=sharing"",""งบพรบ!AF85"")"),41500)</f>
        <v>41500</v>
      </c>
      <c r="M67" s="111">
        <f ca="1">IFERROR(__xludf.DUMMYFUNCTION("IMPORTRANGE(""https://docs.google.com/spreadsheets/d/1-uDff_7J0KD5mKrp0Vvzr7lt3OU09vwQwhkpOPPYv2Y/edit?usp=sharing"",""งบพรบ!AI85"")"),41500)</f>
        <v>41500</v>
      </c>
      <c r="N67" s="111">
        <f ca="1">IFERROR(__xludf.DUMMYFUNCTION("IMPORTRANGE(""https://docs.google.com/spreadsheets/d/1-uDff_7J0KD5mKrp0Vvzr7lt3OU09vwQwhkpOPPYv2Y/edit?usp=sharing"",""งบพรบ!AK85"")"),41500)</f>
        <v>41500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IFERROR(__xludf.DUMMYFUNCTION("IMPORTRANGE(""https://docs.google.com/spreadsheets/d/1-uDff_7J0KD5mKrp0Vvzr7lt3OU09vwQwhkpOPPYv2Y/edit?usp=sharing"",""งบพรบ!AM85"")"),0)</f>
        <v>0</v>
      </c>
      <c r="M77" s="47">
        <f ca="1">IFERROR(__xludf.DUMMYFUNCTION("IMPORTRANGE(""https://docs.google.com/spreadsheets/d/1-uDff_7J0KD5mKrp0Vvzr7lt3OU09vwQwhkpOPPYv2Y/edit?usp=sharing"",""งบพรบ!AR85"")"),0)</f>
        <v>0</v>
      </c>
      <c r="N77" s="47">
        <f ca="1">IFERROR(__xludf.DUMMYFUNCTION("IMPORTRANGE(""https://docs.google.com/spreadsheets/d/1-uDff_7J0KD5mKrp0Vvzr7lt3OU09vwQwhkpOPPYv2Y/edit?usp=sharing"",""งบพรบ!AT85"")"),0)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IFERROR(__xludf.DUMMYFUNCTION("IMPORTRANGE(""https://docs.google.com/spreadsheets/d/1-uDff_7J0KD5mKrp0Vvzr7lt3OU09vwQwhkpOPPYv2Y/edit?usp=sharing"",""งบพรบ!AP85"")"),0)</f>
        <v>0</v>
      </c>
      <c r="M80" s="47">
        <f ca="1">IFERROR(__xludf.DUMMYFUNCTION("IMPORTRANGE(""https://docs.google.com/spreadsheets/d/1-uDff_7J0KD5mKrp0Vvzr7lt3OU09vwQwhkpOPPYv2Y/edit?usp=sharing"",""งบพรบ!AS85"")"),0)</f>
        <v>0</v>
      </c>
      <c r="N80" s="47">
        <f ca="1">IFERROR(__xludf.DUMMYFUNCTION("IMPORTRANGE(""https://docs.google.com/spreadsheets/d/1-uDff_7J0KD5mKrp0Vvzr7lt3OU09vwQwhkpOPPYv2Y/edit?usp=sharing"",""งบพรบ!AU85"")"),0)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IFERROR(__xludf.DUMMYFUNCTION("IMPORTRANGE(""https://docs.google.com/spreadsheets/d/1-uDff_7J0KD5mKrp0Vvzr7lt3OU09vwQwhkpOPPYv2Y/edit?usp=sharing"",""งบพรบ!AW85"")"),0)</f>
        <v>0</v>
      </c>
      <c r="M99" s="47">
        <f ca="1">IFERROR(__xludf.DUMMYFUNCTION("IMPORTRANGE(""https://docs.google.com/spreadsheets/d/1-uDff_7J0KD5mKrp0Vvzr7lt3OU09vwQwhkpOPPYv2Y/edit?usp=sharing"",""งบพรบ!BB85"")"),0)</f>
        <v>0</v>
      </c>
      <c r="N99" s="47">
        <f ca="1">IFERROR(__xludf.DUMMYFUNCTION("IMPORTRANGE(""https://docs.google.com/spreadsheets/d/1-uDff_7J0KD5mKrp0Vvzr7lt3OU09vwQwhkpOPPYv2Y/edit?usp=sharing"",""งบพรบ!BD85"")"),0)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IFERROR(__xludf.DUMMYFUNCTION("IMPORTRANGE(""https://docs.google.com/spreadsheets/d/1-uDff_7J0KD5mKrp0Vvzr7lt3OU09vwQwhkpOPPYv2Y/edit?usp=sharing"",""งบพรบ!AZ85"")"),0)</f>
        <v>0</v>
      </c>
      <c r="M102" s="47">
        <f ca="1">IFERROR(__xludf.DUMMYFUNCTION("IMPORTRANGE(""https://docs.google.com/spreadsheets/d/1-uDff_7J0KD5mKrp0Vvzr7lt3OU09vwQwhkpOPPYv2Y/edit?usp=sharing"",""งบพรบ!BC85"")"),0)</f>
        <v>0</v>
      </c>
      <c r="N102" s="47">
        <f ca="1">IFERROR(__xludf.DUMMYFUNCTION("IMPORTRANGE(""https://docs.google.com/spreadsheets/d/1-uDff_7J0KD5mKrp0Vvzr7lt3OU09vwQwhkpOPPYv2Y/edit?usp=sharing"",""งบพรบ!BE85"")"),0)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78316</v>
      </c>
      <c r="T117" s="132">
        <f ca="1">IF(Q117&gt;0,S117*100/Q117,0)</f>
        <v>40.904627598453985</v>
      </c>
      <c r="U117" s="132">
        <f ca="1">IF(R117&gt;0,S117*100/R117,0)</f>
        <v>40.904627598453985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78316</v>
      </c>
      <c r="T119" s="47">
        <f ca="1">IF(Q119&gt;0,S119*100/Q119,0)</f>
        <v>40.904627598453985</v>
      </c>
      <c r="U119" s="47">
        <f ca="1">IF(R119&gt;0,S119*100/R119,0)</f>
        <v>40.904627598453985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78316</v>
      </c>
      <c r="T120" s="47">
        <f ca="1">IF(Q120&gt;0,S120*100/Q120,0)</f>
        <v>40.904627598453985</v>
      </c>
      <c r="U120" s="47">
        <f ca="1">IF(R120&gt;0,S120*100/R120,0)</f>
        <v>40.904627598453985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IFERROR(__xludf.DUMMYFUNCTION("IMPORTRANGE(""https://docs.google.com/spreadsheets/d/1-uDff_7J0KD5mKrp0Vvzr7lt3OU09vwQwhkpOPPYv2Y/edit?usp=sharing"",""งบพรบ!BG85"")"),0)</f>
        <v>0</v>
      </c>
      <c r="M122" s="47">
        <f ca="1">IFERROR(__xludf.DUMMYFUNCTION("IMPORTRANGE(""https://docs.google.com/spreadsheets/d/1-uDff_7J0KD5mKrp0Vvzr7lt3OU09vwQwhkpOPPYv2Y/edit?usp=sharing"",""งบพรบ!BL85"")"),0)</f>
        <v>0</v>
      </c>
      <c r="N122" s="47">
        <f ca="1">IFERROR(__xludf.DUMMYFUNCTION("IMPORTRANGE(""https://docs.google.com/spreadsheets/d/1-uDff_7J0KD5mKrp0Vvzr7lt3OU09vwQwhkpOPPYv2Y/edit?usp=sharing"",""งบพรบ!BN85"")"),0)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IFERROR(__xludf.DUMMYFUNCTION("IMPORTRANGE(""https://docs.google.com/spreadsheets/d/1ItG2mGa2ceCfYo0BwxsXqNm01IGEUdYcSSLTEv9YCik/edit?usp=sharing"",""เบิกจ่ายกองทุน!W85"")"),78316)</f>
        <v>78316</v>
      </c>
      <c r="T122" s="47">
        <f ca="1">IF(Q122&gt;0,S122*100/Q122,0)</f>
        <v>40.904627598453985</v>
      </c>
      <c r="U122" s="47">
        <f ca="1">IF(R122&gt;0,S122*100/R122,0)</f>
        <v>40.904627598453985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IFERROR(__xludf.DUMMYFUNCTION("IMPORTRANGE(""https://docs.google.com/spreadsheets/d/1-uDff_7J0KD5mKrp0Vvzr7lt3OU09vwQwhkpOPPYv2Y/edit?usp=sharing"",""งบพรบ!BJ85"")"),0)</f>
        <v>0</v>
      </c>
      <c r="M125" s="47">
        <f ca="1">IFERROR(__xludf.DUMMYFUNCTION("IMPORTRANGE(""https://docs.google.com/spreadsheets/d/1-uDff_7J0KD5mKrp0Vvzr7lt3OU09vwQwhkpOPPYv2Y/edit?usp=sharing"",""งบพรบ!BM85"")"),0)</f>
        <v>0</v>
      </c>
      <c r="N125" s="47">
        <f ca="1">IFERROR(__xludf.DUMMYFUNCTION("IMPORTRANGE(""https://docs.google.com/spreadsheets/d/1-uDff_7J0KD5mKrp0Vvzr7lt3OU09vwQwhkpOPPYv2Y/edit?usp=sharing"",""งบพรบ!BO85"")"),0)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IFERROR(__xludf.DUMMYFUNCTION("IMPORTRANGE(""https://docs.google.com/spreadsheets/d/1eHaY18a8A9IcSdp1K8H6x8fbOy06t2VsZHhMHf-1x7Y/edit?usp=sharing"",""แผน!FG85"")"),0)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IFERROR(__xludf.DUMMYFUNCTION("IMPORTRANGE(""https://docs.google.com/spreadsheets/d/1eHaY18a8A9IcSdp1K8H6x8fbOy06t2VsZHhMHf-1x7Y/edit?usp=sharing"",""แผน!FI85"")"),0)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30</v>
      </c>
      <c r="J137" s="127">
        <f>J152</f>
        <v>30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3</v>
      </c>
      <c r="J138" s="127">
        <f>J153</f>
        <v>3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66500</v>
      </c>
      <c r="M139" s="132">
        <f ca="1">M140+M141</f>
        <v>61500</v>
      </c>
      <c r="N139" s="132">
        <f ca="1">N140+N141</f>
        <v>53811</v>
      </c>
      <c r="O139" s="132">
        <f ca="1">IF(L139&gt;0,N139*100/L139,0)</f>
        <v>80.918796992481205</v>
      </c>
      <c r="P139" s="132">
        <f ca="1">IF(M139&gt;0,N139*100/M139,0)</f>
        <v>87.497560975609758</v>
      </c>
      <c r="Q139" s="132">
        <f ca="1">Q140+Q141</f>
        <v>304860</v>
      </c>
      <c r="R139" s="132">
        <f ca="1">R140+R141</f>
        <v>304860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66500</v>
      </c>
      <c r="M141" s="47">
        <f ca="1">M144+M147</f>
        <v>61500</v>
      </c>
      <c r="N141" s="47">
        <f ca="1">N144+N147</f>
        <v>53811</v>
      </c>
      <c r="O141" s="47">
        <f ca="1">IF(L141&gt;0,N141*100/L141,0)</f>
        <v>80.918796992481205</v>
      </c>
      <c r="P141" s="47">
        <f ca="1">IF(M141&gt;0,N141*100/M141,0)</f>
        <v>87.497560975609758</v>
      </c>
      <c r="Q141" s="47">
        <f ca="1">Q144+Q147</f>
        <v>304860</v>
      </c>
      <c r="R141" s="47">
        <f ca="1">R144+R147</f>
        <v>304860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66500</v>
      </c>
      <c r="M142" s="47">
        <f ca="1">M143+M144</f>
        <v>61500</v>
      </c>
      <c r="N142" s="47">
        <f ca="1">N143+N144</f>
        <v>53811</v>
      </c>
      <c r="O142" s="47">
        <f ca="1">IF(L142&gt;0,N142*100/L142,0)</f>
        <v>80.918796992481205</v>
      </c>
      <c r="P142" s="47">
        <f ca="1">IF(M142&gt;0,N142*100/M142,0)</f>
        <v>87.497560975609758</v>
      </c>
      <c r="Q142" s="47">
        <f ca="1">Q143+Q144</f>
        <v>304860</v>
      </c>
      <c r="R142" s="47">
        <f ca="1">R143+R144</f>
        <v>304860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IFERROR(__xludf.DUMMYFUNCTION("IMPORTRANGE(""https://docs.google.com/spreadsheets/d/1-uDff_7J0KD5mKrp0Vvzr7lt3OU09vwQwhkpOPPYv2Y/edit?usp=sharing"",""งบพรบ!BQ85"")"),66500)</f>
        <v>66500</v>
      </c>
      <c r="M144" s="47">
        <f ca="1">IFERROR(__xludf.DUMMYFUNCTION("IMPORTRANGE(""https://docs.google.com/spreadsheets/d/1-uDff_7J0KD5mKrp0Vvzr7lt3OU09vwQwhkpOPPYv2Y/edit?usp=sharing"",""งบพรบ!BV85"")"),61500)</f>
        <v>61500</v>
      </c>
      <c r="N144" s="47">
        <f ca="1">IFERROR(__xludf.DUMMYFUNCTION("IMPORTRANGE(""https://docs.google.com/spreadsheets/d/1-uDff_7J0KD5mKrp0Vvzr7lt3OU09vwQwhkpOPPYv2Y/edit?usp=sharing"",""งบพรบ!BX85"")"),53811)</f>
        <v>53811</v>
      </c>
      <c r="O144" s="47">
        <f ca="1">IF(L144&gt;0,N144*100/L144,0)</f>
        <v>80.918796992481205</v>
      </c>
      <c r="P144" s="47">
        <f ca="1">IF(M144&gt;0,N144*100/M144,0)</f>
        <v>87.497560975609758</v>
      </c>
      <c r="Q144" s="47">
        <f ca="1">IFERROR(__xludf.DUMMYFUNCTION("IMPORTRANGE(""https://docs.google.com/spreadsheets/d/1ItG2mGa2ceCfYo0BwxsXqNm01IGEUdYcSSLTEv9YCik/edit?usp=sharing"",""เบิกจ่ายกองทุน!CF85"")"),304860)</f>
        <v>304860</v>
      </c>
      <c r="R144" s="47">
        <f ca="1">IFERROR(__xludf.DUMMYFUNCTION("IMPORTRANGE(""https://docs.google.com/spreadsheets/d/1ItG2mGa2ceCfYo0BwxsXqNm01IGEUdYcSSLTEv9YCik/edit?usp=sharing"",""เบิกจ่ายกองทุน!CG85"")"),304860)</f>
        <v>304860</v>
      </c>
      <c r="S144" s="47">
        <f ca="1">IFERROR(__xludf.DUMMYFUNCTION("IMPORTRANGE(""https://docs.google.com/spreadsheets/d/1ItG2mGa2ceCfYo0BwxsXqNm01IGEUdYcSSLTEv9YCik/edit?usp=sharing"",""เบิกจ่ายกองทุน!CH85"")"),0)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IFERROR(__xludf.DUMMYFUNCTION("IMPORTRANGE(""https://docs.google.com/spreadsheets/d/1-uDff_7J0KD5mKrp0Vvzr7lt3OU09vwQwhkpOPPYv2Y/edit?usp=sharing"",""งบพรบ!BT85"")"),0)</f>
        <v>0</v>
      </c>
      <c r="M147" s="47">
        <f ca="1">IFERROR(__xludf.DUMMYFUNCTION("IMPORTRANGE(""https://docs.google.com/spreadsheets/d/1-uDff_7J0KD5mKrp0Vvzr7lt3OU09vwQwhkpOPPYv2Y/edit?usp=sharing"",""งบพรบ!BW85"")"),0)</f>
        <v>0</v>
      </c>
      <c r="N147" s="47">
        <f ca="1">IFERROR(__xludf.DUMMYFUNCTION("IMPORTRANGE(""https://docs.google.com/spreadsheets/d/1-uDff_7J0KD5mKrp0Vvzr7lt3OU09vwQwhkpOPPYv2Y/edit?usp=sharing"",""งบพรบ!BY85"")"),0)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IFERROR(__xludf.DUMMYFUNCTION("IMPORTRANGE(""https://docs.google.com/spreadsheets/d/1eHaY18a8A9IcSdp1K8H6x8fbOy06t2VsZHhMHf-1x7Y/edit?usp=sharing"",""แผน!U85"")"),20)</f>
        <v>20</v>
      </c>
      <c r="J150" s="167">
        <v>20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IFERROR(__xludf.DUMMYFUNCTION("IMPORTRANGE(""https://docs.google.com/spreadsheets/d/1eHaY18a8A9IcSdp1K8H6x8fbOy06t2VsZHhMHf-1x7Y/edit?usp=sharing"",""แผน!V85"")"),2)</f>
        <v>2</v>
      </c>
      <c r="J151" s="167">
        <v>2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IFERROR(__xludf.DUMMYFUNCTION("IMPORTRANGE(""https://docs.google.com/spreadsheets/d/1eHaY18a8A9IcSdp1K8H6x8fbOy06t2VsZHhMHf-1x7Y/edit?usp=sharing"",""แผน!W85"")"),30)</f>
        <v>30</v>
      </c>
      <c r="J152" s="167">
        <v>30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IFERROR(__xludf.DUMMYFUNCTION("IMPORTRANGE(""https://docs.google.com/spreadsheets/d/1eHaY18a8A9IcSdp1K8H6x8fbOy06t2VsZHhMHf-1x7Y/edit?usp=sharing"",""แผน!X85"")"),3)</f>
        <v>3</v>
      </c>
      <c r="J153" s="167">
        <v>3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IFERROR(__xludf.DUMMYFUNCTION("IMPORTRANGE(""https://docs.google.com/spreadsheets/d/1eHaY18a8A9IcSdp1K8H6x8fbOy06t2VsZHhMHf-1x7Y/edit?usp=sharing"",""แผน!Y85"")"),2)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IFERROR(__xludf.DUMMYFUNCTION("IMPORTRANGE(""https://docs.google.com/spreadsheets/d/1-uDff_7J0KD5mKrp0Vvzr7lt3OU09vwQwhkpOPPYv2Y/edit?usp=sharing"",""งบพรบ!CA85"")"),0)</f>
        <v>0</v>
      </c>
      <c r="M162" s="47">
        <f ca="1">IFERROR(__xludf.DUMMYFUNCTION("IMPORTRANGE(""https://docs.google.com/spreadsheets/d/1-uDff_7J0KD5mKrp0Vvzr7lt3OU09vwQwhkpOPPYv2Y/edit?usp=sharing"",""งบพรบ!CF85"")"),0)</f>
        <v>0</v>
      </c>
      <c r="N162" s="47">
        <f ca="1">IFERROR(__xludf.DUMMYFUNCTION("IMPORTRANGE(""https://docs.google.com/spreadsheets/d/1-uDff_7J0KD5mKrp0Vvzr7lt3OU09vwQwhkpOPPYv2Y/edit?usp=sharing"",""งบพรบ!CH85"")"),0)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IFERROR(__xludf.DUMMYFUNCTION("IMPORTRANGE(""https://docs.google.com/spreadsheets/d/1-uDff_7J0KD5mKrp0Vvzr7lt3OU09vwQwhkpOPPYv2Y/edit?usp=sharing"",""งบพรบ!CD85"")"),0)</f>
        <v>0</v>
      </c>
      <c r="M165" s="47">
        <f ca="1">IFERROR(__xludf.DUMMYFUNCTION("IMPORTRANGE(""https://docs.google.com/spreadsheets/d/1-uDff_7J0KD5mKrp0Vvzr7lt3OU09vwQwhkpOPPYv2Y/edit?usp=sharing"",""งบพรบ!CG85"")"),0)</f>
        <v>0</v>
      </c>
      <c r="N165" s="47">
        <f ca="1">IFERROR(__xludf.DUMMYFUNCTION("IMPORTRANGE(""https://docs.google.com/spreadsheets/d/1-uDff_7J0KD5mKrp0Vvzr7lt3OU09vwQwhkpOPPYv2Y/edit?usp=sharing"",""งบพรบ!CI85"")"),0)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IFERROR(__xludf.DUMMYFUNCTION("IMPORTRANGE(""https://docs.google.com/spreadsheets/d/1eHaY18a8A9IcSdp1K8H6x8fbOy06t2VsZHhMHf-1x7Y/edit?usp=sharing"",""แผน!Z85"")"),0)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IFERROR(__xludf.DUMMYFUNCTION("IMPORTRANGE(""https://docs.google.com/spreadsheets/d/1eHaY18a8A9IcSdp1K8H6x8fbOy06t2VsZHhMHf-1x7Y/edit?usp=sharing"",""แผน!Z85"")"),0)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35150</v>
      </c>
      <c r="N173" s="132">
        <f ca="1">N174+N175</f>
        <v>34641</v>
      </c>
      <c r="O173" s="132">
        <f ca="1">IF(L173&gt;0,N173*100/L173,0)</f>
        <v>176.83001531393569</v>
      </c>
      <c r="P173" s="132">
        <f ca="1">IF(M173&gt;0,N173*100/M173,0)</f>
        <v>98.551920341394023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35150</v>
      </c>
      <c r="N175" s="47">
        <f ca="1">N178+N181</f>
        <v>34641</v>
      </c>
      <c r="O175" s="47">
        <f ca="1">IF(L175&gt;0,N175*100/L175,0)</f>
        <v>176.83001531393569</v>
      </c>
      <c r="P175" s="47">
        <f ca="1">IF(M175&gt;0,N175*100/M175,0)</f>
        <v>98.551920341394023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35150</v>
      </c>
      <c r="N176" s="47">
        <f ca="1">N177+N178</f>
        <v>34641</v>
      </c>
      <c r="O176" s="47">
        <f ca="1">IF(L176&gt;0,N176*100/L176,0)</f>
        <v>176.83001531393569</v>
      </c>
      <c r="P176" s="47">
        <f ca="1">IF(M176&gt;0,N176*100/M176,0)</f>
        <v>98.551920341394023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IFERROR(__xludf.DUMMYFUNCTION("IMPORTRANGE(""https://docs.google.com/spreadsheets/d/1-uDff_7J0KD5mKrp0Vvzr7lt3OU09vwQwhkpOPPYv2Y/edit?usp=sharing"",""งบพรบ!CK85"")"),19590)</f>
        <v>19590</v>
      </c>
      <c r="M178" s="47">
        <f ca="1">IFERROR(__xludf.DUMMYFUNCTION("IMPORTRANGE(""https://docs.google.com/spreadsheets/d/1-uDff_7J0KD5mKrp0Vvzr7lt3OU09vwQwhkpOPPYv2Y/edit?usp=sharing"",""งบพรบ!CP85"")"),35150)</f>
        <v>35150</v>
      </c>
      <c r="N178" s="47">
        <f ca="1">IFERROR(__xludf.DUMMYFUNCTION("IMPORTRANGE(""https://docs.google.com/spreadsheets/d/1-uDff_7J0KD5mKrp0Vvzr7lt3OU09vwQwhkpOPPYv2Y/edit?usp=sharing"",""งบพรบ!CR85"")"),34641)</f>
        <v>34641</v>
      </c>
      <c r="O178" s="47">
        <f ca="1">IF(L178&gt;0,N178*100/L178,0)</f>
        <v>176.83001531393569</v>
      </c>
      <c r="P178" s="47">
        <f ca="1">IF(M178&gt;0,N178*100/M178,0)</f>
        <v>98.551920341394023</v>
      </c>
      <c r="Q178" s="47">
        <f ca="1">IFERROR(__xludf.DUMMYFUNCTION("IMPORTRANGE(""https://docs.google.com/spreadsheets/d/1ItG2mGa2ceCfYo0BwxsXqNm01IGEUdYcSSLTEv9YCik/edit?usp=sharing"",""เบิกจ่ายกองทุน!DG85"")"),0)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IFERROR(__xludf.DUMMYFUNCTION("IMPORTRANGE(""https://docs.google.com/spreadsheets/d/1-uDff_7J0KD5mKrp0Vvzr7lt3OU09vwQwhkpOPPYv2Y/edit?usp=sharing"",""งบพรบ!CN85"")"),0)</f>
        <v>0</v>
      </c>
      <c r="M181" s="47">
        <f ca="1">IFERROR(__xludf.DUMMYFUNCTION("IMPORTRANGE(""https://docs.google.com/spreadsheets/d/1-uDff_7J0KD5mKrp0Vvzr7lt3OU09vwQwhkpOPPYv2Y/edit?usp=sharing"",""งบพรบ!CQ85"")"),0)</f>
        <v>0</v>
      </c>
      <c r="N181" s="47">
        <f ca="1">IFERROR(__xludf.DUMMYFUNCTION("IMPORTRANGE(""https://docs.google.com/spreadsheets/d/1-uDff_7J0KD5mKrp0Vvzr7lt3OU09vwQwhkpOPPYv2Y/edit?usp=sharing"",""งบพรบ!CS85"")"),0)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401900</v>
      </c>
      <c r="M186" s="132">
        <f ca="1">M187+M188</f>
        <v>401900</v>
      </c>
      <c r="N186" s="132">
        <f ca="1">N187+N188</f>
        <v>271349.53999999998</v>
      </c>
      <c r="O186" s="132">
        <f ca="1">IF(L186&gt;0,N186*100/L186,0)</f>
        <v>67.516680766359784</v>
      </c>
      <c r="P186" s="132">
        <f ca="1">IF(M186&gt;0,N186*100/M186,0)</f>
        <v>67.516680766359784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401900</v>
      </c>
      <c r="M188" s="47">
        <f ca="1">M191+M194</f>
        <v>401900</v>
      </c>
      <c r="N188" s="47">
        <f ca="1">N191+N194</f>
        <v>271349.53999999998</v>
      </c>
      <c r="O188" s="47">
        <f ca="1">IF(L188&gt;0,N188*100/L188,0)</f>
        <v>67.516680766359784</v>
      </c>
      <c r="P188" s="47">
        <f ca="1">IF(M188&gt;0,N188*100/M188,0)</f>
        <v>67.516680766359784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401900</v>
      </c>
      <c r="M189" s="47">
        <f ca="1">M190+M191</f>
        <v>401900</v>
      </c>
      <c r="N189" s="47">
        <f ca="1">N190+N191</f>
        <v>271349.53999999998</v>
      </c>
      <c r="O189" s="47">
        <f ca="1">IF(L189&gt;0,N189*100/L189,0)</f>
        <v>67.516680766359784</v>
      </c>
      <c r="P189" s="47">
        <f ca="1">IF(M189&gt;0,N189*100/M189,0)</f>
        <v>67.516680766359784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IFERROR(__xludf.DUMMYFUNCTION("IMPORTRANGE(""https://docs.google.com/spreadsheets/d/1-uDff_7J0KD5mKrp0Vvzr7lt3OU09vwQwhkpOPPYv2Y/edit?usp=sharing"",""งบพรบ!CU85"")"),401900)</f>
        <v>401900</v>
      </c>
      <c r="M191" s="47">
        <f ca="1">IFERROR(__xludf.DUMMYFUNCTION("IMPORTRANGE(""https://docs.google.com/spreadsheets/d/1-uDff_7J0KD5mKrp0Vvzr7lt3OU09vwQwhkpOPPYv2Y/edit?usp=sharing"",""งบพรบ!CZ85"")"),401900)</f>
        <v>401900</v>
      </c>
      <c r="N191" s="47">
        <f ca="1">IFERROR(__xludf.DUMMYFUNCTION("IMPORTRANGE(""https://docs.google.com/spreadsheets/d/1-uDff_7J0KD5mKrp0Vvzr7lt3OU09vwQwhkpOPPYv2Y/edit?usp=sharing"",""งบพรบ!DB85"")"),271349.54)</f>
        <v>271349.53999999998</v>
      </c>
      <c r="O191" s="47">
        <f ca="1">IF(L191&gt;0,N191*100/L191,0)</f>
        <v>67.516680766359784</v>
      </c>
      <c r="P191" s="47">
        <f ca="1">IF(M191&gt;0,N191*100/M191,0)</f>
        <v>67.516680766359784</v>
      </c>
      <c r="Q191" s="47">
        <f ca="1">IFERROR(__xludf.DUMMYFUNCTION("IMPORTRANGE(""https://docs.google.com/spreadsheets/d/1ItG2mGa2ceCfYo0BwxsXqNm01IGEUdYcSSLTEv9YCik/edit?usp=sharing"",""เบิกจ่ายกองทุน!BQ85"")"),28000)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IFERROR(__xludf.DUMMYFUNCTION("IMPORTRANGE(""https://docs.google.com/spreadsheets/d/1ItG2mGa2ceCfYo0BwxsXqNm01IGEUdYcSSLTEv9YCik/edit?usp=sharing"",""เบิกจ่ายกองทุน!BR85"")"),28000)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IFERROR(__xludf.DUMMYFUNCTION("IMPORTRANGE(""https://docs.google.com/spreadsheets/d/1-uDff_7J0KD5mKrp0Vvzr7lt3OU09vwQwhkpOPPYv2Y/edit?usp=sharing"",""งบพรบ!CX85"")"),0)</f>
        <v>0</v>
      </c>
      <c r="M194" s="47">
        <f ca="1">IFERROR(__xludf.DUMMYFUNCTION("IMPORTRANGE(""https://docs.google.com/spreadsheets/d/1-uDff_7J0KD5mKrp0Vvzr7lt3OU09vwQwhkpOPPYv2Y/edit?usp=sharing"",""งบพรบ!DA85"")"),0)</f>
        <v>0</v>
      </c>
      <c r="N194" s="47">
        <f ca="1">IFERROR(__xludf.DUMMYFUNCTION("IMPORTRANGE(""https://docs.google.com/spreadsheets/d/1-uDff_7J0KD5mKrp0Vvzr7lt3OU09vwQwhkpOPPYv2Y/edit?usp=sharing"",""งบพรบ!DC85"")"),0)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IFERROR(__xludf.DUMMYFUNCTION("IMPORTRANGE(""https://docs.google.com/spreadsheets/d/1eHaY18a8A9IcSdp1K8H6x8fbOy06t2VsZHhMHf-1x7Y/edit?usp=sharing"",""แผน!AB85"")"),6000)</f>
        <v>6000</v>
      </c>
      <c r="M196" s="46"/>
      <c r="N196" s="768">
        <v>3000</v>
      </c>
      <c r="O196" s="132">
        <f ca="1">IF(L196&gt;0,N196*100/L196,0)</f>
        <v>50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IFERROR(__xludf.DUMMYFUNCTION("IMPORTRANGE(""https://docs.google.com/spreadsheets/d/1eHaY18a8A9IcSdp1K8H6x8fbOy06t2VsZHhMHf-1x7Y/edit?usp=sharing"",""แผน!AE85"")"),4)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81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81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28000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IFERROR(__xludf.DUMMYFUNCTION("IMPORTRANGE(""https://docs.google.com/spreadsheets/d/1eHaY18a8A9IcSdp1K8H6x8fbOy06t2VsZHhMHf-1x7Y/edit?usp=sharing"",""แผน!AG85"")"),2000)</f>
        <v>2000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IFERROR(__xludf.DUMMYFUNCTION("IMPORTRANGE(""https://docs.google.com/spreadsheets/d/1eHaY18a8A9IcSdp1K8H6x8fbOy06t2VsZHhMHf-1x7Y/edit?usp=sharing"",""แผน!AH85"")"),0)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IFERROR(__xludf.DUMMYFUNCTION("IMPORTRANGE(""https://docs.google.com/spreadsheets/d/1eHaY18a8A9IcSdp1K8H6x8fbOy06t2VsZHhMHf-1x7Y/edit?usp=sharing"",""แผน!AI85"")"),0)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IFERROR(__xludf.DUMMYFUNCTION("IMPORTRANGE(""https://docs.google.com/spreadsheets/d/1eHaY18a8A9IcSdp1K8H6x8fbOy06t2VsZHhMHf-1x7Y/edit?usp=sharing"",""แผน!LV85"")"),28000)</f>
        <v>28000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IFERROR(__xludf.DUMMYFUNCTION("IMPORTRANGE(""https://docs.google.com/spreadsheets/d/1eHaY18a8A9IcSdp1K8H6x8fbOy06t2VsZHhMHf-1x7Y/edit?usp=sharing"",""แผน!AJ85"")"),8000)</f>
        <v>8000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IFERROR(__xludf.DUMMYFUNCTION("IMPORTRANGE(""https://docs.google.com/spreadsheets/d/1eHaY18a8A9IcSdp1K8H6x8fbOy06t2VsZHhMHf-1x7Y/edit?usp=sharing"",""แผน!AK85"")"),2)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IFERROR(__xludf.DUMMYFUNCTION("IMPORTRANGE(""https://docs.google.com/spreadsheets/d/1eHaY18a8A9IcSdp1K8H6x8fbOy06t2VsZHhMHf-1x7Y/edit?usp=sharing"",""แผน!JX85"")"),1)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IFERROR(__xludf.DUMMYFUNCTION("IMPORTRANGE(""https://docs.google.com/spreadsheets/d/1eHaY18a8A9IcSdp1K8H6x8fbOy06t2VsZHhMHf-1x7Y/edit?usp=sharing"",""แผน!AM85"")"),0)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IFERROR(__xludf.DUMMYFUNCTION("IMPORTRANGE(""https://docs.google.com/spreadsheets/d/1eHaY18a8A9IcSdp1K8H6x8fbOy06t2VsZHhMHf-1x7Y/edit?usp=sharing"",""แผน!AN85"")"),0)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IFERROR(__xludf.DUMMYFUNCTION("IMPORTRANGE(""https://docs.google.com/spreadsheets/d/1eHaY18a8A9IcSdp1K8H6x8fbOy06t2VsZHhMHf-1x7Y/edit?usp=sharing"",""แผน!AO85"")"),0)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IFERROR(__xludf.DUMMYFUNCTION("IMPORTRANGE(""https://docs.google.com/spreadsheets/d/1eHaY18a8A9IcSdp1K8H6x8fbOy06t2VsZHhMHf-1x7Y/edit?usp=sharing"",""แผน!LY85"")"),0)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IFERROR(__xludf.DUMMYFUNCTION("IMPORTRANGE(""https://docs.google.com/spreadsheets/d/1eHaY18a8A9IcSdp1K8H6x8fbOy06t2VsZHhMHf-1x7Y/edit?usp=sharing"",""แผน!AR85"")"),3000)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IFERROR(__xludf.DUMMYFUNCTION("IMPORTRANGE(""https://docs.google.com/spreadsheets/d/1eHaY18a8A9IcSdp1K8H6x8fbOy06t2VsZHhMHf-1x7Y/edit?usp=sharing"",""แผน!AS85"")"),1500)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IFERROR(__xludf.DUMMYFUNCTION("IMPORTRANGE(""https://docs.google.com/spreadsheets/d/1eHaY18a8A9IcSdp1K8H6x8fbOy06t2VsZHhMHf-1x7Y/edit?usp=sharing"",""แผน!AT85"")"),0)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IFERROR(__xludf.DUMMYFUNCTION("IMPORTRANGE(""https://docs.google.com/spreadsheets/d/1eHaY18a8A9IcSdp1K8H6x8fbOy06t2VsZHhMHf-1x7Y/edit?usp=sharing"",""แผน!AV85"")"),12800)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IFERROR(__xludf.DUMMYFUNCTION("IMPORTRANGE(""https://docs.google.com/spreadsheets/d/1eHaY18a8A9IcSdp1K8H6x8fbOy06t2VsZHhMHf-1x7Y/edit?usp=sharing"",""แผน!AV85"")"),12800)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IFERROR(__xludf.DUMMYFUNCTION("IMPORTRANGE(""https://docs.google.com/spreadsheets/d/1eHaY18a8A9IcSdp1K8H6x8fbOy06t2VsZHhMHf-1x7Y/edit?usp=sharing"",""แผน!AX85"")"),0)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IFERROR(__xludf.DUMMYFUNCTION("IMPORTRANGE(""https://docs.google.com/spreadsheets/d/1eHaY18a8A9IcSdp1K8H6x8fbOy06t2VsZHhMHf-1x7Y/edit?usp=sharing"",""แผน!AY85"")"),0)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IFERROR(__xludf.DUMMYFUNCTION("IMPORTRANGE(""https://docs.google.com/spreadsheets/d/1eHaY18a8A9IcSdp1K8H6x8fbOy06t2VsZHhMHf-1x7Y/edit?usp=sharing"",""แผน!AZ85"")"),0)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IFERROR(__xludf.DUMMYFUNCTION("IMPORTRANGE(""https://docs.google.com/spreadsheets/d/1eHaY18a8A9IcSdp1K8H6x8fbOy06t2VsZHhMHf-1x7Y/edit?usp=sharing"",""แผน!BA85"")"),0)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IFERROR(__xludf.DUMMYFUNCTION("IMPORTRANGE(""https://docs.google.com/spreadsheets/d/1eHaY18a8A9IcSdp1K8H6x8fbOy06t2VsZHhMHf-1x7Y/edit?usp=sharing"",""แผน!BG85"")"),0)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IFERROR(__xludf.DUMMYFUNCTION("IMPORTRANGE(""https://docs.google.com/spreadsheets/d/1eHaY18a8A9IcSdp1K8H6x8fbOy06t2VsZHhMHf-1x7Y/edit?usp=sharing"",""แผน!BB85"")"),0)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IFERROR(__xludf.DUMMYFUNCTION("IMPORTRANGE(""https://docs.google.com/spreadsheets/d/1eHaY18a8A9IcSdp1K8H6x8fbOy06t2VsZHhMHf-1x7Y/edit?usp=sharing"",""แผน!BC85"")"),0)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IFERROR(__xludf.DUMMYFUNCTION("IMPORTRANGE(""https://docs.google.com/spreadsheets/d/1eHaY18a8A9IcSdp1K8H6x8fbOy06t2VsZHhMHf-1x7Y/edit?usp=sharing"",""แผน!BD85"")"),0)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IFERROR(__xludf.DUMMYFUNCTION("IMPORTRANGE(""https://docs.google.com/spreadsheets/d/1eHaY18a8A9IcSdp1K8H6x8fbOy06t2VsZHhMHf-1x7Y/edit?usp=sharing"",""แผน!BE85"")"),0)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IFERROR(__xludf.DUMMYFUNCTION("IMPORTRANGE(""https://docs.google.com/spreadsheets/d/1eHaY18a8A9IcSdp1K8H6x8fbOy06t2VsZHhMHf-1x7Y/edit?usp=sharing"",""แผน!BH85"")"),0)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1120</v>
      </c>
      <c r="O266" s="421">
        <f ca="1">IF(L266&gt;0,N266*100/L266,0)</f>
        <v>22.4</v>
      </c>
      <c r="P266" s="421">
        <f ca="1">IF(M266&gt;0,N266*100/M266,0)</f>
        <v>22.4</v>
      </c>
      <c r="Q266" s="421">
        <f ca="1">Q267+Q268</f>
        <v>50660</v>
      </c>
      <c r="R266" s="421">
        <f ca="1">R267+R268</f>
        <v>50660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1120</v>
      </c>
      <c r="O268" s="331">
        <f ca="1">IF(L268&gt;0,N268*100/L268,0)</f>
        <v>22.4</v>
      </c>
      <c r="P268" s="331">
        <f ca="1">IF(M268&gt;0,N268*100/M268,0)</f>
        <v>22.4</v>
      </c>
      <c r="Q268" s="331">
        <f ca="1">Q271+Q274</f>
        <v>50660</v>
      </c>
      <c r="R268" s="331">
        <f ca="1">R271+R274</f>
        <v>50660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1120</v>
      </c>
      <c r="O269" s="331">
        <f ca="1">IF(L269&gt;0,N269*100/L269,0)</f>
        <v>22.4</v>
      </c>
      <c r="P269" s="331">
        <f ca="1">IF(M269&gt;0,N269*100/M269,0)</f>
        <v>22.4</v>
      </c>
      <c r="Q269" s="331">
        <f ca="1">Q270+Q271</f>
        <v>50660</v>
      </c>
      <c r="R269" s="331">
        <f ca="1">R270+R271</f>
        <v>50660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IFERROR(__xludf.DUMMYFUNCTION("IMPORTRANGE(""https://docs.google.com/spreadsheets/d/1-uDff_7J0KD5mKrp0Vvzr7lt3OU09vwQwhkpOPPYv2Y/edit?usp=sharing"",""งบพรบ!DE85"")"),5000)</f>
        <v>5000</v>
      </c>
      <c r="M271" s="331">
        <f ca="1">IFERROR(__xludf.DUMMYFUNCTION("IMPORTRANGE(""https://docs.google.com/spreadsheets/d/1-uDff_7J0KD5mKrp0Vvzr7lt3OU09vwQwhkpOPPYv2Y/edit?usp=sharing"",""งบพรบ!DJ85"")"),5000)</f>
        <v>5000</v>
      </c>
      <c r="N271" s="331">
        <f ca="1">IFERROR(__xludf.DUMMYFUNCTION("IMPORTRANGE(""https://docs.google.com/spreadsheets/d/1-uDff_7J0KD5mKrp0Vvzr7lt3OU09vwQwhkpOPPYv2Y/edit?usp=sharing"",""งบพรบ!DL85"")"),1120)</f>
        <v>1120</v>
      </c>
      <c r="O271" s="331">
        <f ca="1">IF(L271&gt;0,N271*100/L271,0)</f>
        <v>22.4</v>
      </c>
      <c r="P271" s="331">
        <f ca="1">IF(M271&gt;0,N271*100/M271,0)</f>
        <v>22.4</v>
      </c>
      <c r="Q271" s="331">
        <f ca="1">IFERROR(__xludf.DUMMYFUNCTION("IMPORTRANGE(""https://docs.google.com/spreadsheets/d/1ItG2mGa2ceCfYo0BwxsXqNm01IGEUdYcSSLTEv9YCik/edit?usp=sharing"",""เบิกจ่ายกองทุน!AP85"")"),50660)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IFERROR(__xludf.DUMMYFUNCTION("IMPORTRANGE(""https://docs.google.com/spreadsheets/d/1ItG2mGa2ceCfYo0BwxsXqNm01IGEUdYcSSLTEv9YCik/edit?usp=sharing"",""เบิกจ่ายกองทุน!AR85"")"),0)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IFERROR(__xludf.DUMMYFUNCTION("IMPORTRANGE(""https://docs.google.com/spreadsheets/d/1-uDff_7J0KD5mKrp0Vvzr7lt3OU09vwQwhkpOPPYv2Y/edit?usp=sharing"",""งบพรบ!DH85"")"),0)</f>
        <v>0</v>
      </c>
      <c r="M274" s="331">
        <f ca="1">IFERROR(__xludf.DUMMYFUNCTION("IMPORTRANGE(""https://docs.google.com/spreadsheets/d/1-uDff_7J0KD5mKrp0Vvzr7lt3OU09vwQwhkpOPPYv2Y/edit?usp=sharing"",""งบพรบ!DK85"")"),0)</f>
        <v>0</v>
      </c>
      <c r="N274" s="331">
        <f ca="1">IFERROR(__xludf.DUMMYFUNCTION("IMPORTRANGE(""https://docs.google.com/spreadsheets/d/1-uDff_7J0KD5mKrp0Vvzr7lt3OU09vwQwhkpOPPYv2Y/edit?usp=sharing"",""งบพรบ!DM85"")"),0)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IFERROR(__xludf.DUMMYFUNCTION("IMPORTRANGE(""https://docs.google.com/spreadsheets/d/1eHaY18a8A9IcSdp1K8H6x8fbOy06t2VsZHhMHf-1x7Y/edit?usp=sharing"",""แผน!EC85"")"),22)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IFERROR(__xludf.DUMMYFUNCTION("IMPORTRANGE(""https://docs.google.com/spreadsheets/d/1-uDff_7J0KD5mKrp0Vvzr7lt3OU09vwQwhkpOPPYv2Y/edit?usp=sharing"",""งบพรบ!DO85"")"),0)</f>
        <v>0</v>
      </c>
      <c r="M287" s="47">
        <f ca="1">IFERROR(__xludf.DUMMYFUNCTION("IMPORTRANGE(""https://docs.google.com/spreadsheets/d/1-uDff_7J0KD5mKrp0Vvzr7lt3OU09vwQwhkpOPPYv2Y/edit?usp=sharing"",""งบพรบ!DT85"")"),0)</f>
        <v>0</v>
      </c>
      <c r="N287" s="47">
        <f ca="1">IFERROR(__xludf.DUMMYFUNCTION("IMPORTRANGE(""https://docs.google.com/spreadsheets/d/1-uDff_7J0KD5mKrp0Vvzr7lt3OU09vwQwhkpOPPYv2Y/edit?usp=sharing"",""งบพรบ!DV85"")"),0)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IFERROR(__xludf.DUMMYFUNCTION("IMPORTRANGE(""https://docs.google.com/spreadsheets/d/1-uDff_7J0KD5mKrp0Vvzr7lt3OU09vwQwhkpOPPYv2Y/edit?usp=sharing"",""งบพรบ!DR85"")"),0)</f>
        <v>0</v>
      </c>
      <c r="M290" s="47">
        <f ca="1">IFERROR(__xludf.DUMMYFUNCTION("IMPORTRANGE(""https://docs.google.com/spreadsheets/d/1-uDff_7J0KD5mKrp0Vvzr7lt3OU09vwQwhkpOPPYv2Y/edit?usp=sharing"",""งบพรบ!DU85"")"),0)</f>
        <v>0</v>
      </c>
      <c r="N290" s="47">
        <f ca="1">IFERROR(__xludf.DUMMYFUNCTION("IMPORTRANGE(""https://docs.google.com/spreadsheets/d/1-uDff_7J0KD5mKrp0Vvzr7lt3OU09vwQwhkpOPPYv2Y/edit?usp=sharing"",""งบพรบ!DW85"")"),0)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IFERROR(__xludf.DUMMYFUNCTION("IMPORTRANGE(""https://docs.google.com/spreadsheets/d/1-uDff_7J0KD5mKrp0Vvzr7lt3OU09vwQwhkpOPPYv2Y/edit?usp=sharing"",""งบพรบ!DY85"")"),0)</f>
        <v>0</v>
      </c>
      <c r="M308" s="47">
        <f ca="1">IFERROR(__xludf.DUMMYFUNCTION("IMPORTRANGE(""https://docs.google.com/spreadsheets/d/1-uDff_7J0KD5mKrp0Vvzr7lt3OU09vwQwhkpOPPYv2Y/edit?usp=sharing"",""งบพรบ!ED85"")"),0)</f>
        <v>0</v>
      </c>
      <c r="N308" s="47">
        <f ca="1">IFERROR(__xludf.DUMMYFUNCTION("IMPORTRANGE(""https://docs.google.com/spreadsheets/d/1-uDff_7J0KD5mKrp0Vvzr7lt3OU09vwQwhkpOPPYv2Y/edit?usp=sharing"",""งบพรบ!EF85"")"),0)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IFERROR(__xludf.DUMMYFUNCTION("IMPORTRANGE(""https://docs.google.com/spreadsheets/d/1ItG2mGa2ceCfYo0BwxsXqNm01IGEUdYcSSLTEv9YCik/edit?usp=sharing"",""เบิกจ่ายกองทุน!BC85"")"),0)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IFERROR(__xludf.DUMMYFUNCTION("IMPORTRANGE(""https://docs.google.com/spreadsheets/d/1ItG2mGa2ceCfYo0BwxsXqNm01IGEUdYcSSLTEv9YCik/edit?usp=sharing"",""เบิกจ่ายกองทุน!BD85"")"),0)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IFERROR(__xludf.DUMMYFUNCTION("IMPORTRANGE(""https://docs.google.com/spreadsheets/d/1-uDff_7J0KD5mKrp0Vvzr7lt3OU09vwQwhkpOPPYv2Y/edit?usp=sharing"",""งบพรบ!EB85"")"),0)</f>
        <v>0</v>
      </c>
      <c r="M311" s="47">
        <f ca="1">IFERROR(__xludf.DUMMYFUNCTION("IMPORTRANGE(""https://docs.google.com/spreadsheets/d/1-uDff_7J0KD5mKrp0Vvzr7lt3OU09vwQwhkpOPPYv2Y/edit?usp=sharing"",""งบพรบ!EE85"")"),0)</f>
        <v>0</v>
      </c>
      <c r="N311" s="47">
        <f ca="1">IFERROR(__xludf.DUMMYFUNCTION("IMPORTRANGE(""https://docs.google.com/spreadsheets/d/1-uDff_7J0KD5mKrp0Vvzr7lt3OU09vwQwhkpOPPYv2Y/edit?usp=sharing"",""งบพรบ!EG85"")"),0)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IFERROR(__xludf.DUMMYFUNCTION("IMPORTRANGE(""https://docs.google.com/spreadsheets/d/1-uDff_7J0KD5mKrp0Vvzr7lt3OU09vwQwhkpOPPYv2Y/edit?usp=sharing"",""งบพรบ!EI85"")"),0)</f>
        <v>0</v>
      </c>
      <c r="M325" s="47">
        <f ca="1">IFERROR(__xludf.DUMMYFUNCTION("IMPORTRANGE(""https://docs.google.com/spreadsheets/d/1-uDff_7J0KD5mKrp0Vvzr7lt3OU09vwQwhkpOPPYv2Y/edit?usp=sharing"",""งบพรบ!EN85"")"),0)</f>
        <v>0</v>
      </c>
      <c r="N325" s="47">
        <f ca="1">IFERROR(__xludf.DUMMYFUNCTION("IMPORTRANGE(""https://docs.google.com/spreadsheets/d/1-uDff_7J0KD5mKrp0Vvzr7lt3OU09vwQwhkpOPPYv2Y/edit?usp=sharing"",""งบพรบ!EP85"")"),0)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IFERROR(__xludf.DUMMYFUNCTION("IMPORTRANGE(""https://docs.google.com/spreadsheets/d/1-uDff_7J0KD5mKrp0Vvzr7lt3OU09vwQwhkpOPPYv2Y/edit?usp=sharing"",""งบพรบ!EL85"")"),0)</f>
        <v>0</v>
      </c>
      <c r="M328" s="47">
        <f ca="1">IFERROR(__xludf.DUMMYFUNCTION("IMPORTRANGE(""https://docs.google.com/spreadsheets/d/1-uDff_7J0KD5mKrp0Vvzr7lt3OU09vwQwhkpOPPYv2Y/edit?usp=sharing"",""งบพรบ!EO85"")"),0)</f>
        <v>0</v>
      </c>
      <c r="N328" s="47">
        <f ca="1">IFERROR(__xludf.DUMMYFUNCTION("IMPORTRANGE(""https://docs.google.com/spreadsheets/d/1-uDff_7J0KD5mKrp0Vvzr7lt3OU09vwQwhkpOPPYv2Y/edit?usp=sharing"",""งบพรบ!EQ85"")"),0)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IFERROR(__xludf.DUMMYFUNCTION("IMPORTRANGE(""https://docs.google.com/spreadsheets/d/1eHaY18a8A9IcSdp1K8H6x8fbOy06t2VsZHhMHf-1x7Y/edit?usp=sharing"",""แผน!EJ85"")"),0)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340</v>
      </c>
      <c r="J332" s="697">
        <f ca="1">J344+J347+J348+J349+J353</f>
        <v>2619</v>
      </c>
      <c r="K332" s="696">
        <f ca="1">IF(I332&gt;0,J332*100/I332,0)</f>
        <v>770.29411764705878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1024000</v>
      </c>
      <c r="M333" s="132">
        <f ca="1">M334+M335</f>
        <v>1024000</v>
      </c>
      <c r="N333" s="132">
        <f ca="1">N334+N335</f>
        <v>108810</v>
      </c>
      <c r="O333" s="132">
        <f ca="1">IF(L333&gt;0,N333*100/L333,0)</f>
        <v>10.6259765625</v>
      </c>
      <c r="P333" s="132">
        <f ca="1">IF(M333&gt;0,N333*100/M333,0)</f>
        <v>10.6259765625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1024000</v>
      </c>
      <c r="M335" s="47">
        <f ca="1">M338+M341</f>
        <v>1024000</v>
      </c>
      <c r="N335" s="47">
        <f ca="1">N338+N341</f>
        <v>108810</v>
      </c>
      <c r="O335" s="47">
        <f ca="1">IF(L335&gt;0,N335*100/L335,0)</f>
        <v>10.6259765625</v>
      </c>
      <c r="P335" s="47">
        <f ca="1">IF(M335&gt;0,N335*100/M335,0)</f>
        <v>10.6259765625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174000</v>
      </c>
      <c r="M336" s="47">
        <f ca="1">M337+M338</f>
        <v>174000</v>
      </c>
      <c r="N336" s="47">
        <f ca="1">N337+N338</f>
        <v>108810</v>
      </c>
      <c r="O336" s="47">
        <f ca="1">IF(L336&gt;0,N336*100/L336,0)</f>
        <v>62.53448275862069</v>
      </c>
      <c r="P336" s="47">
        <f ca="1">IF(M336&gt;0,N336*100/M336,0)</f>
        <v>62.53448275862069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IFERROR(__xludf.DUMMYFUNCTION("IMPORTRANGE(""https://docs.google.com/spreadsheets/d/1-uDff_7J0KD5mKrp0Vvzr7lt3OU09vwQwhkpOPPYv2Y/edit?usp=sharing"",""งบพรบ!ES85"")"),174000)</f>
        <v>174000</v>
      </c>
      <c r="M338" s="47">
        <f ca="1">IFERROR(__xludf.DUMMYFUNCTION("IMPORTRANGE(""https://docs.google.com/spreadsheets/d/1-uDff_7J0KD5mKrp0Vvzr7lt3OU09vwQwhkpOPPYv2Y/edit?usp=sharing"",""งบพรบ!EX85"")"),174000)</f>
        <v>174000</v>
      </c>
      <c r="N338" s="47">
        <f ca="1">IFERROR(__xludf.DUMMYFUNCTION("IMPORTRANGE(""https://docs.google.com/spreadsheets/d/1-uDff_7J0KD5mKrp0Vvzr7lt3OU09vwQwhkpOPPYv2Y/edit?usp=sharing"",""งบพรบ!EZ85"")"),108810)</f>
        <v>108810</v>
      </c>
      <c r="O338" s="47">
        <f ca="1">IF(L338&gt;0,N338*100/L338,0)</f>
        <v>62.53448275862069</v>
      </c>
      <c r="P338" s="47">
        <f ca="1">IF(M338&gt;0,N338*100/M338,0)</f>
        <v>62.53448275862069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850000</v>
      </c>
      <c r="M339" s="47">
        <f ca="1">M340+M341</f>
        <v>850000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IFERROR(__xludf.DUMMYFUNCTION("IMPORTRANGE(""https://docs.google.com/spreadsheets/d/1-uDff_7J0KD5mKrp0Vvzr7lt3OU09vwQwhkpOPPYv2Y/edit?usp=sharing"",""งบพรบ!EV85"")"),850000)</f>
        <v>850000</v>
      </c>
      <c r="M341" s="47">
        <f ca="1">IFERROR(__xludf.DUMMYFUNCTION("IMPORTRANGE(""https://docs.google.com/spreadsheets/d/1-uDff_7J0KD5mKrp0Vvzr7lt3OU09vwQwhkpOPPYv2Y/edit?usp=sharing"",""งบพรบ!EY85"")"),850000)</f>
        <v>850000</v>
      </c>
      <c r="N341" s="47">
        <f ca="1">IFERROR(__xludf.DUMMYFUNCTION("IMPORTRANGE(""https://docs.google.com/spreadsheets/d/1-uDff_7J0KD5mKrp0Vvzr7lt3OU09vwQwhkpOPPYv2Y/edit?usp=sharing"",""งบพรบ!FA85"")"),0)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364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IFERROR(__xludf.DUMMYFUNCTION("IMPORTRANGE(""https://docs.google.com/spreadsheets/d/1eHaY18a8A9IcSdp1K8H6x8fbOy06t2VsZHhMHf-1x7Y/edit?usp=sharing"",""แผน!EK85"")"),340)</f>
        <v>340</v>
      </c>
      <c r="J344" s="152">
        <f ca="1">IFERROR(__xludf.DUMMYFUNCTION("IMPORTRANGE(""https://docs.google.com/spreadsheets/d/1awYsYK3VOup2i3Pq_Yjnu8DRu_mYwSBnCR2QPthd0rU/edit?usp=sharing"",""ศูนย์ยกเว้นโฉนด!D85"")"),245)</f>
        <v>245</v>
      </c>
      <c r="K344" s="47">
        <f ca="1">IF(I344&gt;0,J344*100/I344,0)</f>
        <v>72.058823529411768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IFERROR(__xludf.DUMMYFUNCTION("IMPORTRANGE(""https://docs.google.com/spreadsheets/d/1eHaY18a8A9IcSdp1K8H6x8fbOy06t2VsZHhMHf-1x7Y/edit?usp=sharing"",""แผน!EL85"")"),2)</f>
        <v>2</v>
      </c>
      <c r="J346" s="152">
        <f ca="1">IFERROR(__xludf.DUMMYFUNCTION("IMPORTRANGE(""https://docs.google.com/spreadsheets/d/1awYsYK3VOup2i3Pq_Yjnu8DRu_mYwSBnCR2QPthd0rU/edit?usp=sharing"",""ศูนย์รวม!E85"")"),1)</f>
        <v>1</v>
      </c>
      <c r="K346" s="47">
        <f ca="1">IF(I346&gt;0,J346*100/I346,0)</f>
        <v>50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IFERROR(__xludf.DUMMYFUNCTION("IMPORTRANGE(""https://docs.google.com/spreadsheets/d/1awYsYK3VOup2i3Pq_Yjnu8DRu_mYwSBnCR2QPthd0rU/edit?usp=sharing"",""ศูนย์ยกเว้นโฉนด!F85"")"),119)</f>
        <v>119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IFERROR(__xludf.DUMMYFUNCTION("IMPORTRANGE(""https://docs.google.com/spreadsheets/d/1awYsYK3VOup2i3Pq_Yjnu8DRu_mYwSBnCR2QPthd0rU/edit?usp=sharing"",""ศูนย์ยกเว้นโฉนด!G85"")"),0)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2640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IFERROR(__xludf.DUMMYFUNCTION("IMPORTRANGE(""https://docs.google.com/spreadsheets/d/1awYsYK3VOup2i3Pq_Yjnu8DRu_mYwSBnCR2QPthd0rU/edit?usp=sharing"",""โฉนดM3!G85"")"),385)</f>
        <v>385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IFERROR(__xludf.DUMMYFUNCTION("IMPORTRANGE(""https://docs.google.com/spreadsheets/d/1awYsYK3VOup2i3Pq_Yjnu8DRu_mYwSBnCR2QPthd0rU/edit?usp=sharing"",""โฉนดM3!H85"")"),2255)</f>
        <v>2255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545480</v>
      </c>
      <c r="M356" s="132">
        <f ca="1">M357+M358</f>
        <v>545480</v>
      </c>
      <c r="N356" s="132">
        <f ca="1">N357+N358</f>
        <v>306794.61</v>
      </c>
      <c r="O356" s="132">
        <f ca="1">IF(L356&gt;0,N356*100/L356,0)</f>
        <v>56.24305382415487</v>
      </c>
      <c r="P356" s="132">
        <f ca="1">IF(M356&gt;0,N356*100/M356,0)</f>
        <v>56.24305382415487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545480</v>
      </c>
      <c r="M358" s="47">
        <f ca="1">M361+M364</f>
        <v>545480</v>
      </c>
      <c r="N358" s="47">
        <f ca="1">N361+N364</f>
        <v>306794.61</v>
      </c>
      <c r="O358" s="47">
        <f ca="1">IF(L358&gt;0,N358*100/L358,0)</f>
        <v>56.24305382415487</v>
      </c>
      <c r="P358" s="47">
        <f ca="1">IF(M358&gt;0,N358*100/M358,0)</f>
        <v>56.24305382415487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545480</v>
      </c>
      <c r="M359" s="47">
        <f ca="1">M360+M361</f>
        <v>545480</v>
      </c>
      <c r="N359" s="47">
        <f ca="1">N360+N361</f>
        <v>306794.61</v>
      </c>
      <c r="O359" s="47">
        <f ca="1">IF(L359&gt;0,N359*100/L359,0)</f>
        <v>56.24305382415487</v>
      </c>
      <c r="P359" s="47">
        <f ca="1">IF(M359&gt;0,N359*100/M359,0)</f>
        <v>56.24305382415487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IFERROR(__xludf.DUMMYFUNCTION("IMPORTRANGE(""https://docs.google.com/spreadsheets/d/1-uDff_7J0KD5mKrp0Vvzr7lt3OU09vwQwhkpOPPYv2Y/edit?usp=sharing"",""งบพรบ!FC85"")"),545480)</f>
        <v>545480</v>
      </c>
      <c r="M361" s="47">
        <f ca="1">IFERROR(__xludf.DUMMYFUNCTION("IMPORTRANGE(""https://docs.google.com/spreadsheets/d/1-uDff_7J0KD5mKrp0Vvzr7lt3OU09vwQwhkpOPPYv2Y/edit?usp=sharing"",""งบพรบ!FH85"")"),545480)</f>
        <v>545480</v>
      </c>
      <c r="N361" s="47">
        <f ca="1">IFERROR(__xludf.DUMMYFUNCTION("IMPORTRANGE(""https://docs.google.com/spreadsheets/d/1-uDff_7J0KD5mKrp0Vvzr7lt3OU09vwQwhkpOPPYv2Y/edit?usp=sharing"",""งบพรบ!FJ85"")"),306794.61)</f>
        <v>306794.61</v>
      </c>
      <c r="O361" s="47">
        <f ca="1">IF(L361&gt;0,N361*100/L361,0)</f>
        <v>56.24305382415487</v>
      </c>
      <c r="P361" s="47">
        <f ca="1">IF(M361&gt;0,N361*100/M361,0)</f>
        <v>56.24305382415487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IFERROR(__xludf.DUMMYFUNCTION("IMPORTRANGE(""https://docs.google.com/spreadsheets/d/1-uDff_7J0KD5mKrp0Vvzr7lt3OU09vwQwhkpOPPYv2Y/edit?usp=sharing"",""งบพรบ!FF85"")"),0)</f>
        <v>0</v>
      </c>
      <c r="M364" s="47">
        <f ca="1">IFERROR(__xludf.DUMMYFUNCTION("IMPORTRANGE(""https://docs.google.com/spreadsheets/d/1-uDff_7J0KD5mKrp0Vvzr7lt3OU09vwQwhkpOPPYv2Y/edit?usp=sharing"",""งบพรบ!FI85"")"),0)</f>
        <v>0</v>
      </c>
      <c r="N364" s="47">
        <f ca="1">IFERROR(__xludf.DUMMYFUNCTION("IMPORTRANGE(""https://docs.google.com/spreadsheets/d/1-uDff_7J0KD5mKrp0Vvzr7lt3OU09vwQwhkpOPPYv2Y/edit?usp=sharing"",""งบพรบ!FK85"")"),0)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74</v>
      </c>
      <c r="J365" s="228">
        <f ca="1">J371</f>
        <v>54</v>
      </c>
      <c r="K365" s="229">
        <f ca="1">IF(I365&gt;0,J365*100/I365,0)</f>
        <v>72.972972972972968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IFERROR(__xludf.DUMMYFUNCTION("IMPORTRANGE(""https://docs.google.com/spreadsheets/d/1tdoBKaGub7dwA3U6UFTqxio9LNnvDCQjHKmttSEBsFQ/edit?usp=sharing"",""จัดที่ดิน!AB85"")"),72)</f>
        <v>72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IFERROR(__xludf.DUMMYFUNCTION("IMPORTRANGE(""https://docs.google.com/spreadsheets/d/1eHaY18a8A9IcSdp1K8H6x8fbOy06t2VsZHhMHf-1x7Y/edit?usp=sharing"",""แผน!EW85"")"),410)</f>
        <v>410</v>
      </c>
      <c r="J368" s="685">
        <f ca="1">IFERROR(__xludf.DUMMYFUNCTION("IMPORTRANGE(""https://docs.google.com/spreadsheets/d/1tdoBKaGub7dwA3U6UFTqxio9LNnvDCQjHKmttSEBsFQ/edit?usp=sharing"",""จัดที่ดิน!AC85"")"),562.88)</f>
        <v>562.88</v>
      </c>
      <c r="K368" s="47">
        <f ca="1">IF(I368&gt;0,J368*100/I368,0)</f>
        <v>137.28780487804877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IFERROR(__xludf.DUMMYFUNCTION("IMPORTRANGE(""https://docs.google.com/spreadsheets/d/1eHaY18a8A9IcSdp1K8H6x8fbOy06t2VsZHhMHf-1x7Y/edit?usp=sharing"",""แผน!EX85"")"),74)</f>
        <v>74</v>
      </c>
      <c r="J369" s="152">
        <f ca="1">IFERROR(__xludf.DUMMYFUNCTION("IMPORTRANGE(""https://docs.google.com/spreadsheets/d/1tdoBKaGub7dwA3U6UFTqxio9LNnvDCQjHKmttSEBsFQ/edit?usp=sharing"",""จัดที่ดิน!AD85"")"),91)</f>
        <v>91</v>
      </c>
      <c r="K369" s="47">
        <f ca="1">IF(I369&gt;0,J369*100/I369,0)</f>
        <v>122.97297297297297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IFERROR(__xludf.DUMMYFUNCTION("IMPORTRANGE(""https://docs.google.com/spreadsheets/d/1tdoBKaGub7dwA3U6UFTqxio9LNnvDCQjHKmttSEBsFQ/edit?usp=sharing"",""จัดที่ดิน!AE85"")"),1179.12)</f>
        <v>1179.1199999999999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IFERROR(__xludf.DUMMYFUNCTION("IMPORTRANGE(""https://docs.google.com/spreadsheets/d/1eHaY18a8A9IcSdp1K8H6x8fbOy06t2VsZHhMHf-1x7Y/edit?usp=sharing"",""แผน!EY85"")"),74)</f>
        <v>74</v>
      </c>
      <c r="J371" s="152">
        <f ca="1">IFERROR(__xludf.DUMMYFUNCTION("IMPORTRANGE(""https://docs.google.com/spreadsheets/d/1tdoBKaGub7dwA3U6UFTqxio9LNnvDCQjHKmttSEBsFQ/edit?usp=sharing"",""จัดที่ดิน!AF85"")"),54)</f>
        <v>54</v>
      </c>
      <c r="K371" s="47">
        <f ca="1">IF(I371&gt;0,J371*100/I371,0)</f>
        <v>72.972972972972968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IFERROR(__xludf.DUMMYFUNCTION("IMPORTRANGE(""https://docs.google.com/spreadsheets/d/1tdoBKaGub7dwA3U6UFTqxio9LNnvDCQjHKmttSEBsFQ/edit?usp=sharing"",""จัดที่ดิน!AG85"")"),694.85)</f>
        <v>694.85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IFERROR(__xludf.DUMMYFUNCTION("IMPORTRANGE(""https://docs.google.com/spreadsheets/d/1-uDff_7J0KD5mKrp0Vvzr7lt3OU09vwQwhkpOPPYv2Y/edit?usp=sharing"",""งบพรบ!IE85"")"),0)</f>
        <v>0</v>
      </c>
      <c r="M380" s="47">
        <f ca="1">IFERROR(__xludf.DUMMYFUNCTION("IMPORTRANGE(""https://docs.google.com/spreadsheets/d/1-uDff_7J0KD5mKrp0Vvzr7lt3OU09vwQwhkpOPPYv2Y/edit?usp=sharing"",""งบพรบ!IJ85"")"),0)</f>
        <v>0</v>
      </c>
      <c r="N380" s="47">
        <f ca="1">IFERROR(__xludf.DUMMYFUNCTION("IMPORTRANGE(""https://docs.google.com/spreadsheets/d/1-uDff_7J0KD5mKrp0Vvzr7lt3OU09vwQwhkpOPPYv2Y/edit?usp=sharing"",""งบพรบ!IL85"")"),0)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IFERROR(__xludf.DUMMYFUNCTION("IMPORTRANGE(""https://docs.google.com/spreadsheets/d/1ItG2mGa2ceCfYo0BwxsXqNm01IGEUdYcSSLTEv9YCik/edit?usp=sharing"",""เบิกจ่ายกองทุน!BW85"")"),18750)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IFERROR(__xludf.DUMMYFUNCTION("IMPORTRANGE(""https://docs.google.com/spreadsheets/d/1ItG2mGa2ceCfYo0BwxsXqNm01IGEUdYcSSLTEv9YCik/edit?usp=sharing"",""เบิกจ่ายกองทุน!BX85"")"),18750)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IFERROR(__xludf.DUMMYFUNCTION("IMPORTRANGE(""https://docs.google.com/spreadsheets/d/1-uDff_7J0KD5mKrp0Vvzr7lt3OU09vwQwhkpOPPYv2Y/edit?usp=sharing"",""งบพรบ!IH85"")"),0)</f>
        <v>0</v>
      </c>
      <c r="M383" s="47">
        <f ca="1">IFERROR(__xludf.DUMMYFUNCTION("IMPORTRANGE(""https://docs.google.com/spreadsheets/d/1-uDff_7J0KD5mKrp0Vvzr7lt3OU09vwQwhkpOPPYv2Y/edit?usp=sharing"",""งบพรบ!IK85"")"),0)</f>
        <v>0</v>
      </c>
      <c r="N383" s="47">
        <f ca="1">IFERROR(__xludf.DUMMYFUNCTION("IMPORTRANGE(""https://docs.google.com/spreadsheets/d/1-uDff_7J0KD5mKrp0Vvzr7lt3OU09vwQwhkpOPPYv2Y/edit?usp=sharing"",""งบพรบ!IM85"")"),0)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IFERROR(__xludf.DUMMYFUNCTION("IMPORTRANGE(""https://docs.google.com/spreadsheets/d/1w5rwWK1o49a35cNtocGL0gxDwhFSTZUQu90BiH9_zqM/edit?usp=sharing"",""RTK!G85"")"),300)</f>
        <v>300</v>
      </c>
      <c r="J386" s="152">
        <f ca="1">IFERROR(__xludf.DUMMYFUNCTION("IMPORTRANGE(""https://docs.google.com/spreadsheets/d/1w5rwWK1o49a35cNtocGL0gxDwhFSTZUQu90BiH9_zqM/edit?usp=sharing"",""RTK!I85"")"),0)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IFERROR(__xludf.DUMMYFUNCTION("IMPORTRANGE(""https://docs.google.com/spreadsheets/d/1w5rwWK1o49a35cNtocGL0gxDwhFSTZUQu90BiH9_zqM/edit?usp=sharing"",""RTK!K85"")"),0)</f>
        <v>0</v>
      </c>
      <c r="J388" s="330">
        <f ca="1">IFERROR(__xludf.DUMMYFUNCTION("IMPORTRANGE(""https://docs.google.com/spreadsheets/d/1w5rwWK1o49a35cNtocGL0gxDwhFSTZUQu90BiH9_zqM/edit?usp=sharing"",""RTK!M85"")"),0)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8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IFERROR(__xludf.DUMMYFUNCTION("IMPORTRANGE(""https://docs.google.com/spreadsheets/d/1-uDff_7J0KD5mKrp0Vvzr7lt3OU09vwQwhkpOPPYv2Y/edit?usp=sharing"",""งบพรบ!IO85"")"),0)</f>
        <v>0</v>
      </c>
      <c r="M418" s="47">
        <f ca="1">IFERROR(__xludf.DUMMYFUNCTION("IMPORTRANGE(""https://docs.google.com/spreadsheets/d/1-uDff_7J0KD5mKrp0Vvzr7lt3OU09vwQwhkpOPPYv2Y/edit?usp=sharing"",""งบพรบ!IT85"")"),0)</f>
        <v>0</v>
      </c>
      <c r="N418" s="47">
        <f ca="1">IFERROR(__xludf.DUMMYFUNCTION("IMPORTRANGE(""https://docs.google.com/spreadsheets/d/1-uDff_7J0KD5mKrp0Vvzr7lt3OU09vwQwhkpOPPYv2Y/edit?usp=sharing"",""งบพรบ!IV85"")"),0)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IFERROR(__xludf.DUMMYFUNCTION("IMPORTRANGE(""https://docs.google.com/spreadsheets/d/1ItG2mGa2ceCfYo0BwxsXqNm01IGEUdYcSSLTEv9YCik/edit?usp=sharing"",""เบิกจ่ายกองทุน!BZ85"")"),0)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IFERROR(__xludf.DUMMYFUNCTION("IMPORTRANGE(""https://docs.google.com/spreadsheets/d/1ItG2mGa2ceCfYo0BwxsXqNm01IGEUdYcSSLTEv9YCik/edit?usp=sharing"",""เบิกจ่ายกองทุน!CA85"")"),0)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IFERROR(__xludf.DUMMYFUNCTION("IMPORTRANGE(""https://docs.google.com/spreadsheets/d/1-uDff_7J0KD5mKrp0Vvzr7lt3OU09vwQwhkpOPPYv2Y/edit?usp=sharing"",""งบพรบ!IR85"")"),0)</f>
        <v>0</v>
      </c>
      <c r="M421" s="47">
        <f ca="1">IFERROR(__xludf.DUMMYFUNCTION("IMPORTRANGE(""https://docs.google.com/spreadsheets/d/1-uDff_7J0KD5mKrp0Vvzr7lt3OU09vwQwhkpOPPYv2Y/edit?usp=sharing"",""งบพรบ!IU85"")"),0)</f>
        <v>0</v>
      </c>
      <c r="N421" s="47">
        <f ca="1">IFERROR(__xludf.DUMMYFUNCTION("IMPORTRANGE(""https://docs.google.com/spreadsheets/d/1-uDff_7J0KD5mKrp0Vvzr7lt3OU09vwQwhkpOPPYv2Y/edit?usp=sharing"",""งบพรบ!IW85"")"),0)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IFERROR(__xludf.DUMMYFUNCTION("IMPORTRANGE(""https://docs.google.com/spreadsheets/d/1eHaY18a8A9IcSdp1K8H6x8fbOy06t2VsZHhMHf-1x7Y/edit?usp=sharing"",""แผน!HL85"")"),0)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IFERROR(__xludf.DUMMYFUNCTION("IMPORTRANGE(""https://docs.google.com/spreadsheets/d/1-uDff_7J0KD5mKrp0Vvzr7lt3OU09vwQwhkpOPPYv2Y/edit?usp=sharing"",""งบพรบ!HU85"")"),0)</f>
        <v>0</v>
      </c>
      <c r="M498" s="47">
        <f ca="1">IFERROR(__xludf.DUMMYFUNCTION("IMPORTRANGE(""https://docs.google.com/spreadsheets/d/1-uDff_7J0KD5mKrp0Vvzr7lt3OU09vwQwhkpOPPYv2Y/edit?usp=sharing"",""งบพรบ!HZ85"")"),0)</f>
        <v>0</v>
      </c>
      <c r="N498" s="47">
        <f ca="1">IFERROR(__xludf.DUMMYFUNCTION("IMPORTRANGE(""https://docs.google.com/spreadsheets/d/1-uDff_7J0KD5mKrp0Vvzr7lt3OU09vwQwhkpOPPYv2Y/edit?usp=sharing"",""งบพรบ!IB85"")"),0)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IFERROR(__xludf.DUMMYFUNCTION("IMPORTRANGE(""https://docs.google.com/spreadsheets/d/1ItG2mGa2ceCfYo0BwxsXqNm01IGEUdYcSSLTEv9YCik/edit?usp=sharing"",""เบิกจ่ายกองทุน!AD85"")"),0)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IFERROR(__xludf.DUMMYFUNCTION("IMPORTRANGE(""https://docs.google.com/spreadsheets/d/1ItG2mGa2ceCfYo0BwxsXqNm01IGEUdYcSSLTEv9YCik/edit?usp=sharing"",""เบิกจ่ายกองทุน!AE85"")"),0)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IFERROR(__xludf.DUMMYFUNCTION("IMPORTRANGE(""https://docs.google.com/spreadsheets/d/1ItG2mGa2ceCfYo0BwxsXqNm01IGEUdYcSSLTEv9YCik/edit?usp=sharing"",""เบิกจ่ายกองทุน!AF85"")"),0)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IFERROR(__xludf.DUMMYFUNCTION("IMPORTRANGE(""https://docs.google.com/spreadsheets/d/1-uDff_7J0KD5mKrp0Vvzr7lt3OU09vwQwhkpOPPYv2Y/edit?usp=sharing"",""งบพรบ!HX85"")"),0)</f>
        <v>0</v>
      </c>
      <c r="M501" s="47">
        <f ca="1">IFERROR(__xludf.DUMMYFUNCTION("IMPORTRANGE(""https://docs.google.com/spreadsheets/d/1-uDff_7J0KD5mKrp0Vvzr7lt3OU09vwQwhkpOPPYv2Y/edit?usp=sharing"",""งบพรบ!IA85"")"),0)</f>
        <v>0</v>
      </c>
      <c r="N501" s="47">
        <f ca="1">IFERROR(__xludf.DUMMYFUNCTION("IMPORTRANGE(""https://docs.google.com/spreadsheets/d/1-uDff_7J0KD5mKrp0Vvzr7lt3OU09vwQwhkpOPPYv2Y/edit?usp=sharing"",""งบพรบ!IC85"")"),0)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IFERROR(__xludf.DUMMYFUNCTION("IMPORTRANGE(""https://docs.google.com/spreadsheets/d/1eHaY18a8A9IcSdp1K8H6x8fbOy06t2VsZHhMHf-1x7Y/edit?usp=sharing"",""แผน!GX85"")"),0)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IFERROR(__xludf.DUMMYFUNCTION("IMPORTRANGE(""https://docs.google.com/spreadsheets/d/1-uDff_7J0KD5mKrp0Vvzr7lt3OU09vwQwhkpOPPYv2Y/edit?usp=sharing"",""งบพรบ!FM85"")"),0)</f>
        <v>0</v>
      </c>
      <c r="M518" s="47">
        <f ca="1">IFERROR(__xludf.DUMMYFUNCTION("IMPORTRANGE(""https://docs.google.com/spreadsheets/d/1-uDff_7J0KD5mKrp0Vvzr7lt3OU09vwQwhkpOPPYv2Y/edit?usp=sharing"",""งบพรบ!FR85"")"),0)</f>
        <v>0</v>
      </c>
      <c r="N518" s="47">
        <f ca="1">IFERROR(__xludf.DUMMYFUNCTION("IMPORTRANGE(""https://docs.google.com/spreadsheets/d/1-uDff_7J0KD5mKrp0Vvzr7lt3OU09vwQwhkpOPPYv2Y/edit?usp=sharing"",""งบพรบ!FT85"")"),0)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IFERROR(__xludf.DUMMYFUNCTION("IMPORTRANGE(""https://docs.google.com/spreadsheets/d/1-uDff_7J0KD5mKrp0Vvzr7lt3OU09vwQwhkpOPPYv2Y/edit?usp=sharing"",""งบพรบ!FP85"")"),0)</f>
        <v>0</v>
      </c>
      <c r="M521" s="47">
        <f ca="1">IFERROR(__xludf.DUMMYFUNCTION("IMPORTRANGE(""https://docs.google.com/spreadsheets/d/1-uDff_7J0KD5mKrp0Vvzr7lt3OU09vwQwhkpOPPYv2Y/edit?usp=sharing"",""งบพรบ!FS85"")"),0)</f>
        <v>0</v>
      </c>
      <c r="N521" s="47">
        <f ca="1">IFERROR(__xludf.DUMMYFUNCTION("IMPORTRANGE(""https://docs.google.com/spreadsheets/d/1-uDff_7J0KD5mKrp0Vvzr7lt3OU09vwQwhkpOPPYv2Y/edit?usp=sharing"",""งบพรบ!FU85"")"),0)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IFERROR(__xludf.DUMMYFUNCTION("IMPORTRANGE(""https://docs.google.com/spreadsheets/d/1-uDff_7J0KD5mKrp0Vvzr7lt3OU09vwQwhkpOPPYv2Y/edit?usp=sharing"",""งบพรบ!FW85"")"),0)</f>
        <v>0</v>
      </c>
      <c r="M539" s="47">
        <f ca="1">IFERROR(__xludf.DUMMYFUNCTION("IMPORTRANGE(""https://docs.google.com/spreadsheets/d/1-uDff_7J0KD5mKrp0Vvzr7lt3OU09vwQwhkpOPPYv2Y/edit?usp=sharing"",""งบพรบ!GB85"")"),0)</f>
        <v>0</v>
      </c>
      <c r="N539" s="47">
        <f ca="1">IFERROR(__xludf.DUMMYFUNCTION("IMPORTRANGE(""https://docs.google.com/spreadsheets/d/1-uDff_7J0KD5mKrp0Vvzr7lt3OU09vwQwhkpOPPYv2Y/edit?usp=sharing"",""งบพรบ!GD85"")"),0)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IFERROR(__xludf.DUMMYFUNCTION("IMPORTRANGE(""https://docs.google.com/spreadsheets/d/1-uDff_7J0KD5mKrp0Vvzr7lt3OU09vwQwhkpOPPYv2Y/edit?usp=sharing"",""งบพรบ!FZ85"")"),0)</f>
        <v>0</v>
      </c>
      <c r="M542" s="47">
        <f ca="1">IFERROR(__xludf.DUMMYFUNCTION("IMPORTRANGE(""https://docs.google.com/spreadsheets/d/1-uDff_7J0KD5mKrp0Vvzr7lt3OU09vwQwhkpOPPYv2Y/edit?usp=sharing"",""งบพรบ!GC85"")"),0)</f>
        <v>0</v>
      </c>
      <c r="N542" s="47">
        <f ca="1">IFERROR(__xludf.DUMMYFUNCTION("IMPORTRANGE(""https://docs.google.com/spreadsheets/d/1-uDff_7J0KD5mKrp0Vvzr7lt3OU09vwQwhkpOPPYv2Y/edit?usp=sharing"",""งบพรบ!GE85"")"),0)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IFERROR(__xludf.DUMMYFUNCTION("IMPORTRANGE(""https://docs.google.com/spreadsheets/d/1-uDff_7J0KD5mKrp0Vvzr7lt3OU09vwQwhkpOPPYv2Y/edit?usp=sharing"",""งบพรบ!GG85"")"),0)</f>
        <v>0</v>
      </c>
      <c r="M560" s="47">
        <f ca="1">IFERROR(__xludf.DUMMYFUNCTION("IMPORTRANGE(""https://docs.google.com/spreadsheets/d/1-uDff_7J0KD5mKrp0Vvzr7lt3OU09vwQwhkpOPPYv2Y/edit?usp=sharing"",""งบพรบ!GL85"")"),0)</f>
        <v>0</v>
      </c>
      <c r="N560" s="47">
        <f ca="1">IFERROR(__xludf.DUMMYFUNCTION("IMPORTRANGE(""https://docs.google.com/spreadsheets/d/1-uDff_7J0KD5mKrp0Vvzr7lt3OU09vwQwhkpOPPYv2Y/edit?usp=sharing"",""งบพรบ!GN85"")"),0)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IFERROR(__xludf.DUMMYFUNCTION("IMPORTRANGE(""https://docs.google.com/spreadsheets/d/1-uDff_7J0KD5mKrp0Vvzr7lt3OU09vwQwhkpOPPYv2Y/edit?usp=sharing"",""งบพรบ!GJ85"")"),0)</f>
        <v>0</v>
      </c>
      <c r="M563" s="47">
        <f ca="1">IFERROR(__xludf.DUMMYFUNCTION("IMPORTRANGE(""https://docs.google.com/spreadsheets/d/1-uDff_7J0KD5mKrp0Vvzr7lt3OU09vwQwhkpOPPYv2Y/edit?usp=sharing"",""งบพรบ!GM85"")"),0)</f>
        <v>0</v>
      </c>
      <c r="N563" s="47">
        <f ca="1">IFERROR(__xludf.DUMMYFUNCTION("IMPORTRANGE(""https://docs.google.com/spreadsheets/d/1-uDff_7J0KD5mKrp0Vvzr7lt3OU09vwQwhkpOPPYv2Y/edit?usp=sharing"",""งบพรบ!GO85"")"),0)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IFERROR(__xludf.DUMMYFUNCTION("IMPORTRANGE(""https://docs.google.com/spreadsheets/d/1-uDff_7J0KD5mKrp0Vvzr7lt3OU09vwQwhkpOPPYv2Y/edit?usp=sharing"",""งบพรบ!GQ85"")"),0)</f>
        <v>0</v>
      </c>
      <c r="M581" s="47">
        <f ca="1">IFERROR(__xludf.DUMMYFUNCTION("IMPORTRANGE(""https://docs.google.com/spreadsheets/d/1-uDff_7J0KD5mKrp0Vvzr7lt3OU09vwQwhkpOPPYv2Y/edit?usp=sharing"",""งบพรบ!GV85"")"),0)</f>
        <v>0</v>
      </c>
      <c r="N581" s="47">
        <f ca="1">IFERROR(__xludf.DUMMYFUNCTION("IMPORTRANGE(""https://docs.google.com/spreadsheets/d/1-uDff_7J0KD5mKrp0Vvzr7lt3OU09vwQwhkpOPPYv2Y/edit?usp=sharing"",""งบพรบ!GX85"")"),0)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IFERROR(__xludf.DUMMYFUNCTION("IMPORTRANGE(""https://docs.google.com/spreadsheets/d/1-uDff_7J0KD5mKrp0Vvzr7lt3OU09vwQwhkpOPPYv2Y/edit?usp=sharing"",""งบพรบ!GT85"")"),0)</f>
        <v>0</v>
      </c>
      <c r="M584" s="47">
        <f ca="1">IFERROR(__xludf.DUMMYFUNCTION("IMPORTRANGE(""https://docs.google.com/spreadsheets/d/1-uDff_7J0KD5mKrp0Vvzr7lt3OU09vwQwhkpOPPYv2Y/edit?usp=sharing"",""งบพรบ!GW85"")"),0)</f>
        <v>0</v>
      </c>
      <c r="N584" s="47">
        <f ca="1">IFERROR(__xludf.DUMMYFUNCTION("IMPORTRANGE(""https://docs.google.com/spreadsheets/d/1-uDff_7J0KD5mKrp0Vvzr7lt3OU09vwQwhkpOPPYv2Y/edit?usp=sharing"",""งบพรบ!GY85"")"),0)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10980</v>
      </c>
      <c r="M599" s="421">
        <f ca="1">M600+M601</f>
        <v>10980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10980</v>
      </c>
      <c r="M601" s="331">
        <f ca="1">M604+M607</f>
        <v>10980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0">
        <f ca="1">L603+L604</f>
        <v>10980</v>
      </c>
      <c r="M602" s="331">
        <f ca="1">M603+M604</f>
        <v>10980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IFERROR(__xludf.DUMMYFUNCTION("IMPORTRANGE(""https://docs.google.com/spreadsheets/d/1-uDff_7J0KD5mKrp0Vvzr7lt3OU09vwQwhkpOPPYv2Y/edit?usp=sharing"",""งบพรบ!HK85"")"),10980)</f>
        <v>10980</v>
      </c>
      <c r="M604" s="331">
        <f ca="1">IFERROR(__xludf.DUMMYFUNCTION("IMPORTRANGE(""https://docs.google.com/spreadsheets/d/1-uDff_7J0KD5mKrp0Vvzr7lt3OU09vwQwhkpOPPYv2Y/edit?usp=sharing"",""งบพรบ!HP85"")"),10980)</f>
        <v>10980</v>
      </c>
      <c r="N604" s="331">
        <f ca="1">IFERROR(__xludf.DUMMYFUNCTION("IMPORTRANGE(""https://docs.google.com/spreadsheets/d/1-uDff_7J0KD5mKrp0Vvzr7lt3OU09vwQwhkpOPPYv2Y/edit?usp=sharing"",""งบพรบ!HR85"")"),0)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IFERROR(__xludf.DUMMYFUNCTION("IMPORTRANGE(""https://docs.google.com/spreadsheets/d/1ItG2mGa2ceCfYo0BwxsXqNm01IGEUdYcSSLTEv9YCik/edit?usp=sharing"",""เบิกจ่ายกองทุน!AV85"")"),0)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IFERROR(__xludf.DUMMYFUNCTION("IMPORTRANGE(""https://docs.google.com/spreadsheets/d/1ItG2mGa2ceCfYo0BwxsXqNm01IGEUdYcSSLTEv9YCik/edit?usp=sharing"",""เบิกจ่ายกองทุน!AW85"")"),0)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IFERROR(__xludf.DUMMYFUNCTION("IMPORTRANGE(""https://docs.google.com/spreadsheets/d/1ItG2mGa2ceCfYo0BwxsXqNm01IGEUdYcSSLTEv9YCik/edit?usp=sharing"",""เบิกจ่ายกองทุน!AX85"")"),0)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0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0">
        <f ca="1">IFERROR(__xludf.DUMMYFUNCTION("IMPORTRANGE(""https://docs.google.com/spreadsheets/d/1-uDff_7J0KD5mKrp0Vvzr7lt3OU09vwQwhkpOPPYv2Y/edit?usp=sharing"",""งบพรบ!HN85"")"),0)</f>
        <v>0</v>
      </c>
      <c r="M607" s="331">
        <f ca="1">IFERROR(__xludf.DUMMYFUNCTION("IMPORTRANGE(""https://docs.google.com/spreadsheets/d/1-uDff_7J0KD5mKrp0Vvzr7lt3OU09vwQwhkpOPPYv2Y/edit?usp=sharing"",""งบพรบ!HQ85"")"),0)</f>
        <v>0</v>
      </c>
      <c r="N607" s="331">
        <f ca="1">IFERROR(__xludf.DUMMYFUNCTION("IMPORTRANGE(""https://docs.google.com/spreadsheets/d/1-uDff_7J0KD5mKrp0Vvzr7lt3OU09vwQwhkpOPPYv2Y/edit?usp=sharing"",""งบพรบ!HS85"")"),0)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IFERROR(__xludf.DUMMYFUNCTION("IMPORTRANGE(""https://docs.google.com/spreadsheets/d/1ItG2mGa2ceCfYo0BwxsXqNm01IGEUdYcSSLTEv9YCik/edit?usp=sharing"",""เบิกจ่ายกองทุน!AY85"")"),0)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IFERROR(__xludf.DUMMYFUNCTION("IMPORTRANGE(""https://docs.google.com/spreadsheets/d/1ItG2mGa2ceCfYo0BwxsXqNm01IGEUdYcSSLTEv9YCik/edit?usp=sharing"",""เบิกจ่ายกองทุน!AZ85"")"),0)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IFERROR(__xludf.DUMMYFUNCTION("IMPORTRANGE(""https://docs.google.com/spreadsheets/d/1ItG2mGa2ceCfYo0BwxsXqNm01IGEUdYcSSLTEv9YCik/edit?usp=sharing"",""เบิกจ่ายกองทุน!BA85"")"),0)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3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1725</v>
      </c>
      <c r="R616" s="132">
        <f ca="1">R617+R618</f>
        <v>1725</v>
      </c>
      <c r="S616" s="132">
        <f ca="1">S617+S618</f>
        <v>1725</v>
      </c>
      <c r="T616" s="132">
        <f ca="1">IF(Q616&gt;0,S616*100/Q616,0)</f>
        <v>100</v>
      </c>
      <c r="U616" s="132">
        <f ca="1">IF(R616&gt;0,S616*100/R616,0)</f>
        <v>100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1725</v>
      </c>
      <c r="R618" s="47">
        <f ca="1">R621+R624</f>
        <v>1725</v>
      </c>
      <c r="S618" s="47">
        <f ca="1">S621+S624</f>
        <v>1725</v>
      </c>
      <c r="T618" s="47">
        <f ca="1">IF(Q618&gt;0,S618*100/Q618,0)</f>
        <v>100</v>
      </c>
      <c r="U618" s="47">
        <f ca="1">IF(R618&gt;0,S618*100/R618,0)</f>
        <v>100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1725</v>
      </c>
      <c r="R619" s="47">
        <f ca="1">R620+R621</f>
        <v>1725</v>
      </c>
      <c r="S619" s="47">
        <f ca="1">S620+S621</f>
        <v>1725</v>
      </c>
      <c r="T619" s="47">
        <f ca="1">IF(Q619&gt;0,S619*100/Q619,0)</f>
        <v>100</v>
      </c>
      <c r="U619" s="47">
        <f ca="1">IF(R619&gt;0,S619*100/R619,0)</f>
        <v>100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IFERROR(__xludf.DUMMYFUNCTION("IMPORTRANGE(""https://docs.google.com/spreadsheets/d/1ItG2mGa2ceCfYo0BwxsXqNm01IGEUdYcSSLTEv9YCik/edit?usp=sharing"",""เบิกจ่ายกองทุน!F85"")"),1725)</f>
        <v>1725</v>
      </c>
      <c r="R621" s="47">
        <f ca="1">IFERROR(__xludf.DUMMYFUNCTION("IMPORTRANGE(""https://docs.google.com/spreadsheets/d/1ItG2mGa2ceCfYo0BwxsXqNm01IGEUdYcSSLTEv9YCik/edit?usp=sharing"",""เบิกจ่ายกองทุน!G85"")"),1725)</f>
        <v>1725</v>
      </c>
      <c r="S621" s="47">
        <f ca="1">IFERROR(__xludf.DUMMYFUNCTION("IMPORTRANGE(""https://docs.google.com/spreadsheets/d/1ItG2mGa2ceCfYo0BwxsXqNm01IGEUdYcSSLTEv9YCik/edit?usp=sharing"",""เบิกจ่ายกองทุน!H85"")"),1725)</f>
        <v>1725</v>
      </c>
      <c r="T621" s="47">
        <f ca="1">IF(Q621&gt;0,S621*100/Q621,0)</f>
        <v>100</v>
      </c>
      <c r="U621" s="47">
        <f ca="1">IF(R621&gt;0,S621*100/R621,0)</f>
        <v>100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IFERROR(__xludf.DUMMYFUNCTION("IMPORTRANGE(""https://docs.google.com/spreadsheets/d/1eHaY18a8A9IcSdp1K8H6x8fbOy06t2VsZHhMHf-1x7Y/edit?usp=sharing"",""แผน!IC85"")"),1)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IFERROR(__xludf.DUMMYFUNCTION("IMPORTRANGE(""https://docs.google.com/spreadsheets/d/1eHaY18a8A9IcSdp1K8H6x8fbOy06t2VsZHhMHf-1x7Y/edit?usp=sharing"",""แผน!IC85"")"),1)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IFERROR(__xludf.DUMMYFUNCTION("IMPORTRANGE(""https://docs.google.com/spreadsheets/d/1eHaY18a8A9IcSdp1K8H6x8fbOy06t2VsZHhMHf-1x7Y/edit?usp=sharing"",""แผน!IF85"")"),0)</f>
        <v>0</v>
      </c>
      <c r="J652" s="152">
        <f ca="1">IFERROR(__xludf.DUMMYFUNCTION("IMPORTRANGE(""https://docs.google.com/spreadsheets/d/1tdoBKaGub7dwA3U6UFTqxio9LNnvDCQjHKmttSEBsFQ/edit?usp=sharing"",""จัดที่ดิน!AU85"")"),0)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IFERROR(__xludf.DUMMYFUNCTION("IMPORTRANGE(""https://docs.google.com/spreadsheets/d/1eHaY18a8A9IcSdp1K8H6x8fbOy06t2VsZHhMHf-1x7Y/edit?usp=sharing"",""แผน!IG85"")"),0)</f>
        <v>0</v>
      </c>
      <c r="J653" s="152">
        <f ca="1">IFERROR(__xludf.DUMMYFUNCTION("IMPORTRANGE(""https://docs.google.com/spreadsheets/d/1tdoBKaGub7dwA3U6UFTqxio9LNnvDCQjHKmttSEBsFQ/edit?usp=sharing"",""จัดที่ดิน!AW85"")"),0)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IFERROR(__xludf.DUMMYFUNCTION("IMPORTRANGE(""https://docs.google.com/spreadsheets/d/1eHaY18a8A9IcSdp1K8H6x8fbOy06t2VsZHhMHf-1x7Y/edit?usp=sharing"",""แผน!IL85"")"),0)</f>
        <v>0</v>
      </c>
      <c r="J673" s="152">
        <f ca="1">IFERROR(__xludf.DUMMYFUNCTION("IMPORTRANGE(""https://docs.google.com/spreadsheets/d/1tdoBKaGub7dwA3U6UFTqxio9LNnvDCQjHKmttSEBsFQ/edit?usp=sharing"",""จัดที่ดิน!BA85"")"),0)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IFERROR(__xludf.DUMMYFUNCTION("IMPORTRANGE(""https://docs.google.com/spreadsheets/d/1eHaY18a8A9IcSdp1K8H6x8fbOy06t2VsZHhMHf-1x7Y/edit?usp=sharing"",""แผน!IO85"")"),0)</f>
        <v>0</v>
      </c>
      <c r="J676" s="152">
        <f ca="1">IFERROR(__xludf.DUMMYFUNCTION("IMPORTRANGE(""https://docs.google.com/spreadsheets/d/1tdoBKaGub7dwA3U6UFTqxio9LNnvDCQjHKmttSEBsFQ/edit?usp=sharing"",""จัดที่ดิน!BF85"")"),0)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IFERROR(__xludf.DUMMYFUNCTION("IMPORTRANGE(""https://docs.google.com/spreadsheets/d/1eHaY18a8A9IcSdp1K8H6x8fbOy06t2VsZHhMHf-1x7Y/edit?usp=sharing"",""แผน!IP85"")"),0)</f>
        <v>0</v>
      </c>
      <c r="J678" s="152">
        <f ca="1">IFERROR(__xludf.DUMMYFUNCTION("IMPORTRANGE(""https://docs.google.com/spreadsheets/d/1tdoBKaGub7dwA3U6UFTqxio9LNnvDCQjHKmttSEBsFQ/edit?usp=sharing"",""จัดที่ดิน!BH85"")"),0)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IFERROR(__xludf.DUMMYFUNCTION("IMPORTRANGE(""https://docs.google.com/spreadsheets/d/1eHaY18a8A9IcSdp1K8H6x8fbOy06t2VsZHhMHf-1x7Y/edit?usp=sharing"",""แผน!IQ85"")"),0)</f>
        <v>0</v>
      </c>
      <c r="J679" s="152">
        <f ca="1">IFERROR(__xludf.DUMMYFUNCTION("IMPORTRANGE(""https://docs.google.com/spreadsheets/d/1tdoBKaGub7dwA3U6UFTqxio9LNnvDCQjHKmttSEBsFQ/edit?usp=sharing"",""จัดที่ดิน!BK85"")"),0)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IFERROR(__xludf.DUMMYFUNCTION("IMPORTRANGE(""https://docs.google.com/spreadsheets/d/1eHaY18a8A9IcSdp1K8H6x8fbOy06t2VsZHhMHf-1x7Y/edit?usp=sharing"",""แผน!IR85"")"),0)</f>
        <v>0</v>
      </c>
      <c r="J681" s="152">
        <f ca="1">IFERROR(__xludf.DUMMYFUNCTION("IMPORTRANGE(""https://docs.google.com/spreadsheets/d/1tdoBKaGub7dwA3U6UFTqxio9LNnvDCQjHKmttSEBsFQ/edit?usp=sharing"",""จัดที่ดิน!BM85"")"),0)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66220</v>
      </c>
      <c r="R690" s="132">
        <f ca="1">R691+R692</f>
        <v>66220</v>
      </c>
      <c r="S690" s="132">
        <f ca="1">S691+S692</f>
        <v>9943.09</v>
      </c>
      <c r="T690" s="132">
        <f ca="1">IF(Q690&gt;0,S690*100/Q690,0)</f>
        <v>15.015237088492903</v>
      </c>
      <c r="U690" s="132">
        <f ca="1">IF(R690&gt;0,S690*100/R690,0)</f>
        <v>15.015237088492903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66220</v>
      </c>
      <c r="R692" s="47">
        <f ca="1">R695+R698</f>
        <v>66220</v>
      </c>
      <c r="S692" s="47">
        <f ca="1">S695+S698</f>
        <v>9943.09</v>
      </c>
      <c r="T692" s="47">
        <f ca="1">IF(Q692&gt;0,S692*100/Q692,0)</f>
        <v>15.015237088492903</v>
      </c>
      <c r="U692" s="47">
        <f ca="1">IF(R692&gt;0,S692*100/R692,0)</f>
        <v>15.015237088492903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66220</v>
      </c>
      <c r="R693" s="47">
        <f ca="1">R694+R695</f>
        <v>66220</v>
      </c>
      <c r="S693" s="47">
        <f ca="1">S694+S695</f>
        <v>9943.09</v>
      </c>
      <c r="T693" s="47">
        <f ca="1">IF(Q693&gt;0,S693*100/Q693,0)</f>
        <v>15.015237088492903</v>
      </c>
      <c r="U693" s="47">
        <f ca="1">IF(R693&gt;0,S693*100/R693,0)</f>
        <v>15.015237088492903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IFERROR(__xludf.DUMMYFUNCTION("IMPORTRANGE(""https://docs.google.com/spreadsheets/d/1ItG2mGa2ceCfYo0BwxsXqNm01IGEUdYcSSLTEv9YCik/edit?usp=sharing"",""เบิกจ่ายกองทุน!L85"")"),66220)</f>
        <v>66220</v>
      </c>
      <c r="R695" s="47">
        <f ca="1">IFERROR(__xludf.DUMMYFUNCTION("IMPORTRANGE(""https://docs.google.com/spreadsheets/d/1ItG2mGa2ceCfYo0BwxsXqNm01IGEUdYcSSLTEv9YCik/edit?usp=sharing"",""เบิกจ่ายกองทุน!M85"")"),66220)</f>
        <v>66220</v>
      </c>
      <c r="S695" s="47">
        <f ca="1">IFERROR(__xludf.DUMMYFUNCTION("IMPORTRANGE(""https://docs.google.com/spreadsheets/d/1ItG2mGa2ceCfYo0BwxsXqNm01IGEUdYcSSLTEv9YCik/edit?usp=sharing"",""เบิกจ่ายกองทุน!N85"")"),9943.09)</f>
        <v>9943.09</v>
      </c>
      <c r="T695" s="47">
        <f ca="1">IF(Q695&gt;0,S695*100/Q695,0)</f>
        <v>15.015237088492903</v>
      </c>
      <c r="U695" s="47">
        <f ca="1">IF(R695&gt;0,S695*100/R695,0)</f>
        <v>15.015237088492903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IFERROR(__xludf.DUMMYFUNCTION("IMPORTRANGE(""https://docs.google.com/spreadsheets/d/1eHaY18a8A9IcSdp1K8H6x8fbOy06t2VsZHhMHf-1x7Y/edit?usp=sharing"",""แผน!LJ85"")"),0)</f>
        <v>0</v>
      </c>
      <c r="J703" s="152">
        <f ca="1">IFERROR(__xludf.DUMMYFUNCTION("IMPORTRANGE(""https://docs.google.com/spreadsheets/d/1tdoBKaGub7dwA3U6UFTqxio9LNnvDCQjHKmttSEBsFQ/edit?usp=sharing"",""จัดที่ดิน!AP85"")"),0)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IFERROR(__xludf.DUMMYFUNCTION("IMPORTRANGE(""https://docs.google.com/spreadsheets/d/1eHaY18a8A9IcSdp1K8H6x8fbOy06t2VsZHhMHf-1x7Y/edit?usp=sharing"",""แผน!LK85"")"),3)</f>
        <v>3</v>
      </c>
      <c r="J705" s="152">
        <f ca="1">IFERROR(__xludf.DUMMYFUNCTION("IMPORTRANGE(""https://docs.google.com/spreadsheets/d/1tdoBKaGub7dwA3U6UFTqxio9LNnvDCQjHKmttSEBsFQ/edit?usp=sharing"",""จัดที่ดิน!AR85"")"),0)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IFERROR(__xludf.DUMMYFUNCTION("IMPORTRANGE(""https://docs.google.com/spreadsheets/d/1eHaY18a8A9IcSdp1K8H6x8fbOy06t2VsZHhMHf-1x7Y/edit?usp=sharing"",""แผน!LJ85"")"),0)</f>
        <v>0</v>
      </c>
      <c r="J707" s="152">
        <f ca="1">IFERROR(__xludf.DUMMYFUNCTION("IMPORTRANGE(""https://docs.google.com/spreadsheets/d/1tdoBKaGub7dwA3U6UFTqxio9LNnvDCQjHKmttSEBsFQ/edit?usp=sharing"",""จัดที่ดิน!BN85"")"),0)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IFERROR(__xludf.DUMMYFUNCTION("IMPORTRANGE(""https://docs.google.com/spreadsheets/d/1eHaY18a8A9IcSdp1K8H6x8fbOy06t2VsZHhMHf-1x7Y/edit?usp=sharing"",""แผน!LK85"")"),3)</f>
        <v>3</v>
      </c>
      <c r="J709" s="152">
        <f ca="1">IFERROR(__xludf.DUMMYFUNCTION("IMPORTRANGE(""https://docs.google.com/spreadsheets/d/1tdoBKaGub7dwA3U6UFTqxio9LNnvDCQjHKmttSEBsFQ/edit?usp=sharing"",""จัดที่ดิน!BP85"")"),6)</f>
        <v>6</v>
      </c>
      <c r="K709" s="47">
        <f ca="1">IF(I709&gt;0,J709*100/I709,0)</f>
        <v>200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IFERROR(__xludf.DUMMYFUNCTION("IMPORTRANGE(""https://docs.google.com/spreadsheets/d/1eHaY18a8A9IcSdp1K8H6x8fbOy06t2VsZHhMHf-1x7Y/edit?usp=sharing"",""แผน!GA85"")"),51)</f>
        <v>51</v>
      </c>
      <c r="J726" s="483">
        <f>J742+J746+J749</f>
        <v>50</v>
      </c>
      <c r="K726" s="484">
        <f ca="1">IF(I726&gt;0,J726*100/I726,0)</f>
        <v>98.039215686274517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IFERROR(__xludf.DUMMYFUNCTION("IMPORTRANGE(""https://docs.google.com/spreadsheets/d/1eHaY18a8A9IcSdp1K8H6x8fbOy06t2VsZHhMHf-1x7Y/edit?usp=sharing"",""แผน!FZ85"")"),500)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38080.01</v>
      </c>
      <c r="T728" s="132">
        <f ca="1">IF(Q728&gt;0,S728*100/Q728,0)</f>
        <v>10.045110659737793</v>
      </c>
      <c r="U728" s="132">
        <f ca="1">IF(R728&gt;0,S728*100/R728,0)</f>
        <v>10.045110659737793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38080.01</v>
      </c>
      <c r="T730" s="47">
        <f ca="1">IF(Q730&gt;0,S730*100/Q730,0)</f>
        <v>10.045110659737793</v>
      </c>
      <c r="U730" s="47">
        <f ca="1">IF(R730&gt;0,S730*100/R730,0)</f>
        <v>10.045110659737793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38080.01</v>
      </c>
      <c r="T731" s="47">
        <f ca="1">IF(Q731&gt;0,S731*100/Q731,0)</f>
        <v>10.045110659737793</v>
      </c>
      <c r="U731" s="47">
        <f ca="1">IF(R731&gt;0,S731*100/R731,0)</f>
        <v>10.045110659737793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IFERROR(__xludf.DUMMYFUNCTION("IMPORTRANGE(""https://docs.google.com/spreadsheets/d/1ItG2mGa2ceCfYo0BwxsXqNm01IGEUdYcSSLTEv9YCik/edit?usp=sharing"",""เบิกจ่ายกองทุน!O85"")"),379090)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IFERROR(__xludf.DUMMYFUNCTION("IMPORTRANGE(""https://docs.google.com/spreadsheets/d/1ItG2mGa2ceCfYo0BwxsXqNm01IGEUdYcSSLTEv9YCik/edit?usp=sharing"",""เบิกจ่ายกองทุน!P85"")"),379090)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IFERROR(__xludf.DUMMYFUNCTION("IMPORTRANGE(""https://docs.google.com/spreadsheets/d/1ItG2mGa2ceCfYo0BwxsXqNm01IGEUdYcSSLTEv9YCik/edit?usp=sharing"",""เบิกจ่ายกองทุน!Q85"")"),38080.01)</f>
        <v>38080.01</v>
      </c>
      <c r="T733" s="47">
        <f ca="1">IF(Q733&gt;0,S733*100/Q733,0)</f>
        <v>10.045110659737793</v>
      </c>
      <c r="U733" s="47">
        <f ca="1">IF(R733&gt;0,S733*100/R733,0)</f>
        <v>10.045110659737793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432"/>
      <c r="B739" s="433"/>
      <c r="C739" s="433"/>
      <c r="D739" s="433"/>
      <c r="E739" s="438" t="s">
        <v>273</v>
      </c>
      <c r="F739" s="433"/>
      <c r="G739" s="439"/>
      <c r="H739" s="328"/>
      <c r="I739" s="420"/>
      <c r="J739" s="420"/>
      <c r="K739" s="332"/>
      <c r="L739" s="553"/>
      <c r="M739" s="332"/>
      <c r="N739" s="332"/>
      <c r="O739" s="332"/>
      <c r="P739" s="332"/>
      <c r="Q739" s="332"/>
      <c r="R739" s="332"/>
      <c r="S739" s="332"/>
      <c r="T739" s="332"/>
      <c r="U739" s="332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IFERROR(__xludf.DUMMYFUNCTION("IMPORTRANGE(""https://docs.google.com/spreadsheets/d/1eHaY18a8A9IcSdp1K8H6x8fbOy06t2VsZHhMHf-1x7Y/edit?usp=sharing"",""แผน!GB85"")"),400)</f>
        <v>400</v>
      </c>
      <c r="J740" s="554">
        <v>455</v>
      </c>
      <c r="K740" s="331">
        <f ca="1">IF(I740&gt;0,J740*100/I740,0)</f>
        <v>113.75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40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IFERROR(__xludf.DUMMYFUNCTION("IMPORTRANGE(""https://docs.google.com/spreadsheets/d/1eHaY18a8A9IcSdp1K8H6x8fbOy06t2VsZHhMHf-1x7Y/edit?usp=sharing"",""แผน!GC85"")"),40)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IFERROR(__xludf.DUMMYFUNCTION("IMPORTRANGE(""https://docs.google.com/spreadsheets/d/1eHaY18a8A9IcSdp1K8H6x8fbOy06t2VsZHhMHf-1x7Y/edit?usp=sharing"",""แผน!GD85"")"),100)</f>
        <v>100</v>
      </c>
      <c r="J744" s="554">
        <v>115</v>
      </c>
      <c r="K744" s="331">
        <f ca="1">IF(I744&gt;0,J744*100/I744,0)</f>
        <v>115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10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IFERROR(__xludf.DUMMYFUNCTION("IMPORTRANGE(""https://docs.google.com/spreadsheets/d/1eHaY18a8A9IcSdp1K8H6x8fbOy06t2VsZHhMHf-1x7Y/edit?usp=sharing"",""แผน!GE85"")"),10)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IFERROR(__xludf.DUMMYFUNCTION("IMPORTRANGE(""https://docs.google.com/spreadsheets/d/1eHaY18a8A9IcSdp1K8H6x8fbOy06t2VsZHhMHf-1x7Y/edit?usp=sharing"",""แผน!GB85"")"),400)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IFERROR(__xludf.DUMMYFUNCTION("IMPORTRANGE(""https://docs.google.com/spreadsheets/d/1eHaY18a8A9IcSdp1K8H6x8fbOy06t2VsZHhMHf-1x7Y/edit?usp=sharing"",""แผน!GD85"")"),100)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109660</v>
      </c>
      <c r="R760" s="132">
        <f ca="1">R761+R762</f>
        <v>109660</v>
      </c>
      <c r="S760" s="132">
        <f ca="1">S761+S762</f>
        <v>64780</v>
      </c>
      <c r="T760" s="132">
        <f ca="1">IF(Q760&gt;0,S760*100/Q760,0)</f>
        <v>59.073499908809048</v>
      </c>
      <c r="U760" s="132">
        <f ca="1">IF(R760&gt;0,S760*100/R760,0)</f>
        <v>59.073499908809048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109660</v>
      </c>
      <c r="R762" s="47">
        <f ca="1">R765+R768</f>
        <v>109660</v>
      </c>
      <c r="S762" s="47">
        <f ca="1">S765+S768</f>
        <v>64780</v>
      </c>
      <c r="T762" s="47">
        <f ca="1">IF(Q762&gt;0,S762*100/Q762,0)</f>
        <v>59.073499908809048</v>
      </c>
      <c r="U762" s="47">
        <f ca="1">IF(R762&gt;0,S762*100/R762,0)</f>
        <v>59.073499908809048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109660</v>
      </c>
      <c r="R763" s="47">
        <f ca="1">R764+R765</f>
        <v>109660</v>
      </c>
      <c r="S763" s="47">
        <f ca="1">S764+S765</f>
        <v>64780</v>
      </c>
      <c r="T763" s="47">
        <f ca="1">IF(Q763&gt;0,S763*100/Q763,0)</f>
        <v>59.073499908809048</v>
      </c>
      <c r="U763" s="47">
        <f ca="1">IF(R763&gt;0,S763*100/R763,0)</f>
        <v>59.073499908809048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IFERROR(__xludf.DUMMYFUNCTION("IMPORTRANGE(""https://docs.google.com/spreadsheets/d/1ItG2mGa2ceCfYo0BwxsXqNm01IGEUdYcSSLTEv9YCik/edit?usp=sharing"",""เบิกจ่ายกองทุน!AA85"")"),109660)</f>
        <v>109660</v>
      </c>
      <c r="R765" s="47">
        <f ca="1">IFERROR(__xludf.DUMMYFUNCTION("IMPORTRANGE(""https://docs.google.com/spreadsheets/d/1ItG2mGa2ceCfYo0BwxsXqNm01IGEUdYcSSLTEv9YCik/edit?usp=sharing"",""เบิกจ่ายกองทุน!AB85"")"),109660)</f>
        <v>109660</v>
      </c>
      <c r="S765" s="47">
        <f ca="1">IFERROR(__xludf.DUMMYFUNCTION("IMPORTRANGE(""https://docs.google.com/spreadsheets/d/1ItG2mGa2ceCfYo0BwxsXqNm01IGEUdYcSSLTEv9YCik/edit?usp=sharing"",""เบิกจ่ายกองทุน!AC85"")"),64780)</f>
        <v>64780</v>
      </c>
      <c r="T765" s="47">
        <f ca="1">IF(Q765&gt;0,S765*100/Q765,0)</f>
        <v>59.073499908809048</v>
      </c>
      <c r="U765" s="47">
        <f ca="1">IF(R765&gt;0,S765*100/R765,0)</f>
        <v>59.073499908809048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IFERROR(__xludf.DUMMYFUNCTION("IMPORTRANGE(""https://docs.google.com/spreadsheets/d/1eHaY18a8A9IcSdp1K8H6x8fbOy06t2VsZHhMHf-1x7Y/edit?usp=sharing"",""แผน!FQ85"")"),20)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IFERROR(__xludf.DUMMYFUNCTION("IMPORTRANGE(""https://docs.google.com/spreadsheets/d/1eHaY18a8A9IcSdp1K8H6x8fbOy06t2VsZHhMHf-1x7Y/edit?usp=sharing"",""แผน!FR85"")"),20)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IFERROR(__xludf.DUMMYFUNCTION("IMPORTRANGE(""https://docs.google.com/spreadsheets/d/1eHaY18a8A9IcSdp1K8H6x8fbOy06t2VsZHhMHf-1x7Y/edit?usp=sharing"",""แผน!FS85"")"),20)</f>
        <v>20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IFERROR(__xludf.DUMMYFUNCTION("IMPORTRANGE(""https://docs.google.com/spreadsheets/d/1eHaY18a8A9IcSdp1K8H6x8fbOy06t2VsZHhMHf-1x7Y/edit?usp=sharing"",""แผน!FT85"")"),20)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IFERROR(__xludf.DUMMYFUNCTION("IMPORTRANGE(""https://docs.google.com/spreadsheets/d/10OvvATaaLtwErnr3qtWFcTmtbfpFEt5Bsqel9sXx0uE/edit?usp=sharing"",""งานกองทุน!D85"")"),1451596.33)</f>
        <v>1451596.33</v>
      </c>
      <c r="J778" s="152">
        <f ca="1">IFERROR(__xludf.DUMMYFUNCTION("IMPORTRANGE(""https://docs.google.com/spreadsheets/d/10OvvATaaLtwErnr3qtWFcTmtbfpFEt5Bsqel9sXx0uE/edit?usp=sharing"",""งานกองทุน!F85"")"),895655.05)</f>
        <v>895655.05</v>
      </c>
      <c r="K778" s="47">
        <f ca="1">IF(I778&gt;0,J778*100/I778,0)</f>
        <v>61.701385673798164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IFERROR(__xludf.DUMMYFUNCTION("IMPORTRANGE(""https://docs.google.com/spreadsheets/d/10OvvATaaLtwErnr3qtWFcTmtbfpFEt5Bsqel9sXx0uE/edit?usp=sharing"",""งานกองทุน!C85"")"),152)</f>
        <v>152</v>
      </c>
      <c r="J779" s="152">
        <f ca="1">IFERROR(__xludf.DUMMYFUNCTION("IMPORTRANGE(""https://docs.google.com/spreadsheets/d/10OvvATaaLtwErnr3qtWFcTmtbfpFEt5Bsqel9sXx0uE/edit?usp=sharing"",""งานกองทุน!E85"")"),98)</f>
        <v>98</v>
      </c>
      <c r="K779" s="47">
        <f ca="1">IF(I779&gt;0,J779*100/I779,0)</f>
        <v>64.473684210526315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IFERROR(__xludf.DUMMYFUNCTION("IMPORTRANGE(""https://docs.google.com/spreadsheets/d/10OvvATaaLtwErnr3qtWFcTmtbfpFEt5Bsqel9sXx0uE/edit?usp=sharing"",""งานกองทุน!I85"")"),1576971.94)</f>
        <v>1576971.94</v>
      </c>
      <c r="J780" s="152">
        <f ca="1">IFERROR(__xludf.DUMMYFUNCTION("IMPORTRANGE(""https://docs.google.com/spreadsheets/d/10OvvATaaLtwErnr3qtWFcTmtbfpFEt5Bsqel9sXx0uE/edit?usp=sharing"",""งานกองทุน!K85"")"),142407.83)</f>
        <v>142407.82999999999</v>
      </c>
      <c r="K780" s="47">
        <f ca="1">IF(I780&gt;0,J780*100/I780,0)</f>
        <v>9.0304606180881049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IFERROR(__xludf.DUMMYFUNCTION("IMPORTRANGE(""https://docs.google.com/spreadsheets/d/10OvvATaaLtwErnr3qtWFcTmtbfpFEt5Bsqel9sXx0uE/edit?usp=sharing"",""งานกองทุน!H85"")"),99)</f>
        <v>99</v>
      </c>
      <c r="J781" s="152">
        <f ca="1">IFERROR(__xludf.DUMMYFUNCTION("IMPORTRANGE(""https://docs.google.com/spreadsheets/d/10OvvATaaLtwErnr3qtWFcTmtbfpFEt5Bsqel9sXx0uE/edit?usp=sharing"",""งานกองทุน!J85"")"),16)</f>
        <v>16</v>
      </c>
      <c r="K781" s="47">
        <f ca="1">IF(I781&gt;0,J781*100/I781,0)</f>
        <v>16.161616161616163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IFERROR(__xludf.DUMMYFUNCTION("IMPORTRANGE(""https://docs.google.com/spreadsheets/d/10OvvATaaLtwErnr3qtWFcTmtbfpFEt5Bsqel9sXx0uE/edit?usp=sharing"",""งานกองทุน!N85"")"),0)</f>
        <v>0</v>
      </c>
      <c r="J782" s="152">
        <f ca="1">IFERROR(__xludf.DUMMYFUNCTION("IMPORTRANGE(""https://docs.google.com/spreadsheets/d/10OvvATaaLtwErnr3qtWFcTmtbfpFEt5Bsqel9sXx0uE/edit?usp=sharing"",""งานกองทุน!P85"")"),0)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IFERROR(__xludf.DUMMYFUNCTION("IMPORTRANGE(""https://docs.google.com/spreadsheets/d/10OvvATaaLtwErnr3qtWFcTmtbfpFEt5Bsqel9sXx0uE/edit?usp=sharing"",""งานกองทุน!M85"")"),0)</f>
        <v>0</v>
      </c>
      <c r="J783" s="152">
        <f ca="1">IFERROR(__xludf.DUMMYFUNCTION("IMPORTRANGE(""https://docs.google.com/spreadsheets/d/10OvvATaaLtwErnr3qtWFcTmtbfpFEt5Bsqel9sXx0uE/edit?usp=sharing"",""งานกองทุน!O85"")"),0)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IFERROR(__xludf.DUMMYFUNCTION("IMPORTRANGE(""https://docs.google.com/spreadsheets/d/10OvvATaaLtwErnr3qtWFcTmtbfpFEt5Bsqel9sXx0uE/edit?usp=sharing"",""งานกองทุน!S85"")"),1288000)</f>
        <v>1288000</v>
      </c>
      <c r="J784" s="152">
        <f ca="1">IFERROR(__xludf.DUMMYFUNCTION("IMPORTRANGE(""https://docs.google.com/spreadsheets/d/10OvvATaaLtwErnr3qtWFcTmtbfpFEt5Bsqel9sXx0uE/edit?usp=sharing"",""งานกองทุน!U85"")"),480000)</f>
        <v>480000</v>
      </c>
      <c r="K784" s="47">
        <f ca="1">IF(I784&gt;0,J784*100/I784,0)</f>
        <v>37.267080745341616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IFERROR(__xludf.DUMMYFUNCTION("IMPORTRANGE(""https://docs.google.com/spreadsheets/d/10OvvATaaLtwErnr3qtWFcTmtbfpFEt5Bsqel9sXx0uE/edit?usp=sharing"",""งานกองทุน!R85"")"),46)</f>
        <v>46</v>
      </c>
      <c r="J785" s="197">
        <f ca="1">IFERROR(__xludf.DUMMYFUNCTION("IMPORTRANGE(""https://docs.google.com/spreadsheets/d/10OvvATaaLtwErnr3qtWFcTmtbfpFEt5Bsqel9sXx0uE/edit?usp=sharing"",""งานกองทุน!T85"")"),15)</f>
        <v>15</v>
      </c>
      <c r="K785" s="111">
        <f ca="1">IF(I785&gt;0,J785*100/I785,0)</f>
        <v>32.608695652173914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127E39-8A43-4783-8DAF-6279B0EB4F01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326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3140850</v>
      </c>
      <c r="M18" s="35">
        <f ca="1">M19+M20</f>
        <v>3555759</v>
      </c>
      <c r="N18" s="35">
        <f ca="1">N19+N20</f>
        <v>2576343.21</v>
      </c>
      <c r="O18" s="35">
        <f ca="1">IF(L18&gt;0,N18*100/L18,0)</f>
        <v>82.026942069821857</v>
      </c>
      <c r="P18" s="35">
        <f ca="1">IF(M18&gt;0,N18*100/M18,0)</f>
        <v>72.45550696771069</v>
      </c>
      <c r="Q18" s="35">
        <f ca="1">Q19+Q20</f>
        <v>1915609.22</v>
      </c>
      <c r="R18" s="35">
        <f ca="1">R19+R20</f>
        <v>1915609</v>
      </c>
      <c r="S18" s="35">
        <f ca="1">S19+S20</f>
        <v>670383</v>
      </c>
      <c r="T18" s="35">
        <f ca="1">IF(Q18&gt;0,S18*100/Q18,0)</f>
        <v>34.995811932874282</v>
      </c>
      <c r="U18" s="35">
        <f ca="1">IF(R18&gt;0,S18*100/R18,0)</f>
        <v>34.995815952002729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3140850</v>
      </c>
      <c r="M20" s="39">
        <f ca="1">M23+M26</f>
        <v>3555759</v>
      </c>
      <c r="N20" s="39">
        <f ca="1">N23+N26</f>
        <v>2576343.21</v>
      </c>
      <c r="O20" s="39">
        <f ca="1">IF(L20&gt;0,N20*100/L20,0)</f>
        <v>82.026942069821857</v>
      </c>
      <c r="P20" s="39">
        <f ca="1">IF(M20&gt;0,N20*100/M20,0)</f>
        <v>72.45550696771069</v>
      </c>
      <c r="Q20" s="39">
        <f ca="1">Q23+Q26</f>
        <v>1915609.22</v>
      </c>
      <c r="R20" s="39">
        <f ca="1">R23+R26</f>
        <v>1915609</v>
      </c>
      <c r="S20" s="39">
        <f ca="1">S23+S26</f>
        <v>670383</v>
      </c>
      <c r="T20" s="39">
        <f ca="1">IF(Q20&gt;0,S20*100/Q20,0)</f>
        <v>34.995811932874282</v>
      </c>
      <c r="U20" s="39">
        <f ca="1">IF(R20&gt;0,S20*100/R20,0)</f>
        <v>34.995815952002729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2962850</v>
      </c>
      <c r="M21" s="47">
        <f ca="1">M22+M23</f>
        <v>3377759</v>
      </c>
      <c r="N21" s="47">
        <f ca="1">N22+N23</f>
        <v>2398343.21</v>
      </c>
      <c r="O21" s="47">
        <f ca="1">IF(L21&gt;0,N21*100/L21,0)</f>
        <v>80.947169448335217</v>
      </c>
      <c r="P21" s="47">
        <f ca="1">IF(M21&gt;0,N21*100/M21,0)</f>
        <v>71.003976601054134</v>
      </c>
      <c r="Q21" s="47">
        <f ca="1">Q22+Q23</f>
        <v>1915609.22</v>
      </c>
      <c r="R21" s="47">
        <f ca="1">R22+R23</f>
        <v>1915609</v>
      </c>
      <c r="S21" s="47">
        <f ca="1">S22+S23</f>
        <v>670383</v>
      </c>
      <c r="T21" s="47">
        <f ca="1">IF(Q21&gt;0,S21*100/Q21,0)</f>
        <v>34.995811932874282</v>
      </c>
      <c r="U21" s="47">
        <f ca="1">IF(R21&gt;0,S21*100/R21,0)</f>
        <v>34.995815952002729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2962850</v>
      </c>
      <c r="M23" s="47">
        <f ca="1">M49+M64+M77+M99+M122+M144+M162+M191+M178+M271+M287+M308+M325+M338+M361+M380+M418+M498+M518+M539+M560+M581+M604+M621+M647+M695+M719+M733+M765</f>
        <v>3377759</v>
      </c>
      <c r="N23" s="47">
        <f ca="1">N49+N64+N77+N99+N122+N144+N162+N191+N178+N271+N287+N308+N325+N338+N361+N380+N418+N498+N518+N539+N560+N581+N604+N621+N647+N695+N719+N733+N765</f>
        <v>2398343.21</v>
      </c>
      <c r="O23" s="47">
        <f ca="1">IF(L23&gt;0,N23*100/L23,0)</f>
        <v>80.947169448335217</v>
      </c>
      <c r="P23" s="47">
        <f ca="1">IF(M23&gt;0,N23*100/M23,0)</f>
        <v>71.003976601054134</v>
      </c>
      <c r="Q23" s="47">
        <f ca="1">Q77+Q99+Q122+Q144+Q162+Q178+Q191+Q271+Q287+Q308+Q338+Q380+Q397+Q418+Q498+Q604+Q621+Q647+Q695+Q719+Q733+Q765</f>
        <v>1915609.22</v>
      </c>
      <c r="R23" s="47">
        <f ca="1">R77+R99+R122+R144+R162+R178+R191+R271+R287+R308+R338+R380+R397+R418+R498+R604+R621+R647+R695+R719+R733+R765</f>
        <v>1915609</v>
      </c>
      <c r="S23" s="47">
        <f ca="1">S77+S99+S122+S144+S162+S178+S191+S271+S287+S308+S338+S380+S397+S418+S498+S604+S621+S647+S695+S719+S733+S765</f>
        <v>670383</v>
      </c>
      <c r="T23" s="47">
        <f ca="1">IF(Q23&gt;0,S23*100/Q23,0)</f>
        <v>34.995811932874282</v>
      </c>
      <c r="U23" s="47">
        <f ca="1">IF(R23&gt;0,S23*100/R23,0)</f>
        <v>34.995815952002729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178000</v>
      </c>
      <c r="M24" s="47">
        <f ca="1">M25+M26</f>
        <v>178000</v>
      </c>
      <c r="N24" s="47">
        <f ca="1">N25+N26</f>
        <v>178000</v>
      </c>
      <c r="O24" s="47">
        <f ca="1">IF(L24&gt;0,N24*100/L24,0)</f>
        <v>100</v>
      </c>
      <c r="P24" s="47">
        <f ca="1">IF(M24&gt;0,N24*100/M24,0)</f>
        <v>100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178000</v>
      </c>
      <c r="M26" s="47">
        <f ca="1">M52+M67+M80+M102+M125+M147+M165+M194+M181+M274+M290+M311+M328+M341+M364+M383+M421+M501+M521+M542+M563+M584+M607+M624+M650+M698+M722+M736+M768</f>
        <v>178000</v>
      </c>
      <c r="N26" s="47">
        <f ca="1">N52+N67+N80+N102+N125+N147+N165+N194+N181+N274+N290+N311+N328+N341+N364+N383+N421+N501+N521+N542+N563+N584+N607+N624+N650+N698+N722+N736+N768</f>
        <v>178000</v>
      </c>
      <c r="O26" s="47">
        <f ca="1">IF(L26&gt;0,N26*100/L26,0)</f>
        <v>100</v>
      </c>
      <c r="P26" s="47">
        <f ca="1">IF(M26&gt;0,N26*100/M26,0)</f>
        <v>100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3063000</v>
      </c>
      <c r="M40" s="802">
        <f ca="1">M44+M59+M72+M94+M125+M139+M157+M173+M186+M266+M282+M303+M320+M333+M356</f>
        <v>3477909</v>
      </c>
      <c r="N40" s="802">
        <f ca="1">N44+N59+N72+N94+N125+N139+N157+N173+N186+N266+N282+N303+N320+N333+N356</f>
        <v>2562323.21</v>
      </c>
      <c r="O40" s="802">
        <f ca="1">IF(L40&gt;0,N40*100/L40,0)</f>
        <v>83.654038850799864</v>
      </c>
      <c r="P40" s="802">
        <f ca="1">IF(M40&gt;0,N40*100/M40,0)</f>
        <v>73.67424535834607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600100</v>
      </c>
      <c r="M44" s="79">
        <f ca="1">M45+M46</f>
        <v>735349</v>
      </c>
      <c r="N44" s="79">
        <f ca="1">N45+N46</f>
        <v>558426</v>
      </c>
      <c r="O44" s="79">
        <f ca="1">IF(L44&gt;0,N44*100/L44,0)</f>
        <v>93.055490751541413</v>
      </c>
      <c r="P44" s="79">
        <f ca="1">IF(M44&gt;0,N44*100/M44,0)</f>
        <v>75.940267818410035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600100</v>
      </c>
      <c r="M46" s="83">
        <f ca="1">M49+M52</f>
        <v>735349</v>
      </c>
      <c r="N46" s="83">
        <f ca="1">N49+N52</f>
        <v>558426</v>
      </c>
      <c r="O46" s="83">
        <f ca="1">IF(L46&gt;0,N46*100/L46,0)</f>
        <v>93.055490751541413</v>
      </c>
      <c r="P46" s="83">
        <f ca="1">IF(M46&gt;0,N46*100/M46,0)</f>
        <v>75.940267818410035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600100</v>
      </c>
      <c r="M47" s="47">
        <f ca="1">M48+M49</f>
        <v>735349</v>
      </c>
      <c r="N47" s="47">
        <f ca="1">N48+N49</f>
        <v>558426</v>
      </c>
      <c r="O47" s="47">
        <f ca="1">IF(L47&gt;0,N47*100/L47,0)</f>
        <v>93.055490751541413</v>
      </c>
      <c r="P47" s="47">
        <f ca="1">IF(M47&gt;0,N47*100/M47,0)</f>
        <v>75.940267818410035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IFERROR(__xludf.DUMMYFUNCTION("IMPORTRANGE(""https://docs.google.com/spreadsheets/d/1-uDff_7J0KD5mKrp0Vvzr7lt3OU09vwQwhkpOPPYv2Y/edit?usp=sharing"",""งบพรบ!P86"")"),600100)</f>
        <v>600100</v>
      </c>
      <c r="M49" s="47">
        <f ca="1">IFERROR(__xludf.DUMMYFUNCTION("IMPORTRANGE(""https://docs.google.com/spreadsheets/d/1-uDff_7J0KD5mKrp0Vvzr7lt3OU09vwQwhkpOPPYv2Y/edit?usp=sharing"",""งบพรบ!V86"")"),735349)</f>
        <v>735349</v>
      </c>
      <c r="N49" s="47">
        <f ca="1">IFERROR(__xludf.DUMMYFUNCTION("IMPORTRANGE(""https://docs.google.com/spreadsheets/d/1-uDff_7J0KD5mKrp0Vvzr7lt3OU09vwQwhkpOPPYv2Y/edit?usp=sharing"",""งบพรบ!Y86"")"),558426)</f>
        <v>558426</v>
      </c>
      <c r="O49" s="47">
        <f ca="1">IF(L49&gt;0,N49*100/L49,0)</f>
        <v>93.055490751541413</v>
      </c>
      <c r="P49" s="47">
        <f ca="1">IF(M49&gt;0,N49*100/M49,0)</f>
        <v>75.940267818410035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IFERROR(__xludf.DUMMYFUNCTION("IMPORTRANGE(""https://docs.google.com/spreadsheets/d/1-uDff_7J0KD5mKrp0Vvzr7lt3OU09vwQwhkpOPPYv2Y/edit?usp=sharing"",""งบพรบ!S86"")"),0)</f>
        <v>0</v>
      </c>
      <c r="M52" s="47">
        <f ca="1">IFERROR(__xludf.DUMMYFUNCTION("IMPORTRANGE(""https://docs.google.com/spreadsheets/d/1-uDff_7J0KD5mKrp0Vvzr7lt3OU09vwQwhkpOPPYv2Y/edit?usp=sharing"",""งบพรบ!W86"")"),0)</f>
        <v>0</v>
      </c>
      <c r="N52" s="47">
        <f ca="1">IFERROR(__xludf.DUMMYFUNCTION("IMPORTRANGE(""https://docs.google.com/spreadsheets/d/1-uDff_7J0KD5mKrp0Vvzr7lt3OU09vwQwhkpOPPYv2Y/edit?usp=sharing"",""งบพรบ!Z86"")"),0)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863200</v>
      </c>
      <c r="M59" s="106">
        <f ca="1">M60+M61</f>
        <v>1096800</v>
      </c>
      <c r="N59" s="106">
        <f ca="1">N60+N61</f>
        <v>994308.2</v>
      </c>
      <c r="O59" s="106">
        <f ca="1">IF(L59&gt;0,N59*100/L59,0)</f>
        <v>115.18862372567192</v>
      </c>
      <c r="P59" s="106">
        <f ca="1">IF(M59&gt;0,N59*100/M59,0)</f>
        <v>90.655379285193291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863200</v>
      </c>
      <c r="M61" s="109">
        <f ca="1">M64+M67</f>
        <v>1096800</v>
      </c>
      <c r="N61" s="109">
        <f ca="1">N64+N67</f>
        <v>994308.2</v>
      </c>
      <c r="O61" s="109">
        <f ca="1">IF(L61&gt;0,N61*100/L61,0)</f>
        <v>115.18862372567192</v>
      </c>
      <c r="P61" s="109">
        <f ca="1">IF(M61&gt;0,N61*100/M61,0)</f>
        <v>90.655379285193291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685200</v>
      </c>
      <c r="M62" s="47">
        <f ca="1">M63+M64</f>
        <v>918800</v>
      </c>
      <c r="N62" s="47">
        <f ca="1">N63+N64</f>
        <v>816308.2</v>
      </c>
      <c r="O62" s="47">
        <f ca="1">IF(L62&gt;0,N62*100/L62,0)</f>
        <v>119.13429655575014</v>
      </c>
      <c r="P62" s="47">
        <f ca="1">IF(M62&gt;0,N62*100/M62,0)</f>
        <v>88.84503700478885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IFERROR(__xludf.DUMMYFUNCTION("IMPORTRANGE(""https://docs.google.com/spreadsheets/d/1-uDff_7J0KD5mKrp0Vvzr7lt3OU09vwQwhkpOPPYv2Y/edit?usp=sharing"",""งบพรบ!AC86"")"),685200)</f>
        <v>685200</v>
      </c>
      <c r="M64" s="47">
        <f ca="1">IFERROR(__xludf.DUMMYFUNCTION("IMPORTRANGE(""https://docs.google.com/spreadsheets/d/1-uDff_7J0KD5mKrp0Vvzr7lt3OU09vwQwhkpOPPYv2Y/edit?usp=sharing"",""งบพรบ!AH86"")"),918800)</f>
        <v>918800</v>
      </c>
      <c r="N64" s="47">
        <f ca="1">IFERROR(__xludf.DUMMYFUNCTION("IMPORTRANGE(""https://docs.google.com/spreadsheets/d/1-uDff_7J0KD5mKrp0Vvzr7lt3OU09vwQwhkpOPPYv2Y/edit?usp=sharing"",""งบพรบ!AJ86"")"),816308.2)</f>
        <v>816308.2</v>
      </c>
      <c r="O64" s="47">
        <f ca="1">IF(L64&gt;0,N64*100/L64,0)</f>
        <v>119.13429655575014</v>
      </c>
      <c r="P64" s="47">
        <f ca="1">IF(M64&gt;0,N64*100/M64,0)</f>
        <v>88.84503700478885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178000</v>
      </c>
      <c r="M65" s="47">
        <f ca="1">M66+M67</f>
        <v>178000</v>
      </c>
      <c r="N65" s="47">
        <f ca="1">N66+N67</f>
        <v>178000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IFERROR(__xludf.DUMMYFUNCTION("IMPORTRANGE(""https://docs.google.com/spreadsheets/d/1-uDff_7J0KD5mKrp0Vvzr7lt3OU09vwQwhkpOPPYv2Y/edit?usp=sharing"",""งบพรบ!AF86"")"),178000)</f>
        <v>178000</v>
      </c>
      <c r="M67" s="111">
        <f ca="1">IFERROR(__xludf.DUMMYFUNCTION("IMPORTRANGE(""https://docs.google.com/spreadsheets/d/1-uDff_7J0KD5mKrp0Vvzr7lt3OU09vwQwhkpOPPYv2Y/edit?usp=sharing"",""งบพรบ!AI86"")"),178000)</f>
        <v>178000</v>
      </c>
      <c r="N67" s="111">
        <f ca="1">IFERROR(__xludf.DUMMYFUNCTION("IMPORTRANGE(""https://docs.google.com/spreadsheets/d/1-uDff_7J0KD5mKrp0Vvzr7lt3OU09vwQwhkpOPPYv2Y/edit?usp=sharing"",""งบพรบ!AK86"")"),178000)</f>
        <v>178000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IFERROR(__xludf.DUMMYFUNCTION("IMPORTRANGE(""https://docs.google.com/spreadsheets/d/1-uDff_7J0KD5mKrp0Vvzr7lt3OU09vwQwhkpOPPYv2Y/edit?usp=sharing"",""งบพรบ!AM86"")"),0)</f>
        <v>0</v>
      </c>
      <c r="M77" s="47">
        <f ca="1">IFERROR(__xludf.DUMMYFUNCTION("IMPORTRANGE(""https://docs.google.com/spreadsheets/d/1-uDff_7J0KD5mKrp0Vvzr7lt3OU09vwQwhkpOPPYv2Y/edit?usp=sharing"",""งบพรบ!AR86"")"),0)</f>
        <v>0</v>
      </c>
      <c r="N77" s="47">
        <f ca="1">IFERROR(__xludf.DUMMYFUNCTION("IMPORTRANGE(""https://docs.google.com/spreadsheets/d/1-uDff_7J0KD5mKrp0Vvzr7lt3OU09vwQwhkpOPPYv2Y/edit?usp=sharing"",""งบพรบ!AT86"")"),0)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IFERROR(__xludf.DUMMYFUNCTION("IMPORTRANGE(""https://docs.google.com/spreadsheets/d/1ItG2mGa2ceCfYo0BwxsXqNm01IGEUdYcSSLTEv9YCik/edit?usp=sharing"",""เบิกจ่ายกองทุน!BH86"")"),0)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IFERROR(__xludf.DUMMYFUNCTION("IMPORTRANGE(""https://docs.google.com/spreadsheets/d/1ItG2mGa2ceCfYo0BwxsXqNm01IGEUdYcSSLTEv9YCik/edit?usp=sharing"",""เบิกจ่ายกองทุน!BI86"")"),0)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IFERROR(__xludf.DUMMYFUNCTION("IMPORTRANGE(""https://docs.google.com/spreadsheets/d/1ItG2mGa2ceCfYo0BwxsXqNm01IGEUdYcSSLTEv9YCik/edit?usp=sharing"",""เบิกจ่ายกองทุน!BJ86"")"),0)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IFERROR(__xludf.DUMMYFUNCTION("IMPORTRANGE(""https://docs.google.com/spreadsheets/d/1-uDff_7J0KD5mKrp0Vvzr7lt3OU09vwQwhkpOPPYv2Y/edit?usp=sharing"",""งบพรบ!AP86"")"),0)</f>
        <v>0</v>
      </c>
      <c r="M80" s="47">
        <f ca="1">IFERROR(__xludf.DUMMYFUNCTION("IMPORTRANGE(""https://docs.google.com/spreadsheets/d/1-uDff_7J0KD5mKrp0Vvzr7lt3OU09vwQwhkpOPPYv2Y/edit?usp=sharing"",""งบพรบ!AS86"")"),0)</f>
        <v>0</v>
      </c>
      <c r="N80" s="47">
        <f ca="1">IFERROR(__xludf.DUMMYFUNCTION("IMPORTRANGE(""https://docs.google.com/spreadsheets/d/1-uDff_7J0KD5mKrp0Vvzr7lt3OU09vwQwhkpOPPYv2Y/edit?usp=sharing"",""งบพรบ!AU86"")"),0)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IFERROR(__xludf.DUMMYFUNCTION("IMPORTRANGE(""https://docs.google.com/spreadsheets/d/1eHaY18a8A9IcSdp1K8H6x8fbOy06t2VsZHhMHf-1x7Y/edit?usp=sharing"",""แผน!F86"")"),0)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IFERROR(__xludf.DUMMYFUNCTION("IMPORTRANGE(""https://docs.google.com/spreadsheets/d/1eHaY18a8A9IcSdp1K8H6x8fbOy06t2VsZHhMHf-1x7Y/edit?usp=sharing"",""แผน!G86"")"),0)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IFERROR(__xludf.DUMMYFUNCTION("IMPORTRANGE(""https://docs.google.com/spreadsheets/d/1eHaY18a8A9IcSdp1K8H6x8fbOy06t2VsZHhMHf-1x7Y/edit?usp=sharing"",""แผน!J86"")"),0)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87</v>
      </c>
      <c r="J92" s="127">
        <f>J108</f>
        <v>87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29</v>
      </c>
      <c r="J93" s="127">
        <f>J109</f>
        <v>29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17400</v>
      </c>
      <c r="N94" s="132">
        <f ca="1">N95+N96</f>
        <v>17400</v>
      </c>
      <c r="O94" s="132">
        <f ca="1">IF(L94&gt;0,N94*100/L94,0)</f>
        <v>0</v>
      </c>
      <c r="P94" s="132">
        <f ca="1">IF(M94&gt;0,N94*100/M94,0)</f>
        <v>100</v>
      </c>
      <c r="Q94" s="132">
        <f ca="1">Q95+Q96</f>
        <v>244818</v>
      </c>
      <c r="R94" s="132">
        <f ca="1">R95+R96</f>
        <v>244818</v>
      </c>
      <c r="S94" s="132">
        <f ca="1">S95+S96</f>
        <v>18240</v>
      </c>
      <c r="T94" s="132">
        <f ca="1">IF(Q94&gt;0,S94*100/Q94,0)</f>
        <v>7.450432566232875</v>
      </c>
      <c r="U94" s="132">
        <f ca="1">IF(R94&gt;0,S94*100/R94,0)</f>
        <v>7.450432566232875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17400</v>
      </c>
      <c r="N96" s="47">
        <f ca="1">N99+N102</f>
        <v>17400</v>
      </c>
      <c r="O96" s="47">
        <f ca="1">IF(L96&gt;0,N96*100/L96,0)</f>
        <v>0</v>
      </c>
      <c r="P96" s="47">
        <f ca="1">IF(M96&gt;0,N96*100/M96,0)</f>
        <v>100</v>
      </c>
      <c r="Q96" s="47">
        <f ca="1">Q99+Q102</f>
        <v>244818</v>
      </c>
      <c r="R96" s="47">
        <f ca="1">R99+R102</f>
        <v>244818</v>
      </c>
      <c r="S96" s="47">
        <f ca="1">S99+S102</f>
        <v>18240</v>
      </c>
      <c r="T96" s="47">
        <f ca="1">IF(Q96&gt;0,S96*100/Q96,0)</f>
        <v>7.450432566232875</v>
      </c>
      <c r="U96" s="47">
        <f ca="1">IF(R96&gt;0,S96*100/R96,0)</f>
        <v>7.450432566232875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17400</v>
      </c>
      <c r="N97" s="47">
        <f ca="1">N98+N99</f>
        <v>17400</v>
      </c>
      <c r="O97" s="47">
        <f ca="1">IF(L97&gt;0,N97*100/L97,0)</f>
        <v>0</v>
      </c>
      <c r="P97" s="47">
        <f ca="1">IF(M97&gt;0,N97*100/M97,0)</f>
        <v>100</v>
      </c>
      <c r="Q97" s="47">
        <f ca="1">Q98+Q99</f>
        <v>244818</v>
      </c>
      <c r="R97" s="47">
        <f ca="1">R98+R99</f>
        <v>244818</v>
      </c>
      <c r="S97" s="47">
        <f ca="1">S98+S99</f>
        <v>18240</v>
      </c>
      <c r="T97" s="47">
        <f ca="1">IF(Q97&gt;0,S97*100/Q97,0)</f>
        <v>7.450432566232875</v>
      </c>
      <c r="U97" s="47">
        <f ca="1">IF(R97&gt;0,S97*100/R97,0)</f>
        <v>7.450432566232875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IFERROR(__xludf.DUMMYFUNCTION("IMPORTRANGE(""https://docs.google.com/spreadsheets/d/1-uDff_7J0KD5mKrp0Vvzr7lt3OU09vwQwhkpOPPYv2Y/edit?usp=sharing"",""งบพรบ!AW86"")"),0)</f>
        <v>0</v>
      </c>
      <c r="M99" s="47">
        <f ca="1">IFERROR(__xludf.DUMMYFUNCTION("IMPORTRANGE(""https://docs.google.com/spreadsheets/d/1-uDff_7J0KD5mKrp0Vvzr7lt3OU09vwQwhkpOPPYv2Y/edit?usp=sharing"",""งบพรบ!BB86"")"),17400)</f>
        <v>17400</v>
      </c>
      <c r="N99" s="47">
        <f ca="1">IFERROR(__xludf.DUMMYFUNCTION("IMPORTRANGE(""https://docs.google.com/spreadsheets/d/1-uDff_7J0KD5mKrp0Vvzr7lt3OU09vwQwhkpOPPYv2Y/edit?usp=sharing"",""งบพรบ!BD86"")"),17400)</f>
        <v>17400</v>
      </c>
      <c r="O99" s="47">
        <f ca="1">IF(L99&gt;0,N99*100/L99,0)</f>
        <v>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IFERROR(__xludf.DUMMYFUNCTION("IMPORTRANGE(""https://docs.google.com/spreadsheets/d/1ItG2mGa2ceCfYo0BwxsXqNm01IGEUdYcSSLTEv9YCik/edit?usp=sharing"",""เบิกจ่ายกองทุน!AJ86"")"),244818)</f>
        <v>244818</v>
      </c>
      <c r="R99" s="47">
        <f ca="1">IFERROR(__xludf.DUMMYFUNCTION("IMPORTRANGE(""https://docs.google.com/spreadsheets/d/1ItG2mGa2ceCfYo0BwxsXqNm01IGEUdYcSSLTEv9YCik/edit?usp=sharing"",""เบิกจ่ายกองทุน!AK86"")"),244818)</f>
        <v>244818</v>
      </c>
      <c r="S99" s="47">
        <f ca="1">IFERROR(__xludf.DUMMYFUNCTION("IMPORTRANGE(""https://docs.google.com/spreadsheets/d/1ItG2mGa2ceCfYo0BwxsXqNm01IGEUdYcSSLTEv9YCik/edit?usp=sharing"",""เบิกจ่ายกองทุน!AL86"")"),18240)</f>
        <v>18240</v>
      </c>
      <c r="T99" s="47">
        <f ca="1">IF(Q99&gt;0,S99*100/Q99,0)</f>
        <v>7.450432566232875</v>
      </c>
      <c r="U99" s="47">
        <f ca="1">IF(R99&gt;0,S99*100/R99,0)</f>
        <v>7.450432566232875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IFERROR(__xludf.DUMMYFUNCTION("IMPORTRANGE(""https://docs.google.com/spreadsheets/d/1-uDff_7J0KD5mKrp0Vvzr7lt3OU09vwQwhkpOPPYv2Y/edit?usp=sharing"",""งบพรบ!AZ86"")"),0)</f>
        <v>0</v>
      </c>
      <c r="M102" s="47">
        <f ca="1">IFERROR(__xludf.DUMMYFUNCTION("IMPORTRANGE(""https://docs.google.com/spreadsheets/d/1-uDff_7J0KD5mKrp0Vvzr7lt3OU09vwQwhkpOPPYv2Y/edit?usp=sharing"",""งบพรบ!BC86"")"),0)</f>
        <v>0</v>
      </c>
      <c r="N102" s="47">
        <f ca="1">IFERROR(__xludf.DUMMYFUNCTION("IMPORTRANGE(""https://docs.google.com/spreadsheets/d/1-uDff_7J0KD5mKrp0Vvzr7lt3OU09vwQwhkpOPPYv2Y/edit?usp=sharing"",""งบพรบ!BE86"")"),0)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IFERROR(__xludf.DUMMYFUNCTION("IMPORTRANGE(""https://docs.google.com/spreadsheets/d/1eHaY18a8A9IcSdp1K8H6x8fbOy06t2VsZHhMHf-1x7Y/edit?usp=sharing"",""แผน!N86"")"),87)</f>
        <v>87</v>
      </c>
      <c r="J108" s="167">
        <v>87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IFERROR(__xludf.DUMMYFUNCTION("IMPORTRANGE(""https://docs.google.com/spreadsheets/d/1eHaY18a8A9IcSdp1K8H6x8fbOy06t2VsZHhMHf-1x7Y/edit?usp=sharing"",""แผน!O86"")"),29)</f>
        <v>29</v>
      </c>
      <c r="J109" s="167">
        <v>29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IFERROR(__xludf.DUMMYFUNCTION("IMPORTRANGE(""https://docs.google.com/spreadsheets/d/1eHaY18a8A9IcSdp1K8H6x8fbOy06t2VsZHhMHf-1x7Y/edit?usp=sharing"",""แผน!N86"")"),87)</f>
        <v>87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IFERROR(__xludf.DUMMYFUNCTION("IMPORTRANGE(""https://docs.google.com/spreadsheets/d/1eHaY18a8A9IcSdp1K8H6x8fbOy06t2VsZHhMHf-1x7Y/edit?usp=sharing"",""แผน!O86"")"),29)</f>
        <v>29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110240</v>
      </c>
      <c r="T117" s="132">
        <f ca="1">IF(Q117&gt;0,S117*100/Q117,0)</f>
        <v>52.655712648070306</v>
      </c>
      <c r="U117" s="132">
        <f ca="1">IF(R117&gt;0,S117*100/R117,0)</f>
        <v>52.655712648070306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110240</v>
      </c>
      <c r="T119" s="47">
        <f ca="1">IF(Q119&gt;0,S119*100/Q119,0)</f>
        <v>52.655712648070306</v>
      </c>
      <c r="U119" s="47">
        <f ca="1">IF(R119&gt;0,S119*100/R119,0)</f>
        <v>52.655712648070306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110240</v>
      </c>
      <c r="T120" s="47">
        <f ca="1">IF(Q120&gt;0,S120*100/Q120,0)</f>
        <v>52.655712648070306</v>
      </c>
      <c r="U120" s="47">
        <f ca="1">IF(R120&gt;0,S120*100/R120,0)</f>
        <v>52.655712648070306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IFERROR(__xludf.DUMMYFUNCTION("IMPORTRANGE(""https://docs.google.com/spreadsheets/d/1-uDff_7J0KD5mKrp0Vvzr7lt3OU09vwQwhkpOPPYv2Y/edit?usp=sharing"",""งบพรบ!BG86"")"),0)</f>
        <v>0</v>
      </c>
      <c r="M122" s="47">
        <f ca="1">IFERROR(__xludf.DUMMYFUNCTION("IMPORTRANGE(""https://docs.google.com/spreadsheets/d/1-uDff_7J0KD5mKrp0Vvzr7lt3OU09vwQwhkpOPPYv2Y/edit?usp=sharing"",""งบพรบ!BL86"")"),0)</f>
        <v>0</v>
      </c>
      <c r="N122" s="47">
        <f ca="1">IFERROR(__xludf.DUMMYFUNCTION("IMPORTRANGE(""https://docs.google.com/spreadsheets/d/1-uDff_7J0KD5mKrp0Vvzr7lt3OU09vwQwhkpOPPYv2Y/edit?usp=sharing"",""งบพรบ!BN86"")"),0)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IFERROR(__xludf.DUMMYFUNCTION("IMPORTRANGE(""https://docs.google.com/spreadsheets/d/1ItG2mGa2ceCfYo0BwxsXqNm01IGEUdYcSSLTEv9YCik/edit?usp=sharing"",""เบิกจ่ายกองทุน!V86"")"),209360)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IFERROR(__xludf.DUMMYFUNCTION("IMPORTRANGE(""https://docs.google.com/spreadsheets/d/1ItG2mGa2ceCfYo0BwxsXqNm01IGEUdYcSSLTEv9YCik/edit?usp=sharing"",""เบิกจ่ายกองทุน!W86"")"),110240)</f>
        <v>110240</v>
      </c>
      <c r="T122" s="47">
        <f ca="1">IF(Q122&gt;0,S122*100/Q122,0)</f>
        <v>52.655712648070306</v>
      </c>
      <c r="U122" s="47">
        <f ca="1">IF(R122&gt;0,S122*100/R122,0)</f>
        <v>52.655712648070306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IFERROR(__xludf.DUMMYFUNCTION("IMPORTRANGE(""https://docs.google.com/spreadsheets/d/1-uDff_7J0KD5mKrp0Vvzr7lt3OU09vwQwhkpOPPYv2Y/edit?usp=sharing"",""งบพรบ!BJ86"")"),0)</f>
        <v>0</v>
      </c>
      <c r="M125" s="47">
        <f ca="1">IFERROR(__xludf.DUMMYFUNCTION("IMPORTRANGE(""https://docs.google.com/spreadsheets/d/1-uDff_7J0KD5mKrp0Vvzr7lt3OU09vwQwhkpOPPYv2Y/edit?usp=sharing"",""งบพรบ!BM86"")"),0)</f>
        <v>0</v>
      </c>
      <c r="N125" s="47">
        <f ca="1">IFERROR(__xludf.DUMMYFUNCTION("IMPORTRANGE(""https://docs.google.com/spreadsheets/d/1-uDff_7J0KD5mKrp0Vvzr7lt3OU09vwQwhkpOPPYv2Y/edit?usp=sharing"",""งบพรบ!BO86"")"),0)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IFERROR(__xludf.DUMMYFUNCTION("IMPORTRANGE(""https://docs.google.com/spreadsheets/d/1eHaY18a8A9IcSdp1K8H6x8fbOy06t2VsZHhMHf-1x7Y/edit?usp=sharing"",""แผน!FG86"")"),0)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IFERROR(__xludf.DUMMYFUNCTION("IMPORTRANGE(""https://docs.google.com/spreadsheets/d/1eHaY18a8A9IcSdp1K8H6x8fbOy06t2VsZHhMHf-1x7Y/edit?usp=sharing"",""แผน!FI86"")"),0)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10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1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23300</v>
      </c>
      <c r="M139" s="132">
        <f ca="1">M140+M141</f>
        <v>18300</v>
      </c>
      <c r="N139" s="132">
        <f ca="1">N140+N141</f>
        <v>6460</v>
      </c>
      <c r="O139" s="132">
        <f ca="1">IF(L139&gt;0,N139*100/L139,0)</f>
        <v>27.725321888412019</v>
      </c>
      <c r="P139" s="132">
        <f ca="1">IF(M139&gt;0,N139*100/M139,0)</f>
        <v>35.300546448087431</v>
      </c>
      <c r="Q139" s="132">
        <f ca="1">Q140+Q141</f>
        <v>39860</v>
      </c>
      <c r="R139" s="132">
        <f ca="1">R140+R141</f>
        <v>39860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23300</v>
      </c>
      <c r="M141" s="47">
        <f ca="1">M144+M147</f>
        <v>18300</v>
      </c>
      <c r="N141" s="47">
        <f ca="1">N144+N147</f>
        <v>6460</v>
      </c>
      <c r="O141" s="47">
        <f ca="1">IF(L141&gt;0,N141*100/L141,0)</f>
        <v>27.725321888412019</v>
      </c>
      <c r="P141" s="47">
        <f ca="1">IF(M141&gt;0,N141*100/M141,0)</f>
        <v>35.300546448087431</v>
      </c>
      <c r="Q141" s="47">
        <f ca="1">Q144+Q147</f>
        <v>39860</v>
      </c>
      <c r="R141" s="47">
        <f ca="1">R144+R147</f>
        <v>39860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23300</v>
      </c>
      <c r="M142" s="47">
        <f ca="1">M143+M144</f>
        <v>18300</v>
      </c>
      <c r="N142" s="47">
        <f ca="1">N143+N144</f>
        <v>6460</v>
      </c>
      <c r="O142" s="47">
        <f ca="1">IF(L142&gt;0,N142*100/L142,0)</f>
        <v>27.725321888412019</v>
      </c>
      <c r="P142" s="47">
        <f ca="1">IF(M142&gt;0,N142*100/M142,0)</f>
        <v>35.300546448087431</v>
      </c>
      <c r="Q142" s="47">
        <f ca="1">Q143+Q144</f>
        <v>39860</v>
      </c>
      <c r="R142" s="47">
        <f ca="1">R143+R144</f>
        <v>39860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IFERROR(__xludf.DUMMYFUNCTION("IMPORTRANGE(""https://docs.google.com/spreadsheets/d/1-uDff_7J0KD5mKrp0Vvzr7lt3OU09vwQwhkpOPPYv2Y/edit?usp=sharing"",""งบพรบ!BQ86"")"),23300)</f>
        <v>23300</v>
      </c>
      <c r="M144" s="47">
        <f ca="1">IFERROR(__xludf.DUMMYFUNCTION("IMPORTRANGE(""https://docs.google.com/spreadsheets/d/1-uDff_7J0KD5mKrp0Vvzr7lt3OU09vwQwhkpOPPYv2Y/edit?usp=sharing"",""งบพรบ!BV86"")"),18300)</f>
        <v>18300</v>
      </c>
      <c r="N144" s="47">
        <f ca="1">IFERROR(__xludf.DUMMYFUNCTION("IMPORTRANGE(""https://docs.google.com/spreadsheets/d/1-uDff_7J0KD5mKrp0Vvzr7lt3OU09vwQwhkpOPPYv2Y/edit?usp=sharing"",""งบพรบ!BX86"")"),6460)</f>
        <v>6460</v>
      </c>
      <c r="O144" s="47">
        <f ca="1">IF(L144&gt;0,N144*100/L144,0)</f>
        <v>27.725321888412019</v>
      </c>
      <c r="P144" s="47">
        <f ca="1">IF(M144&gt;0,N144*100/M144,0)</f>
        <v>35.300546448087431</v>
      </c>
      <c r="Q144" s="47">
        <f ca="1">IFERROR(__xludf.DUMMYFUNCTION("IMPORTRANGE(""https://docs.google.com/spreadsheets/d/1ItG2mGa2ceCfYo0BwxsXqNm01IGEUdYcSSLTEv9YCik/edit?usp=sharing"",""เบิกจ่ายกองทุน!CF86"")"),39860)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IFERROR(__xludf.DUMMYFUNCTION("IMPORTRANGE(""https://docs.google.com/spreadsheets/d/1ItG2mGa2ceCfYo0BwxsXqNm01IGEUdYcSSLTEv9YCik/edit?usp=sharing"",""เบิกจ่ายกองทุน!CG86"")"),39860)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IFERROR(__xludf.DUMMYFUNCTION("IMPORTRANGE(""https://docs.google.com/spreadsheets/d/1-uDff_7J0KD5mKrp0Vvzr7lt3OU09vwQwhkpOPPYv2Y/edit?usp=sharing"",""งบพรบ!BT86"")"),0)</f>
        <v>0</v>
      </c>
      <c r="M147" s="47">
        <f ca="1">IFERROR(__xludf.DUMMYFUNCTION("IMPORTRANGE(""https://docs.google.com/spreadsheets/d/1-uDff_7J0KD5mKrp0Vvzr7lt3OU09vwQwhkpOPPYv2Y/edit?usp=sharing"",""งบพรบ!BW86"")"),0)</f>
        <v>0</v>
      </c>
      <c r="N147" s="47">
        <f ca="1">IFERROR(__xludf.DUMMYFUNCTION("IMPORTRANGE(""https://docs.google.com/spreadsheets/d/1-uDff_7J0KD5mKrp0Vvzr7lt3OU09vwQwhkpOPPYv2Y/edit?usp=sharing"",""งบพรบ!BY86"")"),0)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IFERROR(__xludf.DUMMYFUNCTION("IMPORTRANGE(""https://docs.google.com/spreadsheets/d/1eHaY18a8A9IcSdp1K8H6x8fbOy06t2VsZHhMHf-1x7Y/edit?usp=sharing"",""แผน!W86"")"),10)</f>
        <v>10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IFERROR(__xludf.DUMMYFUNCTION("IMPORTRANGE(""https://docs.google.com/spreadsheets/d/1eHaY18a8A9IcSdp1K8H6x8fbOy06t2VsZHhMHf-1x7Y/edit?usp=sharing"",""แผน!X86"")"),1)</f>
        <v>1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IFERROR(__xludf.DUMMYFUNCTION("IMPORTRANGE(""https://docs.google.com/spreadsheets/d/1-uDff_7J0KD5mKrp0Vvzr7lt3OU09vwQwhkpOPPYv2Y/edit?usp=sharing"",""งบพรบ!CA86"")"),0)</f>
        <v>0</v>
      </c>
      <c r="M162" s="47">
        <f ca="1">IFERROR(__xludf.DUMMYFUNCTION("IMPORTRANGE(""https://docs.google.com/spreadsheets/d/1-uDff_7J0KD5mKrp0Vvzr7lt3OU09vwQwhkpOPPYv2Y/edit?usp=sharing"",""งบพรบ!CF86"")"),0)</f>
        <v>0</v>
      </c>
      <c r="N162" s="47">
        <f ca="1">IFERROR(__xludf.DUMMYFUNCTION("IMPORTRANGE(""https://docs.google.com/spreadsheets/d/1-uDff_7J0KD5mKrp0Vvzr7lt3OU09vwQwhkpOPPYv2Y/edit?usp=sharing"",""งบพรบ!CH86"")"),0)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IFERROR(__xludf.DUMMYFUNCTION("IMPORTRANGE(""https://docs.google.com/spreadsheets/d/1-uDff_7J0KD5mKrp0Vvzr7lt3OU09vwQwhkpOPPYv2Y/edit?usp=sharing"",""งบพรบ!CD86"")"),0)</f>
        <v>0</v>
      </c>
      <c r="M165" s="47">
        <f ca="1">IFERROR(__xludf.DUMMYFUNCTION("IMPORTRANGE(""https://docs.google.com/spreadsheets/d/1-uDff_7J0KD5mKrp0Vvzr7lt3OU09vwQwhkpOPPYv2Y/edit?usp=sharing"",""งบพรบ!CG86"")"),0)</f>
        <v>0</v>
      </c>
      <c r="N165" s="47">
        <f ca="1">IFERROR(__xludf.DUMMYFUNCTION("IMPORTRANGE(""https://docs.google.com/spreadsheets/d/1-uDff_7J0KD5mKrp0Vvzr7lt3OU09vwQwhkpOPPYv2Y/edit?usp=sharing"",""งบพรบ!CI86"")"),0)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IFERROR(__xludf.DUMMYFUNCTION("IMPORTRANGE(""https://docs.google.com/spreadsheets/d/1eHaY18a8A9IcSdp1K8H6x8fbOy06t2VsZHhMHf-1x7Y/edit?usp=sharing"",""แผน!Z86"")"),0)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IFERROR(__xludf.DUMMYFUNCTION("IMPORTRANGE(""https://docs.google.com/spreadsheets/d/1eHaY18a8A9IcSdp1K8H6x8fbOy06t2VsZHhMHf-1x7Y/edit?usp=sharing"",""แผน!Z86"")"),0)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IFERROR(__xludf.DUMMYFUNCTION("IMPORTRANGE(""https://docs.google.com/spreadsheets/d/1eHaY18a8A9IcSdp1K8H6x8fbOy06t2VsZHhMHf-1x7Y/edit?usp=sharing"",""แผน!Z86"")"),0)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40150</v>
      </c>
      <c r="N173" s="132">
        <f ca="1">N174+N175</f>
        <v>39550</v>
      </c>
      <c r="O173" s="132">
        <f ca="1">IF(L173&gt;0,N173*100/L173,0)</f>
        <v>201.88871873404798</v>
      </c>
      <c r="P173" s="132">
        <f ca="1">IF(M173&gt;0,N173*100/M173,0)</f>
        <v>98.505603985056041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40150</v>
      </c>
      <c r="N175" s="47">
        <f ca="1">N178+N181</f>
        <v>39550</v>
      </c>
      <c r="O175" s="47">
        <f ca="1">IF(L175&gt;0,N175*100/L175,0)</f>
        <v>201.88871873404798</v>
      </c>
      <c r="P175" s="47">
        <f ca="1">IF(M175&gt;0,N175*100/M175,0)</f>
        <v>98.505603985056041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40150</v>
      </c>
      <c r="N176" s="47">
        <f ca="1">N177+N178</f>
        <v>39550</v>
      </c>
      <c r="O176" s="47">
        <f ca="1">IF(L176&gt;0,N176*100/L176,0)</f>
        <v>201.88871873404798</v>
      </c>
      <c r="P176" s="47">
        <f ca="1">IF(M176&gt;0,N176*100/M176,0)</f>
        <v>98.505603985056041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IFERROR(__xludf.DUMMYFUNCTION("IMPORTRANGE(""https://docs.google.com/spreadsheets/d/1-uDff_7J0KD5mKrp0Vvzr7lt3OU09vwQwhkpOPPYv2Y/edit?usp=sharing"",""งบพรบ!CK86"")"),19590)</f>
        <v>19590</v>
      </c>
      <c r="M178" s="47">
        <f ca="1">IFERROR(__xludf.DUMMYFUNCTION("IMPORTRANGE(""https://docs.google.com/spreadsheets/d/1-uDff_7J0KD5mKrp0Vvzr7lt3OU09vwQwhkpOPPYv2Y/edit?usp=sharing"",""งบพรบ!CP86"")"),40150)</f>
        <v>40150</v>
      </c>
      <c r="N178" s="47">
        <f ca="1">IFERROR(__xludf.DUMMYFUNCTION("IMPORTRANGE(""https://docs.google.com/spreadsheets/d/1-uDff_7J0KD5mKrp0Vvzr7lt3OU09vwQwhkpOPPYv2Y/edit?usp=sharing"",""งบพรบ!CR86"")"),39550)</f>
        <v>39550</v>
      </c>
      <c r="O178" s="47">
        <f ca="1">IF(L178&gt;0,N178*100/L178,0)</f>
        <v>201.88871873404798</v>
      </c>
      <c r="P178" s="47">
        <f ca="1">IF(M178&gt;0,N178*100/M178,0)</f>
        <v>98.505603985056041</v>
      </c>
      <c r="Q178" s="47">
        <f ca="1">IFERROR(__xludf.DUMMYFUNCTION("IMPORTRANGE(""https://docs.google.com/spreadsheets/d/1ItG2mGa2ceCfYo0BwxsXqNm01IGEUdYcSSLTEv9YCik/edit?usp=sharing"",""เบิกจ่ายกองทุน!DG86"")"),0)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IFERROR(__xludf.DUMMYFUNCTION("IMPORTRANGE(""https://docs.google.com/spreadsheets/d/1-uDff_7J0KD5mKrp0Vvzr7lt3OU09vwQwhkpOPPYv2Y/edit?usp=sharing"",""งบพรบ!CN86"")"),0)</f>
        <v>0</v>
      </c>
      <c r="M181" s="47">
        <f ca="1">IFERROR(__xludf.DUMMYFUNCTION("IMPORTRANGE(""https://docs.google.com/spreadsheets/d/1-uDff_7J0KD5mKrp0Vvzr7lt3OU09vwQwhkpOPPYv2Y/edit?usp=sharing"",""งบพรบ!CQ86"")"),0)</f>
        <v>0</v>
      </c>
      <c r="N181" s="47">
        <f ca="1">IFERROR(__xludf.DUMMYFUNCTION("IMPORTRANGE(""https://docs.google.com/spreadsheets/d/1-uDff_7J0KD5mKrp0Vvzr7lt3OU09vwQwhkpOPPYv2Y/edit?usp=sharing"",""งบพรบ!CS86"")"),0)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IFERROR(__xludf.DUMMYFUNCTION("IMPORTRANGE(""https://docs.google.com/spreadsheets/d/1eHaY18a8A9IcSdp1K8H6x8fbOy06t2VsZHhMHf-1x7Y/edit?usp=sharing"",""แผน!AA86"")"),7)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327800</v>
      </c>
      <c r="M186" s="132">
        <f ca="1">M187+M188</f>
        <v>337500</v>
      </c>
      <c r="N186" s="132">
        <f ca="1">N187+N188</f>
        <v>190225.33</v>
      </c>
      <c r="O186" s="132">
        <f ca="1">IF(L186&gt;0,N186*100/L186,0)</f>
        <v>58.030912141549727</v>
      </c>
      <c r="P186" s="132">
        <f ca="1">IF(M186&gt;0,N186*100/M186,0)</f>
        <v>56.363060740740742</v>
      </c>
      <c r="Q186" s="132">
        <f ca="1">Q187+Q188</f>
        <v>417900</v>
      </c>
      <c r="R186" s="132">
        <f ca="1">R187+R188</f>
        <v>417900</v>
      </c>
      <c r="S186" s="132">
        <f ca="1">S187+S188</f>
        <v>193200</v>
      </c>
      <c r="T186" s="132">
        <f ca="1">IF(Q186&gt;0,S186*100/Q186,0)</f>
        <v>46.231155778894475</v>
      </c>
      <c r="U186" s="132">
        <f ca="1">IF(R186&gt;0,S186*100/R186,0)</f>
        <v>46.231155778894475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327800</v>
      </c>
      <c r="M188" s="47">
        <f ca="1">M191+M194</f>
        <v>337500</v>
      </c>
      <c r="N188" s="47">
        <f ca="1">N191+N194</f>
        <v>190225.33</v>
      </c>
      <c r="O188" s="47">
        <f ca="1">IF(L188&gt;0,N188*100/L188,0)</f>
        <v>58.030912141549727</v>
      </c>
      <c r="P188" s="47">
        <f ca="1">IF(M188&gt;0,N188*100/M188,0)</f>
        <v>56.363060740740742</v>
      </c>
      <c r="Q188" s="47">
        <f ca="1">Q191+Q194</f>
        <v>417900</v>
      </c>
      <c r="R188" s="47">
        <f ca="1">R191+R194</f>
        <v>417900</v>
      </c>
      <c r="S188" s="47">
        <f ca="1">S191+S194</f>
        <v>193200</v>
      </c>
      <c r="T188" s="47">
        <f ca="1">IF(Q188&gt;0,S188*100/Q188,0)</f>
        <v>46.231155778894475</v>
      </c>
      <c r="U188" s="47">
        <f ca="1">IF(R188&gt;0,S188*100/R188,0)</f>
        <v>46.231155778894475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327800</v>
      </c>
      <c r="M189" s="47">
        <f ca="1">M190+M191</f>
        <v>337500</v>
      </c>
      <c r="N189" s="47">
        <f ca="1">N190+N191</f>
        <v>190225.33</v>
      </c>
      <c r="O189" s="47">
        <f ca="1">IF(L189&gt;0,N189*100/L189,0)</f>
        <v>58.030912141549727</v>
      </c>
      <c r="P189" s="47">
        <f ca="1">IF(M189&gt;0,N189*100/M189,0)</f>
        <v>56.363060740740742</v>
      </c>
      <c r="Q189" s="47">
        <f ca="1">Q190+Q191</f>
        <v>417900</v>
      </c>
      <c r="R189" s="47">
        <f ca="1">R190+R191</f>
        <v>417900</v>
      </c>
      <c r="S189" s="47">
        <f ca="1">S190+S191</f>
        <v>193200</v>
      </c>
      <c r="T189" s="47">
        <f ca="1">IF(Q189&gt;0,S189*100/Q189,0)</f>
        <v>46.231155778894475</v>
      </c>
      <c r="U189" s="47">
        <f ca="1">IF(R189&gt;0,S189*100/R189,0)</f>
        <v>46.231155778894475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IFERROR(__xludf.DUMMYFUNCTION("IMPORTRANGE(""https://docs.google.com/spreadsheets/d/1-uDff_7J0KD5mKrp0Vvzr7lt3OU09vwQwhkpOPPYv2Y/edit?usp=sharing"",""งบพรบ!CU86"")"),327800)</f>
        <v>327800</v>
      </c>
      <c r="M191" s="47">
        <f ca="1">IFERROR(__xludf.DUMMYFUNCTION("IMPORTRANGE(""https://docs.google.com/spreadsheets/d/1-uDff_7J0KD5mKrp0Vvzr7lt3OU09vwQwhkpOPPYv2Y/edit?usp=sharing"",""งบพรบ!CZ86"")"),337500)</f>
        <v>337500</v>
      </c>
      <c r="N191" s="47">
        <f ca="1">IFERROR(__xludf.DUMMYFUNCTION("IMPORTRANGE(""https://docs.google.com/spreadsheets/d/1-uDff_7J0KD5mKrp0Vvzr7lt3OU09vwQwhkpOPPYv2Y/edit?usp=sharing"",""งบพรบ!DB86"")"),190225.33)</f>
        <v>190225.33</v>
      </c>
      <c r="O191" s="47">
        <f ca="1">IF(L191&gt;0,N191*100/L191,0)</f>
        <v>58.030912141549727</v>
      </c>
      <c r="P191" s="47">
        <f ca="1">IF(M191&gt;0,N191*100/M191,0)</f>
        <v>56.363060740740742</v>
      </c>
      <c r="Q191" s="47">
        <f ca="1">IFERROR(__xludf.DUMMYFUNCTION("IMPORTRANGE(""https://docs.google.com/spreadsheets/d/1ItG2mGa2ceCfYo0BwxsXqNm01IGEUdYcSSLTEv9YCik/edit?usp=sharing"",""เบิกจ่ายกองทุน!BQ86"")"),417900)</f>
        <v>417900</v>
      </c>
      <c r="R191" s="47">
        <f ca="1">IFERROR(__xludf.DUMMYFUNCTION("IMPORTRANGE(""https://docs.google.com/spreadsheets/d/1ItG2mGa2ceCfYo0BwxsXqNm01IGEUdYcSSLTEv9YCik/edit?usp=sharing"",""เบิกจ่ายกองทุน!BR86"")"),417900)</f>
        <v>417900</v>
      </c>
      <c r="S191" s="47">
        <f ca="1">IFERROR(__xludf.DUMMYFUNCTION("IMPORTRANGE(""https://docs.google.com/spreadsheets/d/1ItG2mGa2ceCfYo0BwxsXqNm01IGEUdYcSSLTEv9YCik/edit?usp=sharing"",""เบิกจ่ายกองทุน!BS86"")"),193200)</f>
        <v>193200</v>
      </c>
      <c r="T191" s="47">
        <f ca="1">IF(Q191&gt;0,S191*100/Q191,0)</f>
        <v>46.231155778894475</v>
      </c>
      <c r="U191" s="47">
        <f ca="1">IF(R191&gt;0,S191*100/R191,0)</f>
        <v>46.231155778894475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IFERROR(__xludf.DUMMYFUNCTION("IMPORTRANGE(""https://docs.google.com/spreadsheets/d/1-uDff_7J0KD5mKrp0Vvzr7lt3OU09vwQwhkpOPPYv2Y/edit?usp=sharing"",""งบพรบ!CX86"")"),0)</f>
        <v>0</v>
      </c>
      <c r="M194" s="47">
        <f ca="1">IFERROR(__xludf.DUMMYFUNCTION("IMPORTRANGE(""https://docs.google.com/spreadsheets/d/1-uDff_7J0KD5mKrp0Vvzr7lt3OU09vwQwhkpOPPYv2Y/edit?usp=sharing"",""งบพรบ!DA86"")"),0)</f>
        <v>0</v>
      </c>
      <c r="N194" s="47">
        <f ca="1">IFERROR(__xludf.DUMMYFUNCTION("IMPORTRANGE(""https://docs.google.com/spreadsheets/d/1-uDff_7J0KD5mKrp0Vvzr7lt3OU09vwQwhkpOPPYv2Y/edit?usp=sharing"",""งบพรบ!DC86"")"),0)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IFERROR(__xludf.DUMMYFUNCTION("IMPORTRANGE(""https://docs.google.com/spreadsheets/d/1eHaY18a8A9IcSdp1K8H6x8fbOy06t2VsZHhMHf-1x7Y/edit?usp=sharing"",""แผน!AB86"")"),6000)</f>
        <v>6000</v>
      </c>
      <c r="M196" s="46"/>
      <c r="N196" s="768">
        <v>2300</v>
      </c>
      <c r="O196" s="132">
        <f ca="1">IF(L196&gt;0,N196*100/L196,0)</f>
        <v>38.333333333333336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IFERROR(__xludf.DUMMYFUNCTION("IMPORTRANGE(""https://docs.google.com/spreadsheets/d/1eHaY18a8A9IcSdp1K8H6x8fbOy06t2VsZHhMHf-1x7Y/edit?usp=sharing"",""แผน!AE86"")"),4)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5</v>
      </c>
      <c r="J202" s="228">
        <f>J209</f>
        <v>5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20000</v>
      </c>
      <c r="O203" s="132">
        <f ca="1">IF(L203&gt;0,N203*100/L203,0)</f>
        <v>80</v>
      </c>
      <c r="P203" s="132">
        <f>IF(M203&gt;0,N203*100/M203,0)</f>
        <v>0</v>
      </c>
      <c r="Q203" s="767">
        <f ca="1">Q204+Q205+Q206+Q207</f>
        <v>70000</v>
      </c>
      <c r="R203" s="177"/>
      <c r="S203" s="766">
        <f>S204+S205+S206+S207</f>
        <v>70000</v>
      </c>
      <c r="T203" s="766">
        <f ca="1">IF(Q203&gt;0,S203*100/Q203,0)</f>
        <v>100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86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IFERROR(__xludf.DUMMYFUNCTION("IMPORTRANGE(""https://docs.google.com/spreadsheets/d/1eHaY18a8A9IcSdp1K8H6x8fbOy06t2VsZHhMHf-1x7Y/edit?usp=sharing"",""แผน!AG86"")"),5000)</f>
        <v>5000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IFERROR(__xludf.DUMMYFUNCTION("IMPORTRANGE(""https://docs.google.com/spreadsheets/d/1eHaY18a8A9IcSdp1K8H6x8fbOy06t2VsZHhMHf-1x7Y/edit?usp=sharing"",""แผน!AH86"")"),0)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IFERROR(__xludf.DUMMYFUNCTION("IMPORTRANGE(""https://docs.google.com/spreadsheets/d/1eHaY18a8A9IcSdp1K8H6x8fbOy06t2VsZHhMHf-1x7Y/edit?usp=sharing"",""แผน!AI86"")"),0)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IFERROR(__xludf.DUMMYFUNCTION("IMPORTRANGE(""https://docs.google.com/spreadsheets/d/1eHaY18a8A9IcSdp1K8H6x8fbOy06t2VsZHhMHf-1x7Y/edit?usp=sharing"",""แผน!LV86"")"),70000)</f>
        <v>70000</v>
      </c>
      <c r="R206" s="46"/>
      <c r="S206" s="742">
        <v>70000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IFERROR(__xludf.DUMMYFUNCTION("IMPORTRANGE(""https://docs.google.com/spreadsheets/d/1eHaY18a8A9IcSdp1K8H6x8fbOy06t2VsZHhMHf-1x7Y/edit?usp=sharing"",""แผน!AJ86"")"),20000)</f>
        <v>20000</v>
      </c>
      <c r="M207" s="46"/>
      <c r="N207" s="742">
        <v>20000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IFERROR(__xludf.DUMMYFUNCTION("IMPORTRANGE(""https://docs.google.com/spreadsheets/d/1eHaY18a8A9IcSdp1K8H6x8fbOy06t2VsZHhMHf-1x7Y/edit?usp=sharing"",""แผน!AK86"")"),5)</f>
        <v>5</v>
      </c>
      <c r="J209" s="167">
        <v>5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IFERROR(__xludf.DUMMYFUNCTION("IMPORTRANGE(""https://docs.google.com/spreadsheets/d/1eHaY18a8A9IcSdp1K8H6x8fbOy06t2VsZHhMHf-1x7Y/edit?usp=sharing"",""แผน!JX86"")"),5)</f>
        <v>5</v>
      </c>
      <c r="J211" s="167">
        <v>5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IFERROR(__xludf.DUMMYFUNCTION("IMPORTRANGE(""https://docs.google.com/spreadsheets/d/1eHaY18a8A9IcSdp1K8H6x8fbOy06t2VsZHhMHf-1x7Y/edit?usp=sharing"",""แผน!JY86"")"),0)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7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42000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347900</v>
      </c>
      <c r="R214" s="46"/>
      <c r="S214" s="132">
        <f>S215+S216+S217</f>
        <v>299300</v>
      </c>
      <c r="T214" s="132">
        <f ca="1">IF(Q214&gt;0,S214*100/Q214,0)</f>
        <v>86.030468525438351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IFERROR(__xludf.DUMMYFUNCTION("IMPORTRANGE(""https://docs.google.com/spreadsheets/d/1eHaY18a8A9IcSdp1K8H6x8fbOy06t2VsZHhMHf-1x7Y/edit?usp=sharing"",""แผน!AM86"")"),7000)</f>
        <v>7000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IFERROR(__xludf.DUMMYFUNCTION("IMPORTRANGE(""https://docs.google.com/spreadsheets/d/1eHaY18a8A9IcSdp1K8H6x8fbOy06t2VsZHhMHf-1x7Y/edit?usp=sharing"",""แผน!AN86"")"),35000)</f>
        <v>35000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IFERROR(__xludf.DUMMYFUNCTION("IMPORTRANGE(""https://docs.google.com/spreadsheets/d/1eHaY18a8A9IcSdp1K8H6x8fbOy06t2VsZHhMHf-1x7Y/edit?usp=sharing"",""แผน!AO86"")"),0)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IFERROR(__xludf.DUMMYFUNCTION("IMPORTRANGE(""https://docs.google.com/spreadsheets/d/1eHaY18a8A9IcSdp1K8H6x8fbOy06t2VsZHhMHf-1x7Y/edit?usp=sharing"",""แผน!LY86"")"),347900)</f>
        <v>347900</v>
      </c>
      <c r="R217" s="46"/>
      <c r="S217" s="742">
        <v>299300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IFERROR(__xludf.DUMMYFUNCTION("IMPORTRANGE(""https://docs.google.com/spreadsheets/d/1eHaY18a8A9IcSdp1K8H6x8fbOy06t2VsZHhMHf-1x7Y/edit?usp=sharing"",""แผน!AP86"")"),7)</f>
        <v>7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IFERROR(__xludf.DUMMYFUNCTION("IMPORTRANGE(""https://docs.google.com/spreadsheets/d/1eHaY18a8A9IcSdp1K8H6x8fbOy06t2VsZHhMHf-1x7Y/edit?usp=sharing"",""แผน!AP86"")"),7)</f>
        <v>7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15000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IFERROR(__xludf.DUMMYFUNCTION("IMPORTRANGE(""https://docs.google.com/spreadsheets/d/1eHaY18a8A9IcSdp1K8H6x8fbOy06t2VsZHhMHf-1x7Y/edit?usp=sharing"",""แผน!AR86"")"),3000)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IFERROR(__xludf.DUMMYFUNCTION("IMPORTRANGE(""https://docs.google.com/spreadsheets/d/1eHaY18a8A9IcSdp1K8H6x8fbOy06t2VsZHhMHf-1x7Y/edit?usp=sharing"",""แผน!AS86"")"),1500)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IFERROR(__xludf.DUMMYFUNCTION("IMPORTRANGE(""https://docs.google.com/spreadsheets/d/1eHaY18a8A9IcSdp1K8H6x8fbOy06t2VsZHhMHf-1x7Y/edit?usp=sharing"",""แผน!AT86"")"),0)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IFERROR(__xludf.DUMMYFUNCTION("IMPORTRANGE(""https://docs.google.com/spreadsheets/d/1eHaY18a8A9IcSdp1K8H6x8fbOy06t2VsZHhMHf-1x7Y/edit?usp=sharing"",""แผน!AV86"")"),15000)</f>
        <v>15000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IFERROR(__xludf.DUMMYFUNCTION("IMPORTRANGE(""https://docs.google.com/spreadsheets/d/1eHaY18a8A9IcSdp1K8H6x8fbOy06t2VsZHhMHf-1x7Y/edit?usp=sharing"",""แผน!AV86"")"),15000)</f>
        <v>15000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IFERROR(__xludf.DUMMYFUNCTION("IMPORTRANGE(""https://docs.google.com/spreadsheets/d/1eHaY18a8A9IcSdp1K8H6x8fbOy06t2VsZHhMHf-1x7Y/edit?usp=sharing"",""แผน!AX86"")"),0)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IFERROR(__xludf.DUMMYFUNCTION("IMPORTRANGE(""https://docs.google.com/spreadsheets/d/1eHaY18a8A9IcSdp1K8H6x8fbOy06t2VsZHhMHf-1x7Y/edit?usp=sharing"",""แผน!AY86"")"),0)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IFERROR(__xludf.DUMMYFUNCTION("IMPORTRANGE(""https://docs.google.com/spreadsheets/d/1eHaY18a8A9IcSdp1K8H6x8fbOy06t2VsZHhMHf-1x7Y/edit?usp=sharing"",""แผน!AZ86"")"),0)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IFERROR(__xludf.DUMMYFUNCTION("IMPORTRANGE(""https://docs.google.com/spreadsheets/d/1eHaY18a8A9IcSdp1K8H6x8fbOy06t2VsZHhMHf-1x7Y/edit?usp=sharing"",""แผน!BA86"")"),0)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IFERROR(__xludf.DUMMYFUNCTION("IMPORTRANGE(""https://docs.google.com/spreadsheets/d/1eHaY18a8A9IcSdp1K8H6x8fbOy06t2VsZHhMHf-1x7Y/edit?usp=sharing"",""แผน!BG86"")"),0)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IFERROR(__xludf.DUMMYFUNCTION("IMPORTRANGE(""https://docs.google.com/spreadsheets/d/1eHaY18a8A9IcSdp1K8H6x8fbOy06t2VsZHhMHf-1x7Y/edit?usp=sharing"",""แผน!BB86"")"),0)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IFERROR(__xludf.DUMMYFUNCTION("IMPORTRANGE(""https://docs.google.com/spreadsheets/d/1eHaY18a8A9IcSdp1K8H6x8fbOy06t2VsZHhMHf-1x7Y/edit?usp=sharing"",""แผน!BC86"")"),0)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IFERROR(__xludf.DUMMYFUNCTION("IMPORTRANGE(""https://docs.google.com/spreadsheets/d/1eHaY18a8A9IcSdp1K8H6x8fbOy06t2VsZHhMHf-1x7Y/edit?usp=sharing"",""แผน!BD86"")"),0)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IFERROR(__xludf.DUMMYFUNCTION("IMPORTRANGE(""https://docs.google.com/spreadsheets/d/1eHaY18a8A9IcSdp1K8H6x8fbOy06t2VsZHhMHf-1x7Y/edit?usp=sharing"",""แผน!BE86"")"),0)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IFERROR(__xludf.DUMMYFUNCTION("IMPORTRANGE(""https://docs.google.com/spreadsheets/d/1eHaY18a8A9IcSdp1K8H6x8fbOy06t2VsZHhMHf-1x7Y/edit?usp=sharing"",""แผน!BH86"")"),0)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46160</v>
      </c>
      <c r="T266" s="421">
        <f ca="1">IF(Q266&gt;0,S266*100/Q266,0)</f>
        <v>91.117252270035536</v>
      </c>
      <c r="U266" s="421">
        <f ca="1">IF(R266&gt;0,S266*100/R266,0)</f>
        <v>91.117252270035536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46160</v>
      </c>
      <c r="T268" s="331">
        <f ca="1">IF(Q268&gt;0,S268*100/Q268,0)</f>
        <v>91.117252270035536</v>
      </c>
      <c r="U268" s="331">
        <f ca="1">IF(R268&gt;0,S268*100/R268,0)</f>
        <v>91.117252270035536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46160</v>
      </c>
      <c r="T269" s="331">
        <f ca="1">IF(Q269&gt;0,S269*100/Q269,0)</f>
        <v>91.117252270035536</v>
      </c>
      <c r="U269" s="331">
        <f ca="1">IF(R269&gt;0,S269*100/R269,0)</f>
        <v>91.117252270035536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IFERROR(__xludf.DUMMYFUNCTION("IMPORTRANGE(""https://docs.google.com/spreadsheets/d/1-uDff_7J0KD5mKrp0Vvzr7lt3OU09vwQwhkpOPPYv2Y/edit?usp=sharing"",""งบพรบ!DE86"")"),5000)</f>
        <v>5000</v>
      </c>
      <c r="M271" s="331">
        <f ca="1">IFERROR(__xludf.DUMMYFUNCTION("IMPORTRANGE(""https://docs.google.com/spreadsheets/d/1-uDff_7J0KD5mKrp0Vvzr7lt3OU09vwQwhkpOPPYv2Y/edit?usp=sharing"",""งบพรบ!DJ86"")"),5000)</f>
        <v>5000</v>
      </c>
      <c r="N271" s="331">
        <f ca="1">IFERROR(__xludf.DUMMYFUNCTION("IMPORTRANGE(""https://docs.google.com/spreadsheets/d/1-uDff_7J0KD5mKrp0Vvzr7lt3OU09vwQwhkpOPPYv2Y/edit?usp=sharing"",""งบพรบ!DL86"")"),5000)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IFERROR(__xludf.DUMMYFUNCTION("IMPORTRANGE(""https://docs.google.com/spreadsheets/d/1ItG2mGa2ceCfYo0BwxsXqNm01IGEUdYcSSLTEv9YCik/edit?usp=sharing"",""เบิกจ่ายกองทุน!AP86"")"),50660)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IFERROR(__xludf.DUMMYFUNCTION("IMPORTRANGE(""https://docs.google.com/spreadsheets/d/1ItG2mGa2ceCfYo0BwxsXqNm01IGEUdYcSSLTEv9YCik/edit?usp=sharing"",""เบิกจ่ายกองทุน!AQ86"")"),50660)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IFERROR(__xludf.DUMMYFUNCTION("IMPORTRANGE(""https://docs.google.com/spreadsheets/d/1ItG2mGa2ceCfYo0BwxsXqNm01IGEUdYcSSLTEv9YCik/edit?usp=sharing"",""เบิกจ่ายกองทุน!AR86"")"),46160)</f>
        <v>46160</v>
      </c>
      <c r="T271" s="331">
        <f ca="1">IF(Q271&gt;0,S271*100/Q271,0)</f>
        <v>91.117252270035536</v>
      </c>
      <c r="U271" s="331">
        <f ca="1">IF(R271&gt;0,S271*100/R271,0)</f>
        <v>91.117252270035536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IFERROR(__xludf.DUMMYFUNCTION("IMPORTRANGE(""https://docs.google.com/spreadsheets/d/1-uDff_7J0KD5mKrp0Vvzr7lt3OU09vwQwhkpOPPYv2Y/edit?usp=sharing"",""งบพรบ!DH86"")"),0)</f>
        <v>0</v>
      </c>
      <c r="M274" s="331">
        <f ca="1">IFERROR(__xludf.DUMMYFUNCTION("IMPORTRANGE(""https://docs.google.com/spreadsheets/d/1-uDff_7J0KD5mKrp0Vvzr7lt3OU09vwQwhkpOPPYv2Y/edit?usp=sharing"",""งบพรบ!DK86"")"),0)</f>
        <v>0</v>
      </c>
      <c r="N274" s="331">
        <f ca="1">IFERROR(__xludf.DUMMYFUNCTION("IMPORTRANGE(""https://docs.google.com/spreadsheets/d/1-uDff_7J0KD5mKrp0Vvzr7lt3OU09vwQwhkpOPPYv2Y/edit?usp=sharing"",""งบพรบ!DM86"")"),0)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IFERROR(__xludf.DUMMYFUNCTION("IMPORTRANGE(""https://docs.google.com/spreadsheets/d/1eHaY18a8A9IcSdp1K8H6x8fbOy06t2VsZHhMHf-1x7Y/edit?usp=sharing"",""แผน!EC86"")"),22)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IFERROR(__xludf.DUMMYFUNCTION("IMPORTRANGE(""https://docs.google.com/spreadsheets/d/1-uDff_7J0KD5mKrp0Vvzr7lt3OU09vwQwhkpOPPYv2Y/edit?usp=sharing"",""งบพรบ!DO86"")"),0)</f>
        <v>0</v>
      </c>
      <c r="M287" s="47">
        <f ca="1">IFERROR(__xludf.DUMMYFUNCTION("IMPORTRANGE(""https://docs.google.com/spreadsheets/d/1-uDff_7J0KD5mKrp0Vvzr7lt3OU09vwQwhkpOPPYv2Y/edit?usp=sharing"",""งบพรบ!DT86"")"),0)</f>
        <v>0</v>
      </c>
      <c r="N287" s="47">
        <f ca="1">IFERROR(__xludf.DUMMYFUNCTION("IMPORTRANGE(""https://docs.google.com/spreadsheets/d/1-uDff_7J0KD5mKrp0Vvzr7lt3OU09vwQwhkpOPPYv2Y/edit?usp=sharing"",""งบพรบ!DV86"")"),0)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IFERROR(__xludf.DUMMYFUNCTION("IMPORTRANGE(""https://docs.google.com/spreadsheets/d/1-uDff_7J0KD5mKrp0Vvzr7lt3OU09vwQwhkpOPPYv2Y/edit?usp=sharing"",""งบพรบ!DR86"")"),0)</f>
        <v>0</v>
      </c>
      <c r="M290" s="47">
        <f ca="1">IFERROR(__xludf.DUMMYFUNCTION("IMPORTRANGE(""https://docs.google.com/spreadsheets/d/1-uDff_7J0KD5mKrp0Vvzr7lt3OU09vwQwhkpOPPYv2Y/edit?usp=sharing"",""งบพรบ!DU86"")"),0)</f>
        <v>0</v>
      </c>
      <c r="N290" s="47">
        <f ca="1">IFERROR(__xludf.DUMMYFUNCTION("IMPORTRANGE(""https://docs.google.com/spreadsheets/d/1-uDff_7J0KD5mKrp0Vvzr7lt3OU09vwQwhkpOPPYv2Y/edit?usp=sharing"",""งบพรบ!DW86"")"),0)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40621</v>
      </c>
      <c r="T303" s="132">
        <f ca="1">IF(Q303&gt;0,S303*100/Q303,0)</f>
        <v>17.955285455931467</v>
      </c>
      <c r="U303" s="132">
        <f ca="1">IF(R303&gt;0,S303*100/R303,0)</f>
        <v>17.955302916449341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40621</v>
      </c>
      <c r="T305" s="47">
        <f ca="1">IF(Q305&gt;0,S305*100/Q305,0)</f>
        <v>17.955285455931467</v>
      </c>
      <c r="U305" s="47">
        <f ca="1">IF(R305&gt;0,S305*100/R305,0)</f>
        <v>17.955302916449341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40621</v>
      </c>
      <c r="T306" s="47">
        <f ca="1">IF(Q306&gt;0,S306*100/Q306,0)</f>
        <v>17.955285455931467</v>
      </c>
      <c r="U306" s="47">
        <f ca="1">IF(R306&gt;0,S306*100/R306,0)</f>
        <v>17.955302916449341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IFERROR(__xludf.DUMMYFUNCTION("IMPORTRANGE(""https://docs.google.com/spreadsheets/d/1-uDff_7J0KD5mKrp0Vvzr7lt3OU09vwQwhkpOPPYv2Y/edit?usp=sharing"",""งบพรบ!DY86"")"),0)</f>
        <v>0</v>
      </c>
      <c r="M308" s="47">
        <f ca="1">IFERROR(__xludf.DUMMYFUNCTION("IMPORTRANGE(""https://docs.google.com/spreadsheets/d/1-uDff_7J0KD5mKrp0Vvzr7lt3OU09vwQwhkpOPPYv2Y/edit?usp=sharing"",""งบพรบ!ED86"")"),0)</f>
        <v>0</v>
      </c>
      <c r="N308" s="47">
        <f ca="1">IFERROR(__xludf.DUMMYFUNCTION("IMPORTRANGE(""https://docs.google.com/spreadsheets/d/1-uDff_7J0KD5mKrp0Vvzr7lt3OU09vwQwhkpOPPYv2Y/edit?usp=sharing"",""งบพรบ!EF86"")"),0)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IFERROR(__xludf.DUMMYFUNCTION("IMPORTRANGE(""https://docs.google.com/spreadsheets/d/1ItG2mGa2ceCfYo0BwxsXqNm01IGEUdYcSSLTEv9YCik/edit?usp=sharing"",""เบิกจ่ายกองทุน!BB86"")"),226234.22)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IFERROR(__xludf.DUMMYFUNCTION("IMPORTRANGE(""https://docs.google.com/spreadsheets/d/1ItG2mGa2ceCfYo0BwxsXqNm01IGEUdYcSSLTEv9YCik/edit?usp=sharing"",""เบิกจ่ายกองทุน!BC86"")"),226234)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IFERROR(__xludf.DUMMYFUNCTION("IMPORTRANGE(""https://docs.google.com/spreadsheets/d/1ItG2mGa2ceCfYo0BwxsXqNm01IGEUdYcSSLTEv9YCik/edit?usp=sharing"",""เบิกจ่ายกองทุน!BD86"")"),40621)</f>
        <v>40621</v>
      </c>
      <c r="T308" s="47">
        <f ca="1">IF(Q308&gt;0,S308*100/Q308,0)</f>
        <v>17.955285455931467</v>
      </c>
      <c r="U308" s="47">
        <f ca="1">IF(R308&gt;0,S308*100/R308,0)</f>
        <v>17.955302916449341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IFERROR(__xludf.DUMMYFUNCTION("IMPORTRANGE(""https://docs.google.com/spreadsheets/d/1-uDff_7J0KD5mKrp0Vvzr7lt3OU09vwQwhkpOPPYv2Y/edit?usp=sharing"",""งบพรบ!EB86"")"),0)</f>
        <v>0</v>
      </c>
      <c r="M311" s="47">
        <f ca="1">IFERROR(__xludf.DUMMYFUNCTION("IMPORTRANGE(""https://docs.google.com/spreadsheets/d/1-uDff_7J0KD5mKrp0Vvzr7lt3OU09vwQwhkpOPPYv2Y/edit?usp=sharing"",""งบพรบ!EE86"")"),0)</f>
        <v>0</v>
      </c>
      <c r="N311" s="47">
        <f ca="1">IFERROR(__xludf.DUMMYFUNCTION("IMPORTRANGE(""https://docs.google.com/spreadsheets/d/1-uDff_7J0KD5mKrp0Vvzr7lt3OU09vwQwhkpOPPYv2Y/edit?usp=sharing"",""งบพรบ!EG86"")"),0)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IFERROR(__xludf.DUMMYFUNCTION("IMPORTRANGE(""https://docs.google.com/spreadsheets/d/1eHaY18a8A9IcSdp1K8H6x8fbOy06t2VsZHhMHf-1x7Y/edit?usp=sharing"",""แผน!EF86"")"),25)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14507</v>
      </c>
      <c r="O320" s="132">
        <f ca="1">IF(L320&gt;0,N320*100/L320,0)</f>
        <v>11.605600000000001</v>
      </c>
      <c r="P320" s="132">
        <f ca="1">IF(M320&gt;0,N320*100/M320,0)</f>
        <v>11.605600000000001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14507</v>
      </c>
      <c r="O322" s="47">
        <f ca="1">IF(L322&gt;0,N322*100/L322,0)</f>
        <v>11.605600000000001</v>
      </c>
      <c r="P322" s="47">
        <f ca="1">IF(M322&gt;0,N322*100/M322,0)</f>
        <v>11.605600000000001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14507</v>
      </c>
      <c r="O323" s="47">
        <f ca="1">IF(L323&gt;0,N323*100/L323,0)</f>
        <v>11.605600000000001</v>
      </c>
      <c r="P323" s="47">
        <f ca="1">IF(M323&gt;0,N323*100/M323,0)</f>
        <v>11.605600000000001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IFERROR(__xludf.DUMMYFUNCTION("IMPORTRANGE(""https://docs.google.com/spreadsheets/d/1-uDff_7J0KD5mKrp0Vvzr7lt3OU09vwQwhkpOPPYv2Y/edit?usp=sharing"",""งบพรบ!EI86"")"),125000)</f>
        <v>125000</v>
      </c>
      <c r="M325" s="47">
        <f ca="1">IFERROR(__xludf.DUMMYFUNCTION("IMPORTRANGE(""https://docs.google.com/spreadsheets/d/1-uDff_7J0KD5mKrp0Vvzr7lt3OU09vwQwhkpOPPYv2Y/edit?usp=sharing"",""งบพรบ!EN86"")"),125000)</f>
        <v>125000</v>
      </c>
      <c r="N325" s="47">
        <f ca="1">IFERROR(__xludf.DUMMYFUNCTION("IMPORTRANGE(""https://docs.google.com/spreadsheets/d/1-uDff_7J0KD5mKrp0Vvzr7lt3OU09vwQwhkpOPPYv2Y/edit?usp=sharing"",""งบพรบ!EP86"")"),14507)</f>
        <v>14507</v>
      </c>
      <c r="O325" s="47">
        <f ca="1">IF(L325&gt;0,N325*100/L325,0)</f>
        <v>11.605600000000001</v>
      </c>
      <c r="P325" s="47">
        <f ca="1">IF(M325&gt;0,N325*100/M325,0)</f>
        <v>11.605600000000001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IFERROR(__xludf.DUMMYFUNCTION("IMPORTRANGE(""https://docs.google.com/spreadsheets/d/1-uDff_7J0KD5mKrp0Vvzr7lt3OU09vwQwhkpOPPYv2Y/edit?usp=sharing"",""งบพรบ!EL86"")"),0)</f>
        <v>0</v>
      </c>
      <c r="M328" s="47">
        <f ca="1">IFERROR(__xludf.DUMMYFUNCTION("IMPORTRANGE(""https://docs.google.com/spreadsheets/d/1-uDff_7J0KD5mKrp0Vvzr7lt3OU09vwQwhkpOPPYv2Y/edit?usp=sharing"",""งบพรบ!EO86"")"),0)</f>
        <v>0</v>
      </c>
      <c r="N328" s="47">
        <f ca="1">IFERROR(__xludf.DUMMYFUNCTION("IMPORTRANGE(""https://docs.google.com/spreadsheets/d/1-uDff_7J0KD5mKrp0Vvzr7lt3OU09vwQwhkpOPPYv2Y/edit?usp=sharing"",""งบพรบ!EQ86"")"),0)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IFERROR(__xludf.DUMMYFUNCTION("IMPORTRANGE(""https://docs.google.com/spreadsheets/d/1eHaY18a8A9IcSdp1K8H6x8fbOy06t2VsZHhMHf-1x7Y/edit?usp=sharing"",""แผน!EJ86"")"),1)</f>
        <v>1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860</v>
      </c>
      <c r="J332" s="697">
        <f ca="1">J344+J347+J348+J349+J353</f>
        <v>2757</v>
      </c>
      <c r="K332" s="696">
        <f ca="1">IF(I332&gt;0,J332*100/I332,0)</f>
        <v>320.58139534883719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107954</v>
      </c>
      <c r="O333" s="132">
        <f ca="1">IF(L333&gt;0,N333*100/L333,0)</f>
        <v>58.991256830601095</v>
      </c>
      <c r="P333" s="132">
        <f ca="1">IF(M333&gt;0,N333*100/M333,0)</f>
        <v>58.991256830601095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107954</v>
      </c>
      <c r="O335" s="47">
        <f ca="1">IF(L335&gt;0,N335*100/L335,0)</f>
        <v>58.991256830601095</v>
      </c>
      <c r="P335" s="47">
        <f ca="1">IF(M335&gt;0,N335*100/M335,0)</f>
        <v>58.991256830601095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107954</v>
      </c>
      <c r="O336" s="47">
        <f ca="1">IF(L336&gt;0,N336*100/L336,0)</f>
        <v>58.991256830601095</v>
      </c>
      <c r="P336" s="47">
        <f ca="1">IF(M336&gt;0,N336*100/M336,0)</f>
        <v>58.991256830601095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IFERROR(__xludf.DUMMYFUNCTION("IMPORTRANGE(""https://docs.google.com/spreadsheets/d/1-uDff_7J0KD5mKrp0Vvzr7lt3OU09vwQwhkpOPPYv2Y/edit?usp=sharing"",""งบพรบ!ES86"")"),183000)</f>
        <v>183000</v>
      </c>
      <c r="M338" s="47">
        <f ca="1">IFERROR(__xludf.DUMMYFUNCTION("IMPORTRANGE(""https://docs.google.com/spreadsheets/d/1-uDff_7J0KD5mKrp0Vvzr7lt3OU09vwQwhkpOPPYv2Y/edit?usp=sharing"",""งบพรบ!EX86"")"),183000)</f>
        <v>183000</v>
      </c>
      <c r="N338" s="47">
        <f ca="1">IFERROR(__xludf.DUMMYFUNCTION("IMPORTRANGE(""https://docs.google.com/spreadsheets/d/1-uDff_7J0KD5mKrp0Vvzr7lt3OU09vwQwhkpOPPYv2Y/edit?usp=sharing"",""งบพรบ!EZ86"")"),107954)</f>
        <v>107954</v>
      </c>
      <c r="O338" s="47">
        <f ca="1">IF(L338&gt;0,N338*100/L338,0)</f>
        <v>58.991256830601095</v>
      </c>
      <c r="P338" s="47">
        <f ca="1">IF(M338&gt;0,N338*100/M338,0)</f>
        <v>58.991256830601095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IFERROR(__xludf.DUMMYFUNCTION("IMPORTRANGE(""https://docs.google.com/spreadsheets/d/1-uDff_7J0KD5mKrp0Vvzr7lt3OU09vwQwhkpOPPYv2Y/edit?usp=sharing"",""งบพรบ!EV86"")"),0)</f>
        <v>0</v>
      </c>
      <c r="M341" s="47">
        <f ca="1">IFERROR(__xludf.DUMMYFUNCTION("IMPORTRANGE(""https://docs.google.com/spreadsheets/d/1-uDff_7J0KD5mKrp0Vvzr7lt3OU09vwQwhkpOPPYv2Y/edit?usp=sharing"",""งบพรบ!EY86"")"),0)</f>
        <v>0</v>
      </c>
      <c r="N341" s="47">
        <f ca="1">IFERROR(__xludf.DUMMYFUNCTION("IMPORTRANGE(""https://docs.google.com/spreadsheets/d/1-uDff_7J0KD5mKrp0Vvzr7lt3OU09vwQwhkpOPPYv2Y/edit?usp=sharing"",""งบพรบ!FA86"")"),0)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411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IFERROR(__xludf.DUMMYFUNCTION("IMPORTRANGE(""https://docs.google.com/spreadsheets/d/1eHaY18a8A9IcSdp1K8H6x8fbOy06t2VsZHhMHf-1x7Y/edit?usp=sharing"",""แผน!EK86"")"),860)</f>
        <v>860</v>
      </c>
      <c r="J344" s="152">
        <f ca="1">IFERROR(__xludf.DUMMYFUNCTION("IMPORTRANGE(""https://docs.google.com/spreadsheets/d/1awYsYK3VOup2i3Pq_Yjnu8DRu_mYwSBnCR2QPthd0rU/edit?usp=sharing"",""ศูนย์ยกเว้นโฉนด!D86"")"),405)</f>
        <v>405</v>
      </c>
      <c r="K344" s="47">
        <f ca="1">IF(I344&gt;0,J344*100/I344,0)</f>
        <v>47.093023255813954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IFERROR(__xludf.DUMMYFUNCTION("IMPORTRANGE(""https://docs.google.com/spreadsheets/d/1eHaY18a8A9IcSdp1K8H6x8fbOy06t2VsZHhMHf-1x7Y/edit?usp=sharing"",""แผน!EL86"")"),3)</f>
        <v>3</v>
      </c>
      <c r="J346" s="152">
        <f ca="1">IFERROR(__xludf.DUMMYFUNCTION("IMPORTRANGE(""https://docs.google.com/spreadsheets/d/1awYsYK3VOup2i3Pq_Yjnu8DRu_mYwSBnCR2QPthd0rU/edit?usp=sharing"",""ศูนย์รวม!E86"")"),3)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IFERROR(__xludf.DUMMYFUNCTION("IMPORTRANGE(""https://docs.google.com/spreadsheets/d/1awYsYK3VOup2i3Pq_Yjnu8DRu_mYwSBnCR2QPthd0rU/edit?usp=sharing"",""ศูนย์ยกเว้นโฉนด!F86"")"),5)</f>
        <v>5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IFERROR(__xludf.DUMMYFUNCTION("IMPORTRANGE(""https://docs.google.com/spreadsheets/d/1awYsYK3VOup2i3Pq_Yjnu8DRu_mYwSBnCR2QPthd0rU/edit?usp=sharing"",""ศูนย์ยกเว้นโฉนด!G86"")"),1)</f>
        <v>1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2439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IFERROR(__xludf.DUMMYFUNCTION("IMPORTRANGE(""https://docs.google.com/spreadsheets/d/1awYsYK3VOup2i3Pq_Yjnu8DRu_mYwSBnCR2QPthd0rU/edit?usp=sharing"",""โฉนดM3!G86"")"),93)</f>
        <v>93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IFERROR(__xludf.DUMMYFUNCTION("IMPORTRANGE(""https://docs.google.com/spreadsheets/d/1awYsYK3VOup2i3Pq_Yjnu8DRu_mYwSBnCR2QPthd0rU/edit?usp=sharing"",""โฉนดM3!H86"")"),2346)</f>
        <v>2346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916010</v>
      </c>
      <c r="M356" s="132">
        <f ca="1">M357+M358</f>
        <v>919410</v>
      </c>
      <c r="N356" s="132">
        <f ca="1">N357+N358</f>
        <v>628492.68000000005</v>
      </c>
      <c r="O356" s="132">
        <f ca="1">IF(L356&gt;0,N356*100/L356,0)</f>
        <v>68.611988952085682</v>
      </c>
      <c r="P356" s="132">
        <f ca="1">IF(M356&gt;0,N356*100/M356,0)</f>
        <v>68.358260188599218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916010</v>
      </c>
      <c r="M358" s="47">
        <f ca="1">M361+M364</f>
        <v>919410</v>
      </c>
      <c r="N358" s="47">
        <f ca="1">N361+N364</f>
        <v>628492.68000000005</v>
      </c>
      <c r="O358" s="47">
        <f ca="1">IF(L358&gt;0,N358*100/L358,0)</f>
        <v>68.611988952085682</v>
      </c>
      <c r="P358" s="47">
        <f ca="1">IF(M358&gt;0,N358*100/M358,0)</f>
        <v>68.358260188599218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916010</v>
      </c>
      <c r="M359" s="47">
        <f ca="1">M360+M361</f>
        <v>919410</v>
      </c>
      <c r="N359" s="47">
        <f ca="1">N360+N361</f>
        <v>628492.68000000005</v>
      </c>
      <c r="O359" s="47">
        <f ca="1">IF(L359&gt;0,N359*100/L359,0)</f>
        <v>68.611988952085682</v>
      </c>
      <c r="P359" s="47">
        <f ca="1">IF(M359&gt;0,N359*100/M359,0)</f>
        <v>68.358260188599218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IFERROR(__xludf.DUMMYFUNCTION("IMPORTRANGE(""https://docs.google.com/spreadsheets/d/1-uDff_7J0KD5mKrp0Vvzr7lt3OU09vwQwhkpOPPYv2Y/edit?usp=sharing"",""งบพรบ!FC86"")"),916010)</f>
        <v>916010</v>
      </c>
      <c r="M361" s="47">
        <f ca="1">IFERROR(__xludf.DUMMYFUNCTION("IMPORTRANGE(""https://docs.google.com/spreadsheets/d/1-uDff_7J0KD5mKrp0Vvzr7lt3OU09vwQwhkpOPPYv2Y/edit?usp=sharing"",""งบพรบ!FH86"")"),919410)</f>
        <v>919410</v>
      </c>
      <c r="N361" s="47">
        <f ca="1">IFERROR(__xludf.DUMMYFUNCTION("IMPORTRANGE(""https://docs.google.com/spreadsheets/d/1-uDff_7J0KD5mKrp0Vvzr7lt3OU09vwQwhkpOPPYv2Y/edit?usp=sharing"",""งบพรบ!FJ86"")"),628492.68)</f>
        <v>628492.68000000005</v>
      </c>
      <c r="O361" s="47">
        <f ca="1">IF(L361&gt;0,N361*100/L361,0)</f>
        <v>68.611988952085682</v>
      </c>
      <c r="P361" s="47">
        <f ca="1">IF(M361&gt;0,N361*100/M361,0)</f>
        <v>68.358260188599218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IFERROR(__xludf.DUMMYFUNCTION("IMPORTRANGE(""https://docs.google.com/spreadsheets/d/1-uDff_7J0KD5mKrp0Vvzr7lt3OU09vwQwhkpOPPYv2Y/edit?usp=sharing"",""งบพรบ!FF86"")"),0)</f>
        <v>0</v>
      </c>
      <c r="M364" s="47">
        <f ca="1">IFERROR(__xludf.DUMMYFUNCTION("IMPORTRANGE(""https://docs.google.com/spreadsheets/d/1-uDff_7J0KD5mKrp0Vvzr7lt3OU09vwQwhkpOPPYv2Y/edit?usp=sharing"",""งบพรบ!FI86"")"),0)</f>
        <v>0</v>
      </c>
      <c r="N364" s="47">
        <f ca="1">IFERROR(__xludf.DUMMYFUNCTION("IMPORTRANGE(""https://docs.google.com/spreadsheets/d/1-uDff_7J0KD5mKrp0Vvzr7lt3OU09vwQwhkpOPPYv2Y/edit?usp=sharing"",""งบพรบ!FK86"")"),0)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245</v>
      </c>
      <c r="J365" s="228">
        <f ca="1">J371</f>
        <v>175</v>
      </c>
      <c r="K365" s="229">
        <f ca="1">IF(I365&gt;0,J365*100/I365,0)</f>
        <v>71.428571428571431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IFERROR(__xludf.DUMMYFUNCTION("IMPORTRANGE(""https://docs.google.com/spreadsheets/d/1tdoBKaGub7dwA3U6UFTqxio9LNnvDCQjHKmttSEBsFQ/edit?usp=sharing"",""จัดที่ดิน!AB86"")"),168)</f>
        <v>168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IFERROR(__xludf.DUMMYFUNCTION("IMPORTRANGE(""https://docs.google.com/spreadsheets/d/1eHaY18a8A9IcSdp1K8H6x8fbOy06t2VsZHhMHf-1x7Y/edit?usp=sharing"",""แผน!EW86"")"),1390)</f>
        <v>1390</v>
      </c>
      <c r="J368" s="685">
        <f ca="1">IFERROR(__xludf.DUMMYFUNCTION("IMPORTRANGE(""https://docs.google.com/spreadsheets/d/1tdoBKaGub7dwA3U6UFTqxio9LNnvDCQjHKmttSEBsFQ/edit?usp=sharing"",""จัดที่ดิน!AC86"")"),1287.23)</f>
        <v>1287.23</v>
      </c>
      <c r="K368" s="47">
        <f ca="1">IF(I368&gt;0,J368*100/I368,0)</f>
        <v>92.606474820143887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IFERROR(__xludf.DUMMYFUNCTION("IMPORTRANGE(""https://docs.google.com/spreadsheets/d/1eHaY18a8A9IcSdp1K8H6x8fbOy06t2VsZHhMHf-1x7Y/edit?usp=sharing"",""แผน!EX86"")"),245)</f>
        <v>245</v>
      </c>
      <c r="J369" s="152">
        <f ca="1">IFERROR(__xludf.DUMMYFUNCTION("IMPORTRANGE(""https://docs.google.com/spreadsheets/d/1tdoBKaGub7dwA3U6UFTqxio9LNnvDCQjHKmttSEBsFQ/edit?usp=sharing"",""จัดที่ดิน!AD86"")"),218)</f>
        <v>218</v>
      </c>
      <c r="K369" s="47">
        <f ca="1">IF(I369&gt;0,J369*100/I369,0)</f>
        <v>88.979591836734699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IFERROR(__xludf.DUMMYFUNCTION("IMPORTRANGE(""https://docs.google.com/spreadsheets/d/1tdoBKaGub7dwA3U6UFTqxio9LNnvDCQjHKmttSEBsFQ/edit?usp=sharing"",""จัดที่ดิน!AE86"")"),2276.05)</f>
        <v>2276.0500000000002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IFERROR(__xludf.DUMMYFUNCTION("IMPORTRANGE(""https://docs.google.com/spreadsheets/d/1eHaY18a8A9IcSdp1K8H6x8fbOy06t2VsZHhMHf-1x7Y/edit?usp=sharing"",""แผน!EY86"")"),245)</f>
        <v>245</v>
      </c>
      <c r="J371" s="152">
        <f ca="1">IFERROR(__xludf.DUMMYFUNCTION("IMPORTRANGE(""https://docs.google.com/spreadsheets/d/1tdoBKaGub7dwA3U6UFTqxio9LNnvDCQjHKmttSEBsFQ/edit?usp=sharing"",""จัดที่ดิน!AF86"")"),175)</f>
        <v>175</v>
      </c>
      <c r="K371" s="47">
        <f ca="1">IF(I371&gt;0,J371*100/I371,0)</f>
        <v>71.428571428571431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IFERROR(__xludf.DUMMYFUNCTION("IMPORTRANGE(""https://docs.google.com/spreadsheets/d/1tdoBKaGub7dwA3U6UFTqxio9LNnvDCQjHKmttSEBsFQ/edit?usp=sharing"",""จัดที่ดิน!AG86"")"),1829.07)</f>
        <v>1829.07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29980</v>
      </c>
      <c r="T375" s="132">
        <f ca="1">IF(Q375&gt;0,S375*100/Q375,0)</f>
        <v>47.968000000000004</v>
      </c>
      <c r="U375" s="132">
        <f ca="1">IF(R375&gt;0,S375*100/R375,0)</f>
        <v>47.968000000000004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29980</v>
      </c>
      <c r="T377" s="47">
        <f ca="1">IF(Q377&gt;0,S377*100/Q377,0)</f>
        <v>47.968000000000004</v>
      </c>
      <c r="U377" s="47">
        <f ca="1">IF(R377&gt;0,S377*100/R377,0)</f>
        <v>47.968000000000004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29980</v>
      </c>
      <c r="T378" s="47">
        <f ca="1">IF(Q378&gt;0,S378*100/Q378,0)</f>
        <v>47.968000000000004</v>
      </c>
      <c r="U378" s="47">
        <f ca="1">IF(R378&gt;0,S378*100/R378,0)</f>
        <v>47.968000000000004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IFERROR(__xludf.DUMMYFUNCTION("IMPORTRANGE(""https://docs.google.com/spreadsheets/d/1-uDff_7J0KD5mKrp0Vvzr7lt3OU09vwQwhkpOPPYv2Y/edit?usp=sharing"",""งบพรบ!IE86"")"),0)</f>
        <v>0</v>
      </c>
      <c r="M380" s="47">
        <f ca="1">IFERROR(__xludf.DUMMYFUNCTION("IMPORTRANGE(""https://docs.google.com/spreadsheets/d/1-uDff_7J0KD5mKrp0Vvzr7lt3OU09vwQwhkpOPPYv2Y/edit?usp=sharing"",""งบพรบ!IJ86"")"),0)</f>
        <v>0</v>
      </c>
      <c r="N380" s="47">
        <f ca="1">IFERROR(__xludf.DUMMYFUNCTION("IMPORTRANGE(""https://docs.google.com/spreadsheets/d/1-uDff_7J0KD5mKrp0Vvzr7lt3OU09vwQwhkpOPPYv2Y/edit?usp=sharing"",""งบพรบ!IL86"")"),0)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IFERROR(__xludf.DUMMYFUNCTION("IMPORTRANGE(""https://docs.google.com/spreadsheets/d/1ItG2mGa2ceCfYo0BwxsXqNm01IGEUdYcSSLTEv9YCik/edit?usp=sharing"",""เบิกจ่ายกองทุน!BW86"")"),62500)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IFERROR(__xludf.DUMMYFUNCTION("IMPORTRANGE(""https://docs.google.com/spreadsheets/d/1ItG2mGa2ceCfYo0BwxsXqNm01IGEUdYcSSLTEv9YCik/edit?usp=sharing"",""เบิกจ่ายกองทุน!BX86"")"),62500)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IFERROR(__xludf.DUMMYFUNCTION("IMPORTRANGE(""https://docs.google.com/spreadsheets/d/1ItG2mGa2ceCfYo0BwxsXqNm01IGEUdYcSSLTEv9YCik/edit?usp=sharing"",""เบิกจ่ายกองทุน!BY86"")"),29980)</f>
        <v>29980</v>
      </c>
      <c r="T380" s="47">
        <f ca="1">IF(Q380&gt;0,S380*100/Q380,0)</f>
        <v>47.968000000000004</v>
      </c>
      <c r="U380" s="47">
        <f ca="1">IF(R380&gt;0,S380*100/R380,0)</f>
        <v>47.968000000000004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IFERROR(__xludf.DUMMYFUNCTION("IMPORTRANGE(""https://docs.google.com/spreadsheets/d/1-uDff_7J0KD5mKrp0Vvzr7lt3OU09vwQwhkpOPPYv2Y/edit?usp=sharing"",""งบพรบ!IH86"")"),0)</f>
        <v>0</v>
      </c>
      <c r="M383" s="47">
        <f ca="1">IFERROR(__xludf.DUMMYFUNCTION("IMPORTRANGE(""https://docs.google.com/spreadsheets/d/1-uDff_7J0KD5mKrp0Vvzr7lt3OU09vwQwhkpOPPYv2Y/edit?usp=sharing"",""งบพรบ!IK86"")"),0)</f>
        <v>0</v>
      </c>
      <c r="N383" s="47">
        <f ca="1">IFERROR(__xludf.DUMMYFUNCTION("IMPORTRANGE(""https://docs.google.com/spreadsheets/d/1-uDff_7J0KD5mKrp0Vvzr7lt3OU09vwQwhkpOPPYv2Y/edit?usp=sharing"",""งบพรบ!IM86"")"),0)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IFERROR(__xludf.DUMMYFUNCTION("IMPORTRANGE(""https://docs.google.com/spreadsheets/d/1w5rwWK1o49a35cNtocGL0gxDwhFSTZUQu90BiH9_zqM/edit?usp=sharing"",""RTK!G86"")"),1000)</f>
        <v>1000</v>
      </c>
      <c r="J386" s="152">
        <f ca="1">IFERROR(__xludf.DUMMYFUNCTION("IMPORTRANGE(""https://docs.google.com/spreadsheets/d/1w5rwWK1o49a35cNtocGL0gxDwhFSTZUQu90BiH9_zqM/edit?usp=sharing"",""RTK!I86"")"),0)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IFERROR(__xludf.DUMMYFUNCTION("IMPORTRANGE(""https://docs.google.com/spreadsheets/d/1w5rwWK1o49a35cNtocGL0gxDwhFSTZUQu90BiH9_zqM/edit?usp=sharing"",""RTK!K86"")"),0)</f>
        <v>0</v>
      </c>
      <c r="J388" s="330">
        <f ca="1">IFERROR(__xludf.DUMMYFUNCTION("IMPORTRANGE(""https://docs.google.com/spreadsheets/d/1w5rwWK1o49a35cNtocGL0gxDwhFSTZUQu90BiH9_zqM/edit?usp=sharing"",""RTK!M86"")"),0)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38980</v>
      </c>
      <c r="M413" s="132">
        <f ca="1">M414+M415</f>
        <v>38980</v>
      </c>
      <c r="N413" s="132">
        <f ca="1">N414+N415</f>
        <v>12150</v>
      </c>
      <c r="O413" s="132">
        <f ca="1">IF(L413&gt;0,N413*100/L413,0)</f>
        <v>31.16983068240123</v>
      </c>
      <c r="P413" s="132">
        <f ca="1">IF(M413&gt;0,N413*100/M413,0)</f>
        <v>31.16983068240123</v>
      </c>
      <c r="Q413" s="132">
        <f ca="1">Q414+Q415</f>
        <v>15770</v>
      </c>
      <c r="R413" s="132">
        <f ca="1">R414+R415</f>
        <v>15770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38980</v>
      </c>
      <c r="M415" s="47">
        <f ca="1">M418+M421</f>
        <v>38980</v>
      </c>
      <c r="N415" s="47">
        <f ca="1">N418+N421</f>
        <v>12150</v>
      </c>
      <c r="O415" s="47">
        <f ca="1">IF(L415&gt;0,N415*100/L415,0)</f>
        <v>31.16983068240123</v>
      </c>
      <c r="P415" s="47">
        <f ca="1">IF(M415&gt;0,N415*100/M415,0)</f>
        <v>31.16983068240123</v>
      </c>
      <c r="Q415" s="47">
        <f ca="1">Q418+Q421</f>
        <v>15770</v>
      </c>
      <c r="R415" s="47">
        <f ca="1">R418+R421</f>
        <v>15770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38980</v>
      </c>
      <c r="M416" s="47">
        <f ca="1">M417+M418</f>
        <v>38980</v>
      </c>
      <c r="N416" s="47">
        <f ca="1">N417+N418</f>
        <v>12150</v>
      </c>
      <c r="O416" s="47">
        <f ca="1">IF(L416&gt;0,N416*100/L416,0)</f>
        <v>31.16983068240123</v>
      </c>
      <c r="P416" s="47">
        <f ca="1">IF(M416&gt;0,N416*100/M416,0)</f>
        <v>31.16983068240123</v>
      </c>
      <c r="Q416" s="47">
        <f ca="1">Q417+Q418</f>
        <v>15770</v>
      </c>
      <c r="R416" s="47">
        <f ca="1">R417+R418</f>
        <v>15770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IFERROR(__xludf.DUMMYFUNCTION("IMPORTRANGE(""https://docs.google.com/spreadsheets/d/1-uDff_7J0KD5mKrp0Vvzr7lt3OU09vwQwhkpOPPYv2Y/edit?usp=sharing"",""งบพรบ!IO86"")"),38980)</f>
        <v>38980</v>
      </c>
      <c r="M418" s="47">
        <f ca="1">IFERROR(__xludf.DUMMYFUNCTION("IMPORTRANGE(""https://docs.google.com/spreadsheets/d/1-uDff_7J0KD5mKrp0Vvzr7lt3OU09vwQwhkpOPPYv2Y/edit?usp=sharing"",""งบพรบ!IT86"")"),38980)</f>
        <v>38980</v>
      </c>
      <c r="N418" s="47">
        <f ca="1">IFERROR(__xludf.DUMMYFUNCTION("IMPORTRANGE(""https://docs.google.com/spreadsheets/d/1-uDff_7J0KD5mKrp0Vvzr7lt3OU09vwQwhkpOPPYv2Y/edit?usp=sharing"",""งบพรบ!IV86"")"),12150)</f>
        <v>12150</v>
      </c>
      <c r="O418" s="47">
        <f ca="1">IF(L418&gt;0,N418*100/L418,0)</f>
        <v>31.16983068240123</v>
      </c>
      <c r="P418" s="47">
        <f ca="1">IF(M418&gt;0,N418*100/M418,0)</f>
        <v>31.16983068240123</v>
      </c>
      <c r="Q418" s="47">
        <f ca="1">IFERROR(__xludf.DUMMYFUNCTION("IMPORTRANGE(""https://docs.google.com/spreadsheets/d/1ItG2mGa2ceCfYo0BwxsXqNm01IGEUdYcSSLTEv9YCik/edit?usp=sharing"",""เบิกจ่ายกองทุน!BZ86"")"),15770)</f>
        <v>15770</v>
      </c>
      <c r="R418" s="47">
        <f ca="1">IFERROR(__xludf.DUMMYFUNCTION("IMPORTRANGE(""https://docs.google.com/spreadsheets/d/1ItG2mGa2ceCfYo0BwxsXqNm01IGEUdYcSSLTEv9YCik/edit?usp=sharing"",""เบิกจ่ายกองทุน!CA86"")"),15770)</f>
        <v>15770</v>
      </c>
      <c r="S418" s="47">
        <f ca="1">IFERROR(__xludf.DUMMYFUNCTION("IMPORTRANGE(""https://docs.google.com/spreadsheets/d/1ItG2mGa2ceCfYo0BwxsXqNm01IGEUdYcSSLTEv9YCik/edit?usp=sharing"",""เบิกจ่ายกองทุน!CB86"")"),0)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IFERROR(__xludf.DUMMYFUNCTION("IMPORTRANGE(""https://docs.google.com/spreadsheets/d/1-uDff_7J0KD5mKrp0Vvzr7lt3OU09vwQwhkpOPPYv2Y/edit?usp=sharing"",""งบพรบ!IR86"")"),0)</f>
        <v>0</v>
      </c>
      <c r="M421" s="47">
        <f ca="1">IFERROR(__xludf.DUMMYFUNCTION("IMPORTRANGE(""https://docs.google.com/spreadsheets/d/1-uDff_7J0KD5mKrp0Vvzr7lt3OU09vwQwhkpOPPYv2Y/edit?usp=sharing"",""งบพรบ!IU86"")"),0)</f>
        <v>0</v>
      </c>
      <c r="N421" s="47">
        <f ca="1">IFERROR(__xludf.DUMMYFUNCTION("IMPORTRANGE(""https://docs.google.com/spreadsheets/d/1-uDff_7J0KD5mKrp0Vvzr7lt3OU09vwQwhkpOPPYv2Y/edit?usp=sharing"",""งบพรบ!IW86"")"),0)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108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IFERROR(__xludf.DUMMYFUNCTION("IMPORTRANGE(""https://docs.google.com/spreadsheets/d/1eHaY18a8A9IcSdp1K8H6x8fbOy06t2VsZHhMHf-1x7Y/edit?usp=sharing"",""แผน!HL86"")"),108)</f>
        <v>108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1870</v>
      </c>
      <c r="O493" s="132">
        <f ca="1">IF(L493&gt;0,N493*100/L493,0)</f>
        <v>7.7593360995850622</v>
      </c>
      <c r="P493" s="132">
        <f ca="1">IF(M493&gt;0,N493*100/M493,0)</f>
        <v>7.7593360995850622</v>
      </c>
      <c r="Q493" s="132">
        <f ca="1">Q494+Q495</f>
        <v>460185</v>
      </c>
      <c r="R493" s="132">
        <f ca="1">R494+R495</f>
        <v>460185</v>
      </c>
      <c r="S493" s="132">
        <f ca="1">S494+S495</f>
        <v>188920</v>
      </c>
      <c r="T493" s="132">
        <f ca="1">IF(Q493&gt;0,S493*100/Q493,0)</f>
        <v>41.053054749720218</v>
      </c>
      <c r="U493" s="132">
        <f ca="1">IF(R493&gt;0,S493*100/R493,0)</f>
        <v>41.053054749720218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1870</v>
      </c>
      <c r="O495" s="47">
        <f ca="1">IF(L495&gt;0,N495*100/L495,0)</f>
        <v>7.7593360995850622</v>
      </c>
      <c r="P495" s="47">
        <f ca="1">IF(M495&gt;0,N495*100/M495,0)</f>
        <v>7.7593360995850622</v>
      </c>
      <c r="Q495" s="47">
        <f ca="1">Q498+Q501</f>
        <v>460185</v>
      </c>
      <c r="R495" s="47">
        <f ca="1">R498+R501</f>
        <v>460185</v>
      </c>
      <c r="S495" s="47">
        <f ca="1">S498+S501</f>
        <v>188920</v>
      </c>
      <c r="T495" s="47">
        <f ca="1">IF(Q495&gt;0,S495*100/Q495,0)</f>
        <v>41.053054749720218</v>
      </c>
      <c r="U495" s="47">
        <f ca="1">IF(R495&gt;0,S495*100/R495,0)</f>
        <v>41.053054749720218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1870</v>
      </c>
      <c r="O496" s="47">
        <f ca="1">IF(L496&gt;0,N496*100/L496,0)</f>
        <v>7.7593360995850622</v>
      </c>
      <c r="P496" s="47">
        <f ca="1">IF(M496&gt;0,N496*100/M496,0)</f>
        <v>7.7593360995850622</v>
      </c>
      <c r="Q496" s="47">
        <f ca="1">Q497+Q498</f>
        <v>460185</v>
      </c>
      <c r="R496" s="47">
        <f ca="1">R497+R498</f>
        <v>460185</v>
      </c>
      <c r="S496" s="47">
        <f ca="1">S497+S498</f>
        <v>188920</v>
      </c>
      <c r="T496" s="47">
        <f ca="1">IF(Q496&gt;0,S496*100/Q496,0)</f>
        <v>41.053054749720218</v>
      </c>
      <c r="U496" s="47">
        <f ca="1">IF(R496&gt;0,S496*100/R496,0)</f>
        <v>41.053054749720218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IFERROR(__xludf.DUMMYFUNCTION("IMPORTRANGE(""https://docs.google.com/spreadsheets/d/1-uDff_7J0KD5mKrp0Vvzr7lt3OU09vwQwhkpOPPYv2Y/edit?usp=sharing"",""งบพรบ!HU86"")"),24100)</f>
        <v>24100</v>
      </c>
      <c r="M498" s="47">
        <f ca="1">IFERROR(__xludf.DUMMYFUNCTION("IMPORTRANGE(""https://docs.google.com/spreadsheets/d/1-uDff_7J0KD5mKrp0Vvzr7lt3OU09vwQwhkpOPPYv2Y/edit?usp=sharing"",""งบพรบ!HZ86"")"),24100)</f>
        <v>24100</v>
      </c>
      <c r="N498" s="47">
        <f ca="1">IFERROR(__xludf.DUMMYFUNCTION("IMPORTRANGE(""https://docs.google.com/spreadsheets/d/1-uDff_7J0KD5mKrp0Vvzr7lt3OU09vwQwhkpOPPYv2Y/edit?usp=sharing"",""งบพรบ!IB86"")"),1870)</f>
        <v>1870</v>
      </c>
      <c r="O498" s="47">
        <f ca="1">IF(L498&gt;0,N498*100/L498,0)</f>
        <v>7.7593360995850622</v>
      </c>
      <c r="P498" s="47">
        <f ca="1">IF(M498&gt;0,N498*100/M498,0)</f>
        <v>7.7593360995850622</v>
      </c>
      <c r="Q498" s="47">
        <f ca="1">IFERROR(__xludf.DUMMYFUNCTION("IMPORTRANGE(""https://docs.google.com/spreadsheets/d/1ItG2mGa2ceCfYo0BwxsXqNm01IGEUdYcSSLTEv9YCik/edit?usp=sharing"",""เบิกจ่ายกองทุน!AD86"")"),460185)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IFERROR(__xludf.DUMMYFUNCTION("IMPORTRANGE(""https://docs.google.com/spreadsheets/d/1ItG2mGa2ceCfYo0BwxsXqNm01IGEUdYcSSLTEv9YCik/edit?usp=sharing"",""เบิกจ่ายกองทุน!AE86"")"),460185)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IFERROR(__xludf.DUMMYFUNCTION("IMPORTRANGE(""https://docs.google.com/spreadsheets/d/1ItG2mGa2ceCfYo0BwxsXqNm01IGEUdYcSSLTEv9YCik/edit?usp=sharing"",""เบิกจ่ายกองทุน!AF86"")"),188920)</f>
        <v>188920</v>
      </c>
      <c r="T498" s="47">
        <f ca="1">IF(Q498&gt;0,S498*100/Q498,0)</f>
        <v>41.053054749720218</v>
      </c>
      <c r="U498" s="47">
        <f ca="1">IF(R498&gt;0,S498*100/R498,0)</f>
        <v>41.053054749720218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IFERROR(__xludf.DUMMYFUNCTION("IMPORTRANGE(""https://docs.google.com/spreadsheets/d/1-uDff_7J0KD5mKrp0Vvzr7lt3OU09vwQwhkpOPPYv2Y/edit?usp=sharing"",""งบพรบ!HX86"")"),0)</f>
        <v>0</v>
      </c>
      <c r="M501" s="47">
        <f ca="1">IFERROR(__xludf.DUMMYFUNCTION("IMPORTRANGE(""https://docs.google.com/spreadsheets/d/1-uDff_7J0KD5mKrp0Vvzr7lt3OU09vwQwhkpOPPYv2Y/edit?usp=sharing"",""งบพรบ!IA86"")"),0)</f>
        <v>0</v>
      </c>
      <c r="N501" s="47">
        <f ca="1">IFERROR(__xludf.DUMMYFUNCTION("IMPORTRANGE(""https://docs.google.com/spreadsheets/d/1-uDff_7J0KD5mKrp0Vvzr7lt3OU09vwQwhkpOPPYv2Y/edit?usp=sharing"",""งบพรบ!IC86"")"),0)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IFERROR(__xludf.DUMMYFUNCTION("IMPORTRANGE(""https://docs.google.com/spreadsheets/d/1eHaY18a8A9IcSdp1K8H6x8fbOy06t2VsZHhMHf-1x7Y/edit?usp=sharing"",""แผน!GX86"")"),30)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IFERROR(__xludf.DUMMYFUNCTION("IMPORTRANGE(""https://docs.google.com/spreadsheets/d/1eHaY18a8A9IcSdp1K8H6x8fbOy06t2VsZHhMHf-1x7Y/edit?usp=sharing"",""แผน!GY86"")"),0)</f>
        <v>0</v>
      </c>
      <c r="J504" s="167">
        <v>30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IFERROR(__xludf.DUMMYFUNCTION("IMPORTRANGE(""https://docs.google.com/spreadsheets/d/1eHaY18a8A9IcSdp1K8H6x8fbOy06t2VsZHhMHf-1x7Y/edit?usp=sharing"",""แผน!GZ86"")"),0)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IFERROR(__xludf.DUMMYFUNCTION("IMPORTRANGE(""https://docs.google.com/spreadsheets/d/1eHaY18a8A9IcSdp1K8H6x8fbOy06t2VsZHhMHf-1x7Y/edit?usp=sharing"",""แผน!HA86"")"),0)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IFERROR(__xludf.DUMMYFUNCTION("IMPORTRANGE(""https://docs.google.com/spreadsheets/d/1eHaY18a8A9IcSdp1K8H6x8fbOy06t2VsZHhMHf-1x7Y/edit?usp=sharing"",""แผน!HB86"")"),0)</f>
        <v>0</v>
      </c>
      <c r="J507" s="167">
        <v>10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IFERROR(__xludf.DUMMYFUNCTION("IMPORTRANGE(""https://docs.google.com/spreadsheets/d/1-uDff_7J0KD5mKrp0Vvzr7lt3OU09vwQwhkpOPPYv2Y/edit?usp=sharing"",""งบพรบ!FM86"")"),0)</f>
        <v>0</v>
      </c>
      <c r="M518" s="47">
        <f ca="1">IFERROR(__xludf.DUMMYFUNCTION("IMPORTRANGE(""https://docs.google.com/spreadsheets/d/1-uDff_7J0KD5mKrp0Vvzr7lt3OU09vwQwhkpOPPYv2Y/edit?usp=sharing"",""งบพรบ!FR86"")"),0)</f>
        <v>0</v>
      </c>
      <c r="N518" s="47">
        <f ca="1">IFERROR(__xludf.DUMMYFUNCTION("IMPORTRANGE(""https://docs.google.com/spreadsheets/d/1-uDff_7J0KD5mKrp0Vvzr7lt3OU09vwQwhkpOPPYv2Y/edit?usp=sharing"",""งบพรบ!FT86"")"),0)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IFERROR(__xludf.DUMMYFUNCTION("IMPORTRANGE(""https://docs.google.com/spreadsheets/d/1-uDff_7J0KD5mKrp0Vvzr7lt3OU09vwQwhkpOPPYv2Y/edit?usp=sharing"",""งบพรบ!FP86"")"),0)</f>
        <v>0</v>
      </c>
      <c r="M521" s="47">
        <f ca="1">IFERROR(__xludf.DUMMYFUNCTION("IMPORTRANGE(""https://docs.google.com/spreadsheets/d/1-uDff_7J0KD5mKrp0Vvzr7lt3OU09vwQwhkpOPPYv2Y/edit?usp=sharing"",""งบพรบ!FS86"")"),0)</f>
        <v>0</v>
      </c>
      <c r="N521" s="47">
        <f ca="1">IFERROR(__xludf.DUMMYFUNCTION("IMPORTRANGE(""https://docs.google.com/spreadsheets/d/1-uDff_7J0KD5mKrp0Vvzr7lt3OU09vwQwhkpOPPYv2Y/edit?usp=sharing"",""งบพรบ!FU86"")"),0)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IFERROR(__xludf.DUMMYFUNCTION("IMPORTRANGE(""https://docs.google.com/spreadsheets/d/1-uDff_7J0KD5mKrp0Vvzr7lt3OU09vwQwhkpOPPYv2Y/edit?usp=sharing"",""งบพรบ!FW86"")"),0)</f>
        <v>0</v>
      </c>
      <c r="M539" s="47">
        <f ca="1">IFERROR(__xludf.DUMMYFUNCTION("IMPORTRANGE(""https://docs.google.com/spreadsheets/d/1-uDff_7J0KD5mKrp0Vvzr7lt3OU09vwQwhkpOPPYv2Y/edit?usp=sharing"",""งบพรบ!GB86"")"),0)</f>
        <v>0</v>
      </c>
      <c r="N539" s="47">
        <f ca="1">IFERROR(__xludf.DUMMYFUNCTION("IMPORTRANGE(""https://docs.google.com/spreadsheets/d/1-uDff_7J0KD5mKrp0Vvzr7lt3OU09vwQwhkpOPPYv2Y/edit?usp=sharing"",""งบพรบ!GD86"")"),0)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IFERROR(__xludf.DUMMYFUNCTION("IMPORTRANGE(""https://docs.google.com/spreadsheets/d/1-uDff_7J0KD5mKrp0Vvzr7lt3OU09vwQwhkpOPPYv2Y/edit?usp=sharing"",""งบพรบ!FZ86"")"),0)</f>
        <v>0</v>
      </c>
      <c r="M542" s="47">
        <f ca="1">IFERROR(__xludf.DUMMYFUNCTION("IMPORTRANGE(""https://docs.google.com/spreadsheets/d/1-uDff_7J0KD5mKrp0Vvzr7lt3OU09vwQwhkpOPPYv2Y/edit?usp=sharing"",""งบพรบ!GC86"")"),0)</f>
        <v>0</v>
      </c>
      <c r="N542" s="47">
        <f ca="1">IFERROR(__xludf.DUMMYFUNCTION("IMPORTRANGE(""https://docs.google.com/spreadsheets/d/1-uDff_7J0KD5mKrp0Vvzr7lt3OU09vwQwhkpOPPYv2Y/edit?usp=sharing"",""งบพรบ!GE86"")"),0)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IFERROR(__xludf.DUMMYFUNCTION("IMPORTRANGE(""https://docs.google.com/spreadsheets/d/1-uDff_7J0KD5mKrp0Vvzr7lt3OU09vwQwhkpOPPYv2Y/edit?usp=sharing"",""งบพรบ!GG86"")"),0)</f>
        <v>0</v>
      </c>
      <c r="M560" s="47">
        <f ca="1">IFERROR(__xludf.DUMMYFUNCTION("IMPORTRANGE(""https://docs.google.com/spreadsheets/d/1-uDff_7J0KD5mKrp0Vvzr7lt3OU09vwQwhkpOPPYv2Y/edit?usp=sharing"",""งบพรบ!GL86"")"),0)</f>
        <v>0</v>
      </c>
      <c r="N560" s="47">
        <f ca="1">IFERROR(__xludf.DUMMYFUNCTION("IMPORTRANGE(""https://docs.google.com/spreadsheets/d/1-uDff_7J0KD5mKrp0Vvzr7lt3OU09vwQwhkpOPPYv2Y/edit?usp=sharing"",""งบพรบ!GN86"")"),0)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IFERROR(__xludf.DUMMYFUNCTION("IMPORTRANGE(""https://docs.google.com/spreadsheets/d/1-uDff_7J0KD5mKrp0Vvzr7lt3OU09vwQwhkpOPPYv2Y/edit?usp=sharing"",""งบพรบ!GJ86"")"),0)</f>
        <v>0</v>
      </c>
      <c r="M563" s="47">
        <f ca="1">IFERROR(__xludf.DUMMYFUNCTION("IMPORTRANGE(""https://docs.google.com/spreadsheets/d/1-uDff_7J0KD5mKrp0Vvzr7lt3OU09vwQwhkpOPPYv2Y/edit?usp=sharing"",""งบพรบ!GM86"")"),0)</f>
        <v>0</v>
      </c>
      <c r="N563" s="47">
        <f ca="1">IFERROR(__xludf.DUMMYFUNCTION("IMPORTRANGE(""https://docs.google.com/spreadsheets/d/1-uDff_7J0KD5mKrp0Vvzr7lt3OU09vwQwhkpOPPYv2Y/edit?usp=sharing"",""งบพรบ!GO86"")"),0)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IFERROR(__xludf.DUMMYFUNCTION("IMPORTRANGE(""https://docs.google.com/spreadsheets/d/1-uDff_7J0KD5mKrp0Vvzr7lt3OU09vwQwhkpOPPYv2Y/edit?usp=sharing"",""งบพรบ!GQ86"")"),0)</f>
        <v>0</v>
      </c>
      <c r="M581" s="47">
        <f ca="1">IFERROR(__xludf.DUMMYFUNCTION("IMPORTRANGE(""https://docs.google.com/spreadsheets/d/1-uDff_7J0KD5mKrp0Vvzr7lt3OU09vwQwhkpOPPYv2Y/edit?usp=sharing"",""งบพรบ!GV86"")"),0)</f>
        <v>0</v>
      </c>
      <c r="N581" s="47">
        <f ca="1">IFERROR(__xludf.DUMMYFUNCTION("IMPORTRANGE(""https://docs.google.com/spreadsheets/d/1-uDff_7J0KD5mKrp0Vvzr7lt3OU09vwQwhkpOPPYv2Y/edit?usp=sharing"",""งบพรบ!GX86"")"),0)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IFERROR(__xludf.DUMMYFUNCTION("IMPORTRANGE(""https://docs.google.com/spreadsheets/d/1-uDff_7J0KD5mKrp0Vvzr7lt3OU09vwQwhkpOPPYv2Y/edit?usp=sharing"",""งบพรบ!GT86"")"),0)</f>
        <v>0</v>
      </c>
      <c r="M584" s="47">
        <f ca="1">IFERROR(__xludf.DUMMYFUNCTION("IMPORTRANGE(""https://docs.google.com/spreadsheets/d/1-uDff_7J0KD5mKrp0Vvzr7lt3OU09vwQwhkpOPPYv2Y/edit?usp=sharing"",""งบพรบ!GW86"")"),0)</f>
        <v>0</v>
      </c>
      <c r="N584" s="47">
        <f ca="1">IFERROR(__xludf.DUMMYFUNCTION("IMPORTRANGE(""https://docs.google.com/spreadsheets/d/1-uDff_7J0KD5mKrp0Vvzr7lt3OU09vwQwhkpOPPYv2Y/edit?usp=sharing"",""งบพรบ!GY86"")"),0)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14770</v>
      </c>
      <c r="M599" s="421">
        <f ca="1">M600+M601</f>
        <v>14770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14770</v>
      </c>
      <c r="M601" s="331">
        <f ca="1">M604+M607</f>
        <v>14770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0">
        <f ca="1">L603+L604</f>
        <v>14770</v>
      </c>
      <c r="M602" s="331">
        <f ca="1">M603+M604</f>
        <v>14770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IFERROR(__xludf.DUMMYFUNCTION("IMPORTRANGE(""https://docs.google.com/spreadsheets/d/1-uDff_7J0KD5mKrp0Vvzr7lt3OU09vwQwhkpOPPYv2Y/edit?usp=sharing"",""งบพรบ!HK86"")"),14770)</f>
        <v>14770</v>
      </c>
      <c r="M604" s="331">
        <f ca="1">IFERROR(__xludf.DUMMYFUNCTION("IMPORTRANGE(""https://docs.google.com/spreadsheets/d/1-uDff_7J0KD5mKrp0Vvzr7lt3OU09vwQwhkpOPPYv2Y/edit?usp=sharing"",""งบพรบ!HP86"")"),14770)</f>
        <v>14770</v>
      </c>
      <c r="N604" s="331">
        <f ca="1">IFERROR(__xludf.DUMMYFUNCTION("IMPORTRANGE(""https://docs.google.com/spreadsheets/d/1-uDff_7J0KD5mKrp0Vvzr7lt3OU09vwQwhkpOPPYv2Y/edit?usp=sharing"",""งบพรบ!HR86"")"),0)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IFERROR(__xludf.DUMMYFUNCTION("IMPORTRANGE(""https://docs.google.com/spreadsheets/d/1ItG2mGa2ceCfYo0BwxsXqNm01IGEUdYcSSLTEv9YCik/edit?usp=sharing"",""เบิกจ่ายกองทุน!AV86"")"),0)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IFERROR(__xludf.DUMMYFUNCTION("IMPORTRANGE(""https://docs.google.com/spreadsheets/d/1ItG2mGa2ceCfYo0BwxsXqNm01IGEUdYcSSLTEv9YCik/edit?usp=sharing"",""เบิกจ่ายกองทุน!AW86"")"),0)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IFERROR(__xludf.DUMMYFUNCTION("IMPORTRANGE(""https://docs.google.com/spreadsheets/d/1ItG2mGa2ceCfYo0BwxsXqNm01IGEUdYcSSLTEv9YCik/edit?usp=sharing"",""เบิกจ่ายกองทุน!AX86"")"),0)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0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0">
        <f ca="1">IFERROR(__xludf.DUMMYFUNCTION("IMPORTRANGE(""https://docs.google.com/spreadsheets/d/1-uDff_7J0KD5mKrp0Vvzr7lt3OU09vwQwhkpOPPYv2Y/edit?usp=sharing"",""งบพรบ!HN86"")"),0)</f>
        <v>0</v>
      </c>
      <c r="M607" s="331">
        <f ca="1">IFERROR(__xludf.DUMMYFUNCTION("IMPORTRANGE(""https://docs.google.com/spreadsheets/d/1-uDff_7J0KD5mKrp0Vvzr7lt3OU09vwQwhkpOPPYv2Y/edit?usp=sharing"",""งบพรบ!HQ86"")"),0)</f>
        <v>0</v>
      </c>
      <c r="N607" s="331">
        <f ca="1">IFERROR(__xludf.DUMMYFUNCTION("IMPORTRANGE(""https://docs.google.com/spreadsheets/d/1-uDff_7J0KD5mKrp0Vvzr7lt3OU09vwQwhkpOPPYv2Y/edit?usp=sharing"",""งบพรบ!HS86"")"),0)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IFERROR(__xludf.DUMMYFUNCTION("IMPORTRANGE(""https://docs.google.com/spreadsheets/d/1ItG2mGa2ceCfYo0BwxsXqNm01IGEUdYcSSLTEv9YCik/edit?usp=sharing"",""เบิกจ่ายกองทุน!AY86"")"),0)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IFERROR(__xludf.DUMMYFUNCTION("IMPORTRANGE(""https://docs.google.com/spreadsheets/d/1ItG2mGa2ceCfYo0BwxsXqNm01IGEUdYcSSLTEv9YCik/edit?usp=sharing"",""เบิกจ่ายกองทุน!AZ86"")"),0)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IFERROR(__xludf.DUMMYFUNCTION("IMPORTRANGE(""https://docs.google.com/spreadsheets/d/1ItG2mGa2ceCfYo0BwxsXqNm01IGEUdYcSSLTEv9YCik/edit?usp=sharing"",""เบิกจ่ายกองทุน!BA86"")"),0)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x14ac:dyDescent="0.3">
      <c r="A608" s="432"/>
      <c r="B608" s="433"/>
      <c r="C608" s="386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3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6900</v>
      </c>
      <c r="R616" s="132">
        <f ca="1">R617+R618</f>
        <v>6900</v>
      </c>
      <c r="S616" s="132">
        <f ca="1">S617+S618</f>
        <v>1360</v>
      </c>
      <c r="T616" s="132">
        <f ca="1">IF(Q616&gt;0,S616*100/Q616,0)</f>
        <v>19.710144927536231</v>
      </c>
      <c r="U616" s="132">
        <f ca="1">IF(R616&gt;0,S616*100/R616,0)</f>
        <v>19.710144927536231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6900</v>
      </c>
      <c r="R618" s="47">
        <f ca="1">R621+R624</f>
        <v>6900</v>
      </c>
      <c r="S618" s="47">
        <f ca="1">S621+S624</f>
        <v>1360</v>
      </c>
      <c r="T618" s="47">
        <f ca="1">IF(Q618&gt;0,S618*100/Q618,0)</f>
        <v>19.710144927536231</v>
      </c>
      <c r="U618" s="47">
        <f ca="1">IF(R618&gt;0,S618*100/R618,0)</f>
        <v>19.710144927536231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6900</v>
      </c>
      <c r="R619" s="47">
        <f ca="1">R620+R621</f>
        <v>6900</v>
      </c>
      <c r="S619" s="47">
        <f ca="1">S620+S621</f>
        <v>1360</v>
      </c>
      <c r="T619" s="47">
        <f ca="1">IF(Q619&gt;0,S619*100/Q619,0)</f>
        <v>19.710144927536231</v>
      </c>
      <c r="U619" s="47">
        <f ca="1">IF(R619&gt;0,S619*100/R619,0)</f>
        <v>19.710144927536231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IFERROR(__xludf.DUMMYFUNCTION("IMPORTRANGE(""https://docs.google.com/spreadsheets/d/1ItG2mGa2ceCfYo0BwxsXqNm01IGEUdYcSSLTEv9YCik/edit?usp=sharing"",""เบิกจ่ายกองทุน!F86"")"),6900)</f>
        <v>6900</v>
      </c>
      <c r="R621" s="47">
        <f ca="1">IFERROR(__xludf.DUMMYFUNCTION("IMPORTRANGE(""https://docs.google.com/spreadsheets/d/1ItG2mGa2ceCfYo0BwxsXqNm01IGEUdYcSSLTEv9YCik/edit?usp=sharing"",""เบิกจ่ายกองทุน!G86"")"),6900)</f>
        <v>6900</v>
      </c>
      <c r="S621" s="47">
        <f ca="1">IFERROR(__xludf.DUMMYFUNCTION("IMPORTRANGE(""https://docs.google.com/spreadsheets/d/1ItG2mGa2ceCfYo0BwxsXqNm01IGEUdYcSSLTEv9YCik/edit?usp=sharing"",""เบิกจ่ายกองทุน!H86"")"),1360)</f>
        <v>1360</v>
      </c>
      <c r="T621" s="47">
        <f ca="1">IF(Q621&gt;0,S621*100/Q621,0)</f>
        <v>19.710144927536231</v>
      </c>
      <c r="U621" s="47">
        <f ca="1">IF(R621&gt;0,S621*100/R621,0)</f>
        <v>19.710144927536231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IFERROR(__xludf.DUMMYFUNCTION("IMPORTRANGE(""https://docs.google.com/spreadsheets/d/1eHaY18a8A9IcSdp1K8H6x8fbOy06t2VsZHhMHf-1x7Y/edit?usp=sharing"",""แผน!IC86"")"),0)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IFERROR(__xludf.DUMMYFUNCTION("IMPORTRANGE(""https://docs.google.com/spreadsheets/d/1eHaY18a8A9IcSdp1K8H6x8fbOy06t2VsZHhMHf-1x7Y/edit?usp=sharing"",""แผน!IC86"")"),0)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IFERROR(__xludf.DUMMYFUNCTION("IMPORTRANGE(""https://docs.google.com/spreadsheets/d/1eHaY18a8A9IcSdp1K8H6x8fbOy06t2VsZHhMHf-1x7Y/edit?usp=sharing"",""แผน!IF86"")"),0)</f>
        <v>0</v>
      </c>
      <c r="J652" s="152">
        <f ca="1">IFERROR(__xludf.DUMMYFUNCTION("IMPORTRANGE(""https://docs.google.com/spreadsheets/d/1tdoBKaGub7dwA3U6UFTqxio9LNnvDCQjHKmttSEBsFQ/edit?usp=sharing"",""จัดที่ดิน!AU86"")"),0)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IFERROR(__xludf.DUMMYFUNCTION("IMPORTRANGE(""https://docs.google.com/spreadsheets/d/1eHaY18a8A9IcSdp1K8H6x8fbOy06t2VsZHhMHf-1x7Y/edit?usp=sharing"",""แผน!IG86"")"),0)</f>
        <v>0</v>
      </c>
      <c r="J653" s="152">
        <f ca="1">IFERROR(__xludf.DUMMYFUNCTION("IMPORTRANGE(""https://docs.google.com/spreadsheets/d/1tdoBKaGub7dwA3U6UFTqxio9LNnvDCQjHKmttSEBsFQ/edit?usp=sharing"",""จัดที่ดิน!AW86"")"),0)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IFERROR(__xludf.DUMMYFUNCTION("IMPORTRANGE(""https://docs.google.com/spreadsheets/d/1eHaY18a8A9IcSdp1K8H6x8fbOy06t2VsZHhMHf-1x7Y/edit?usp=sharing"",""แผน!IL86"")"),0)</f>
        <v>0</v>
      </c>
      <c r="J673" s="152">
        <f ca="1">IFERROR(__xludf.DUMMYFUNCTION("IMPORTRANGE(""https://docs.google.com/spreadsheets/d/1tdoBKaGub7dwA3U6UFTqxio9LNnvDCQjHKmttSEBsFQ/edit?usp=sharing"",""จัดที่ดิน!BA86"")"),0)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IFERROR(__xludf.DUMMYFUNCTION("IMPORTRANGE(""https://docs.google.com/spreadsheets/d/1eHaY18a8A9IcSdp1K8H6x8fbOy06t2VsZHhMHf-1x7Y/edit?usp=sharing"",""แผน!IO86"")"),0)</f>
        <v>0</v>
      </c>
      <c r="J676" s="152">
        <f ca="1">IFERROR(__xludf.DUMMYFUNCTION("IMPORTRANGE(""https://docs.google.com/spreadsheets/d/1tdoBKaGub7dwA3U6UFTqxio9LNnvDCQjHKmttSEBsFQ/edit?usp=sharing"",""จัดที่ดิน!BF86"")"),0)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IFERROR(__xludf.DUMMYFUNCTION("IMPORTRANGE(""https://docs.google.com/spreadsheets/d/1eHaY18a8A9IcSdp1K8H6x8fbOy06t2VsZHhMHf-1x7Y/edit?usp=sharing"",""แผน!IP86"")"),0)</f>
        <v>0</v>
      </c>
      <c r="J678" s="152">
        <f ca="1">IFERROR(__xludf.DUMMYFUNCTION("IMPORTRANGE(""https://docs.google.com/spreadsheets/d/1tdoBKaGub7dwA3U6UFTqxio9LNnvDCQjHKmttSEBsFQ/edit?usp=sharing"",""จัดที่ดิน!BH86"")"),0)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IFERROR(__xludf.DUMMYFUNCTION("IMPORTRANGE(""https://docs.google.com/spreadsheets/d/1eHaY18a8A9IcSdp1K8H6x8fbOy06t2VsZHhMHf-1x7Y/edit?usp=sharing"",""แผน!IQ86"")"),0)</f>
        <v>0</v>
      </c>
      <c r="J679" s="152">
        <f ca="1">IFERROR(__xludf.DUMMYFUNCTION("IMPORTRANGE(""https://docs.google.com/spreadsheets/d/1tdoBKaGub7dwA3U6UFTqxio9LNnvDCQjHKmttSEBsFQ/edit?usp=sharing"",""จัดที่ดิน!BK86"")"),0)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IFERROR(__xludf.DUMMYFUNCTION("IMPORTRANGE(""https://docs.google.com/spreadsheets/d/1eHaY18a8A9IcSdp1K8H6x8fbOy06t2VsZHhMHf-1x7Y/edit?usp=sharing"",""แผน!IR86"")"),0)</f>
        <v>0</v>
      </c>
      <c r="J681" s="152">
        <f ca="1">IFERROR(__xludf.DUMMYFUNCTION("IMPORTRANGE(""https://docs.google.com/spreadsheets/d/1tdoBKaGub7dwA3U6UFTqxio9LNnvDCQjHKmttSEBsFQ/edit?usp=sharing"",""จัดที่ดิน!BM86"")"),0)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69540</v>
      </c>
      <c r="R690" s="132">
        <f ca="1">R691+R692</f>
        <v>69540</v>
      </c>
      <c r="S690" s="132">
        <f ca="1">S691+S692</f>
        <v>10000</v>
      </c>
      <c r="T690" s="132">
        <f ca="1">IF(Q690&gt;0,S690*100/Q690,0)</f>
        <v>14.380212827149842</v>
      </c>
      <c r="U690" s="132">
        <f ca="1">IF(R690&gt;0,S690*100/R690,0)</f>
        <v>14.380212827149842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69540</v>
      </c>
      <c r="R692" s="47">
        <f ca="1">R695+R698</f>
        <v>69540</v>
      </c>
      <c r="S692" s="47">
        <f ca="1">S695+S698</f>
        <v>10000</v>
      </c>
      <c r="T692" s="47">
        <f ca="1">IF(Q692&gt;0,S692*100/Q692,0)</f>
        <v>14.380212827149842</v>
      </c>
      <c r="U692" s="47">
        <f ca="1">IF(R692&gt;0,S692*100/R692,0)</f>
        <v>14.380212827149842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69540</v>
      </c>
      <c r="R693" s="47">
        <f ca="1">R694+R695</f>
        <v>69540</v>
      </c>
      <c r="S693" s="47">
        <f ca="1">S694+S695</f>
        <v>10000</v>
      </c>
      <c r="T693" s="47">
        <f ca="1">IF(Q693&gt;0,S693*100/Q693,0)</f>
        <v>14.380212827149842</v>
      </c>
      <c r="U693" s="47">
        <f ca="1">IF(R693&gt;0,S693*100/R693,0)</f>
        <v>14.380212827149842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IFERROR(__xludf.DUMMYFUNCTION("IMPORTRANGE(""https://docs.google.com/spreadsheets/d/1ItG2mGa2ceCfYo0BwxsXqNm01IGEUdYcSSLTEv9YCik/edit?usp=sharing"",""เบิกจ่ายกองทุน!L86"")"),69540)</f>
        <v>69540</v>
      </c>
      <c r="R695" s="47">
        <f ca="1">IFERROR(__xludf.DUMMYFUNCTION("IMPORTRANGE(""https://docs.google.com/spreadsheets/d/1ItG2mGa2ceCfYo0BwxsXqNm01IGEUdYcSSLTEv9YCik/edit?usp=sharing"",""เบิกจ่ายกองทุน!M86"")"),69540)</f>
        <v>69540</v>
      </c>
      <c r="S695" s="47">
        <f ca="1">IFERROR(__xludf.DUMMYFUNCTION("IMPORTRANGE(""https://docs.google.com/spreadsheets/d/1ItG2mGa2ceCfYo0BwxsXqNm01IGEUdYcSSLTEv9YCik/edit?usp=sharing"",""เบิกจ่ายกองทุน!N86"")"),10000)</f>
        <v>10000</v>
      </c>
      <c r="T695" s="47">
        <f ca="1">IF(Q695&gt;0,S695*100/Q695,0)</f>
        <v>14.380212827149842</v>
      </c>
      <c r="U695" s="47">
        <f ca="1">IF(R695&gt;0,S695*100/R695,0)</f>
        <v>14.380212827149842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IFERROR(__xludf.DUMMYFUNCTION("IMPORTRANGE(""https://docs.google.com/spreadsheets/d/1eHaY18a8A9IcSdp1K8H6x8fbOy06t2VsZHhMHf-1x7Y/edit?usp=sharing"",""แผน!LJ86"")"),0)</f>
        <v>0</v>
      </c>
      <c r="J703" s="152">
        <f ca="1">IFERROR(__xludf.DUMMYFUNCTION("IMPORTRANGE(""https://docs.google.com/spreadsheets/d/1tdoBKaGub7dwA3U6UFTqxio9LNnvDCQjHKmttSEBsFQ/edit?usp=sharing"",""จัดที่ดิน!AP86"")"),0)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IFERROR(__xludf.DUMMYFUNCTION("IMPORTRANGE(""https://docs.google.com/spreadsheets/d/1eHaY18a8A9IcSdp1K8H6x8fbOy06t2VsZHhMHf-1x7Y/edit?usp=sharing"",""แผน!LK86"")"),3)</f>
        <v>3</v>
      </c>
      <c r="J705" s="152">
        <f ca="1">IFERROR(__xludf.DUMMYFUNCTION("IMPORTRANGE(""https://docs.google.com/spreadsheets/d/1tdoBKaGub7dwA3U6UFTqxio9LNnvDCQjHKmttSEBsFQ/edit?usp=sharing"",""จัดที่ดิน!AR86"")"),0)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IFERROR(__xludf.DUMMYFUNCTION("IMPORTRANGE(""https://docs.google.com/spreadsheets/d/1eHaY18a8A9IcSdp1K8H6x8fbOy06t2VsZHhMHf-1x7Y/edit?usp=sharing"",""แผน!LJ86"")"),0)</f>
        <v>0</v>
      </c>
      <c r="J707" s="152">
        <f ca="1">IFERROR(__xludf.DUMMYFUNCTION("IMPORTRANGE(""https://docs.google.com/spreadsheets/d/1tdoBKaGub7dwA3U6UFTqxio9LNnvDCQjHKmttSEBsFQ/edit?usp=sharing"",""จัดที่ดิน!BN86"")"),0)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IFERROR(__xludf.DUMMYFUNCTION("IMPORTRANGE(""https://docs.google.com/spreadsheets/d/1eHaY18a8A9IcSdp1K8H6x8fbOy06t2VsZHhMHf-1x7Y/edit?usp=sharing"",""แผน!LK86"")"),3)</f>
        <v>3</v>
      </c>
      <c r="J709" s="152">
        <f ca="1">IFERROR(__xludf.DUMMYFUNCTION("IMPORTRANGE(""https://docs.google.com/spreadsheets/d/1tdoBKaGub7dwA3U6UFTqxio9LNnvDCQjHKmttSEBsFQ/edit?usp=sharing"",""จัดที่ดิน!BP86"")"),2)</f>
        <v>2</v>
      </c>
      <c r="K709" s="47">
        <f ca="1">IF(I709&gt;0,J709*100/I709,0)</f>
        <v>66.666666666666671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IFERROR(__xludf.DUMMYFUNCTION("IMPORTRANGE(""https://docs.google.com/spreadsheets/d/1eHaY18a8A9IcSdp1K8H6x8fbOy06t2VsZHhMHf-1x7Y/edit?usp=sharing"",""แผน!GA86"")"),11)</f>
        <v>11</v>
      </c>
      <c r="J726" s="483">
        <f>J742+J746+J749</f>
        <v>11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IFERROR(__xludf.DUMMYFUNCTION("IMPORTRANGE(""https://docs.google.com/spreadsheets/d/1eHaY18a8A9IcSdp1K8H6x8fbOy06t2VsZHhMHf-1x7Y/edit?usp=sharing"",""แผน!FZ86"")"),100)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31662</v>
      </c>
      <c r="T728" s="132">
        <f ca="1">IF(Q728&gt;0,S728*100/Q728,0)</f>
        <v>28.299458357912801</v>
      </c>
      <c r="U728" s="132">
        <f ca="1">IF(R728&gt;0,S728*100/R728,0)</f>
        <v>28.299458357912801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31662</v>
      </c>
      <c r="T730" s="47">
        <f ca="1">IF(Q730&gt;0,S730*100/Q730,0)</f>
        <v>28.299458357912801</v>
      </c>
      <c r="U730" s="47">
        <f ca="1">IF(R730&gt;0,S730*100/R730,0)</f>
        <v>28.299458357912801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31662</v>
      </c>
      <c r="T731" s="47">
        <f ca="1">IF(Q731&gt;0,S731*100/Q731,0)</f>
        <v>28.299458357912801</v>
      </c>
      <c r="U731" s="47">
        <f ca="1">IF(R731&gt;0,S731*100/R731,0)</f>
        <v>28.299458357912801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IFERROR(__xludf.DUMMYFUNCTION("IMPORTRANGE(""https://docs.google.com/spreadsheets/d/1ItG2mGa2ceCfYo0BwxsXqNm01IGEUdYcSSLTEv9YCik/edit?usp=sharing"",""เบิกจ่ายกองทุน!O86"")"),111882)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IFERROR(__xludf.DUMMYFUNCTION("IMPORTRANGE(""https://docs.google.com/spreadsheets/d/1ItG2mGa2ceCfYo0BwxsXqNm01IGEUdYcSSLTEv9YCik/edit?usp=sharing"",""เบิกจ่ายกองทุน!P86"")"),111882)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IFERROR(__xludf.DUMMYFUNCTION("IMPORTRANGE(""https://docs.google.com/spreadsheets/d/1ItG2mGa2ceCfYo0BwxsXqNm01IGEUdYcSSLTEv9YCik/edit?usp=sharing"",""เบิกจ่ายกองทุน!Q86"")"),31662)</f>
        <v>31662</v>
      </c>
      <c r="T733" s="47">
        <f ca="1">IF(Q733&gt;0,S733*100/Q733,0)</f>
        <v>28.299458357912801</v>
      </c>
      <c r="U733" s="47">
        <f ca="1">IF(R733&gt;0,S733*100/R733,0)</f>
        <v>28.299458357912801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IFERROR(__xludf.DUMMYFUNCTION("IMPORTRANGE(""https://docs.google.com/spreadsheets/d/1eHaY18a8A9IcSdp1K8H6x8fbOy06t2VsZHhMHf-1x7Y/edit?usp=sharing"",""แผน!GB86"")"),80)</f>
        <v>80</v>
      </c>
      <c r="J740" s="554">
        <v>80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IFERROR(__xludf.DUMMYFUNCTION("IMPORTRANGE(""https://docs.google.com/spreadsheets/d/1eHaY18a8A9IcSdp1K8H6x8fbOy06t2VsZHhMHf-1x7Y/edit?usp=sharing"",""แผน!GC86"")"),8)</f>
        <v>8</v>
      </c>
      <c r="J742" s="554">
        <v>8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IFERROR(__xludf.DUMMYFUNCTION("IMPORTRANGE(""https://docs.google.com/spreadsheets/d/1eHaY18a8A9IcSdp1K8H6x8fbOy06t2VsZHhMHf-1x7Y/edit?usp=sharing"",""แผน!GD86"")"),20)</f>
        <v>20</v>
      </c>
      <c r="J744" s="554">
        <v>20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IFERROR(__xludf.DUMMYFUNCTION("IMPORTRANGE(""https://docs.google.com/spreadsheets/d/1eHaY18a8A9IcSdp1K8H6x8fbOy06t2VsZHhMHf-1x7Y/edit?usp=sharing"",""แผน!GE86"")"),2)</f>
        <v>2</v>
      </c>
      <c r="J746" s="554">
        <v>2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IFERROR(__xludf.DUMMYFUNCTION("IMPORTRANGE(""https://docs.google.com/spreadsheets/d/1eHaY18a8A9IcSdp1K8H6x8fbOy06t2VsZHhMHf-1x7Y/edit?usp=sharing"",""แผน!GB86"")"),80)</f>
        <v>80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IFERROR(__xludf.DUMMYFUNCTION("IMPORTRANGE(""https://docs.google.com/spreadsheets/d/1eHaY18a8A9IcSdp1K8H6x8fbOy06t2VsZHhMHf-1x7Y/edit?usp=sharing"",""แผน!GD86"")"),20)</f>
        <v>20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IFERROR(__xludf.DUMMYFUNCTION("IMPORTRANGE(""https://docs.google.com/spreadsheets/d/1ItG2mGa2ceCfYo0BwxsXqNm01IGEUdYcSSLTEv9YCik/edit?usp=sharing"",""เบิกจ่ายกองทุน!AA86"")"),0)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IFERROR(__xludf.DUMMYFUNCTION("IMPORTRANGE(""https://docs.google.com/spreadsheets/d/1ItG2mGa2ceCfYo0BwxsXqNm01IGEUdYcSSLTEv9YCik/edit?usp=sharing"",""เบิกจ่ายกองทุน!AB86"")"),0)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IFERROR(__xludf.DUMMYFUNCTION("IMPORTRANGE(""https://docs.google.com/spreadsheets/d/1ItG2mGa2ceCfYo0BwxsXqNm01IGEUdYcSSLTEv9YCik/edit?usp=sharing"",""เบิกจ่ายกองทุน!AC86"")"),0)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IFERROR(__xludf.DUMMYFUNCTION("IMPORTRANGE(""https://docs.google.com/spreadsheets/d/1eHaY18a8A9IcSdp1K8H6x8fbOy06t2VsZHhMHf-1x7Y/edit?usp=sharing"",""แผน!FQ86"")"),0)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IFERROR(__xludf.DUMMYFUNCTION("IMPORTRANGE(""https://docs.google.com/spreadsheets/d/1eHaY18a8A9IcSdp1K8H6x8fbOy06t2VsZHhMHf-1x7Y/edit?usp=sharing"",""แผน!FR86"")"),0)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IFERROR(__xludf.DUMMYFUNCTION("IMPORTRANGE(""https://docs.google.com/spreadsheets/d/1eHaY18a8A9IcSdp1K8H6x8fbOy06t2VsZHhMHf-1x7Y/edit?usp=sharing"",""แผน!FS86"")"),0)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IFERROR(__xludf.DUMMYFUNCTION("IMPORTRANGE(""https://docs.google.com/spreadsheets/d/1eHaY18a8A9IcSdp1K8H6x8fbOy06t2VsZHhMHf-1x7Y/edit?usp=sharing"",""แผน!FT86"")"),0)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IFERROR(__xludf.DUMMYFUNCTION("IMPORTRANGE(""https://docs.google.com/spreadsheets/d/10OvvATaaLtwErnr3qtWFcTmtbfpFEt5Bsqel9sXx0uE/edit?usp=sharing"",""งานกองทุน!D86"")"),2646651.76)</f>
        <v>2646651.7599999998</v>
      </c>
      <c r="J778" s="152">
        <f ca="1">IFERROR(__xludf.DUMMYFUNCTION("IMPORTRANGE(""https://docs.google.com/spreadsheets/d/10OvvATaaLtwErnr3qtWFcTmtbfpFEt5Bsqel9sXx0uE/edit?usp=sharing"",""งานกองทุน!F86"")"),1739279.28)</f>
        <v>1739279.28</v>
      </c>
      <c r="K778" s="47">
        <f ca="1">IF(I778&gt;0,J778*100/I778,0)</f>
        <v>65.716211943198758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IFERROR(__xludf.DUMMYFUNCTION("IMPORTRANGE(""https://docs.google.com/spreadsheets/d/10OvvATaaLtwErnr3qtWFcTmtbfpFEt5Bsqel9sXx0uE/edit?usp=sharing"",""งานกองทุน!C86"")"),192)</f>
        <v>192</v>
      </c>
      <c r="J779" s="152">
        <f ca="1">IFERROR(__xludf.DUMMYFUNCTION("IMPORTRANGE(""https://docs.google.com/spreadsheets/d/10OvvATaaLtwErnr3qtWFcTmtbfpFEt5Bsqel9sXx0uE/edit?usp=sharing"",""งานกองทุน!E86"")"),146)</f>
        <v>146</v>
      </c>
      <c r="K779" s="47">
        <f ca="1">IF(I779&gt;0,J779*100/I779,0)</f>
        <v>76.041666666666671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IFERROR(__xludf.DUMMYFUNCTION("IMPORTRANGE(""https://docs.google.com/spreadsheets/d/10OvvATaaLtwErnr3qtWFcTmtbfpFEt5Bsqel9sXx0uE/edit?usp=sharing"",""งานกองทุน!I86"")"),2703451.48)</f>
        <v>2703451.48</v>
      </c>
      <c r="J780" s="152">
        <f ca="1">IFERROR(__xludf.DUMMYFUNCTION("IMPORTRANGE(""https://docs.google.com/spreadsheets/d/10OvvATaaLtwErnr3qtWFcTmtbfpFEt5Bsqel9sXx0uE/edit?usp=sharing"",""งานกองทุน!K86"")"),345610.45)</f>
        <v>345610.45</v>
      </c>
      <c r="K780" s="47">
        <f ca="1">IF(I780&gt;0,J780*100/I780,0)</f>
        <v>12.784044861052953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IFERROR(__xludf.DUMMYFUNCTION("IMPORTRANGE(""https://docs.google.com/spreadsheets/d/10OvvATaaLtwErnr3qtWFcTmtbfpFEt5Bsqel9sXx0uE/edit?usp=sharing"",""งานกองทุน!H86"")"),99)</f>
        <v>99</v>
      </c>
      <c r="J781" s="152">
        <f ca="1">IFERROR(__xludf.DUMMYFUNCTION("IMPORTRANGE(""https://docs.google.com/spreadsheets/d/10OvvATaaLtwErnr3qtWFcTmtbfpFEt5Bsqel9sXx0uE/edit?usp=sharing"",""งานกองทุน!J86"")"),72)</f>
        <v>72</v>
      </c>
      <c r="K781" s="47">
        <f ca="1">IF(I781&gt;0,J781*100/I781,0)</f>
        <v>72.727272727272734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IFERROR(__xludf.DUMMYFUNCTION("IMPORTRANGE(""https://docs.google.com/spreadsheets/d/10OvvATaaLtwErnr3qtWFcTmtbfpFEt5Bsqel9sXx0uE/edit?usp=sharing"",""งานกองทุน!N86"")"),0)</f>
        <v>0</v>
      </c>
      <c r="J782" s="152">
        <f ca="1">IFERROR(__xludf.DUMMYFUNCTION("IMPORTRANGE(""https://docs.google.com/spreadsheets/d/10OvvATaaLtwErnr3qtWFcTmtbfpFEt5Bsqel9sXx0uE/edit?usp=sharing"",""งานกองทุน!P86"")"),0)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IFERROR(__xludf.DUMMYFUNCTION("IMPORTRANGE(""https://docs.google.com/spreadsheets/d/10OvvATaaLtwErnr3qtWFcTmtbfpFEt5Bsqel9sXx0uE/edit?usp=sharing"",""งานกองทุน!M86"")"),0)</f>
        <v>0</v>
      </c>
      <c r="J783" s="152">
        <f ca="1">IFERROR(__xludf.DUMMYFUNCTION("IMPORTRANGE(""https://docs.google.com/spreadsheets/d/10OvvATaaLtwErnr3qtWFcTmtbfpFEt5Bsqel9sXx0uE/edit?usp=sharing"",""งานกองทุน!O86"")"),0)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IFERROR(__xludf.DUMMYFUNCTION("IMPORTRANGE(""https://docs.google.com/spreadsheets/d/10OvvATaaLtwErnr3qtWFcTmtbfpFEt5Bsqel9sXx0uE/edit?usp=sharing"",""งานกองทุน!S86"")"),1848000)</f>
        <v>1848000</v>
      </c>
      <c r="J784" s="152">
        <f ca="1">IFERROR(__xludf.DUMMYFUNCTION("IMPORTRANGE(""https://docs.google.com/spreadsheets/d/10OvvATaaLtwErnr3qtWFcTmtbfpFEt5Bsqel9sXx0uE/edit?usp=sharing"",""งานกองทุน!U86"")"),3300000)</f>
        <v>3300000</v>
      </c>
      <c r="K784" s="47">
        <f ca="1">IF(I784&gt;0,J784*100/I784,0)</f>
        <v>178.57142857142858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IFERROR(__xludf.DUMMYFUNCTION("IMPORTRANGE(""https://docs.google.com/spreadsheets/d/10OvvATaaLtwErnr3qtWFcTmtbfpFEt5Bsqel9sXx0uE/edit?usp=sharing"",""งานกองทุน!R86"")"),66)</f>
        <v>66</v>
      </c>
      <c r="J785" s="197">
        <f ca="1">IFERROR(__xludf.DUMMYFUNCTION("IMPORTRANGE(""https://docs.google.com/spreadsheets/d/10OvvATaaLtwErnr3qtWFcTmtbfpFEt5Bsqel9sXx0uE/edit?usp=sharing"",""งานกองทุน!T86"")"),66)</f>
        <v>66</v>
      </c>
      <c r="K785" s="111">
        <f ca="1">IF(I785&gt;0,J785*100/I785,0)</f>
        <v>100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90:G690"/>
    <mergeCell ref="D714:G714"/>
    <mergeCell ref="D728:G728"/>
    <mergeCell ref="D760:G760"/>
    <mergeCell ref="D493:G493"/>
    <mergeCell ref="Q5:R5"/>
    <mergeCell ref="D599:G599"/>
    <mergeCell ref="D616:G616"/>
    <mergeCell ref="D642:G642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0A62BC-7D65-48BA-BE09-C8F0E9E44433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330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1686740</v>
      </c>
      <c r="M18" s="35">
        <f ca="1">M19+M20</f>
        <v>1809530</v>
      </c>
      <c r="N18" s="35">
        <f ca="1">N19+N20</f>
        <v>1082108.47</v>
      </c>
      <c r="O18" s="35">
        <f ca="1">IF(L18&gt;0,N18*100/L18,0)</f>
        <v>64.153839358763051</v>
      </c>
      <c r="P18" s="35">
        <f ca="1">IF(M18&gt;0,N18*100/M18,0)</f>
        <v>59.80052665609302</v>
      </c>
      <c r="Q18" s="35">
        <f ca="1">Q19+Q20</f>
        <v>736960.22</v>
      </c>
      <c r="R18" s="35">
        <f ca="1">R19+R20</f>
        <v>727585</v>
      </c>
      <c r="S18" s="35">
        <f ca="1">S19+S20</f>
        <v>246068.55000000002</v>
      </c>
      <c r="T18" s="35">
        <f ca="1">IF(Q18&gt;0,S18*100/Q18,0)</f>
        <v>33.389665184370472</v>
      </c>
      <c r="U18" s="35">
        <f ca="1">IF(R18&gt;0,S18*100/R18,0)</f>
        <v>33.819904203632568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1686740</v>
      </c>
      <c r="M20" s="39">
        <f ca="1">M23+M26</f>
        <v>1809530</v>
      </c>
      <c r="N20" s="39">
        <f ca="1">N23+N26</f>
        <v>1082108.47</v>
      </c>
      <c r="O20" s="39">
        <f ca="1">IF(L20&gt;0,N20*100/L20,0)</f>
        <v>64.153839358763051</v>
      </c>
      <c r="P20" s="39">
        <f ca="1">IF(M20&gt;0,N20*100/M20,0)</f>
        <v>59.80052665609302</v>
      </c>
      <c r="Q20" s="39">
        <f ca="1">Q23+Q26</f>
        <v>736960.22</v>
      </c>
      <c r="R20" s="39">
        <f ca="1">R23+R26</f>
        <v>727585</v>
      </c>
      <c r="S20" s="39">
        <f ca="1">S23+S26</f>
        <v>246068.55000000002</v>
      </c>
      <c r="T20" s="39">
        <f ca="1">IF(Q20&gt;0,S20*100/Q20,0)</f>
        <v>33.389665184370472</v>
      </c>
      <c r="U20" s="39">
        <f ca="1">IF(R20&gt;0,S20*100/R20,0)</f>
        <v>33.819904203632568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1686740</v>
      </c>
      <c r="M21" s="47">
        <f ca="1">M22+M23</f>
        <v>1809530</v>
      </c>
      <c r="N21" s="47">
        <f ca="1">N22+N23</f>
        <v>1082108.47</v>
      </c>
      <c r="O21" s="47">
        <f ca="1">IF(L21&gt;0,N21*100/L21,0)</f>
        <v>64.153839358763051</v>
      </c>
      <c r="P21" s="47">
        <f ca="1">IF(M21&gt;0,N21*100/M21,0)</f>
        <v>59.80052665609302</v>
      </c>
      <c r="Q21" s="47">
        <f ca="1">Q22+Q23</f>
        <v>736960.22</v>
      </c>
      <c r="R21" s="47">
        <f ca="1">R22+R23</f>
        <v>727585</v>
      </c>
      <c r="S21" s="47">
        <f ca="1">S22+S23</f>
        <v>246068.55000000002</v>
      </c>
      <c r="T21" s="47">
        <f ca="1">IF(Q21&gt;0,S21*100/Q21,0)</f>
        <v>33.389665184370472</v>
      </c>
      <c r="U21" s="47">
        <f ca="1">IF(R21&gt;0,S21*100/R21,0)</f>
        <v>33.819904203632568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1686740</v>
      </c>
      <c r="M23" s="47">
        <f ca="1">M49+M64+M77+M99+M122+M144+M162+M191+M178+M271+M287+M308+M325+M338+M361+M380+M418+M498+M518+M539+M560+M581+M604+M621+M647+M695+M719+M733+M765</f>
        <v>1809530</v>
      </c>
      <c r="N23" s="47">
        <f ca="1">N49+N64+N77+N99+N122+N144+N162+N191+N178+N271+N287+N308+N325+N338+N361+N380+N418+N498+N518+N539+N560+N581+N604+N621+N647+N695+N719+N733+N765</f>
        <v>1082108.47</v>
      </c>
      <c r="O23" s="47">
        <f ca="1">IF(L23&gt;0,N23*100/L23,0)</f>
        <v>64.153839358763051</v>
      </c>
      <c r="P23" s="47">
        <f ca="1">IF(M23&gt;0,N23*100/M23,0)</f>
        <v>59.80052665609302</v>
      </c>
      <c r="Q23" s="47">
        <f ca="1">Q77+Q99+Q122+Q144+Q162+Q178+Q191+Q271+Q287+Q308+Q338+Q380+Q397+Q418+Q498+Q604+Q621+Q647+Q695+Q719+Q733+Q765</f>
        <v>736960.22</v>
      </c>
      <c r="R23" s="47">
        <f ca="1">R77+R99+R122+R144+R162+R178+R191+R271+R287+R308+R338+R380+R397+R418+R498+R604+R621+R647+R695+R719+R733+R765</f>
        <v>727585</v>
      </c>
      <c r="S23" s="47">
        <f ca="1">S77+S99+S122+S144+S162+S178+S191+S271+S287+S308+S338+S380+S397+S418+S498+S604+S621+S647+S695+S719+S733+S765</f>
        <v>246068.55000000002</v>
      </c>
      <c r="T23" s="47">
        <f ca="1">IF(Q23&gt;0,S23*100/Q23,0)</f>
        <v>33.389665184370472</v>
      </c>
      <c r="U23" s="47">
        <f ca="1">IF(R23&gt;0,S23*100/R23,0)</f>
        <v>33.819904203632568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1669180</v>
      </c>
      <c r="M40" s="802">
        <f ca="1">M44+M59+M72+M94+M125+M139+M157+M173+M186+M266+M282+M303+M320+M333+M356</f>
        <v>1791970</v>
      </c>
      <c r="N40" s="802">
        <f ca="1">N44+N59+N72+N94+N125+N139+N157+N173+N186+N266+N282+N303+N320+N333+N356</f>
        <v>1082108.47</v>
      </c>
      <c r="O40" s="802">
        <f ca="1">IF(L40&gt;0,N40*100/L40,0)</f>
        <v>64.828746450352867</v>
      </c>
      <c r="P40" s="802">
        <f ca="1">IF(M40&gt;0,N40*100/M40,0)</f>
        <v>60.386528234289635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339300</v>
      </c>
      <c r="M44" s="79">
        <f ca="1">M45+M46</f>
        <v>412340</v>
      </c>
      <c r="N44" s="79">
        <f ca="1">N45+N46</f>
        <v>315980</v>
      </c>
      <c r="O44" s="79">
        <f ca="1">IF(L44&gt;0,N44*100/L44,0)</f>
        <v>93.127026230474513</v>
      </c>
      <c r="P44" s="79">
        <f ca="1">IF(M44&gt;0,N44*100/M44,0)</f>
        <v>76.630935635640498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339300</v>
      </c>
      <c r="M46" s="83">
        <f ca="1">M49+M52</f>
        <v>412340</v>
      </c>
      <c r="N46" s="83">
        <f ca="1">N49+N52</f>
        <v>315980</v>
      </c>
      <c r="O46" s="83">
        <f ca="1">IF(L46&gt;0,N46*100/L46,0)</f>
        <v>93.127026230474513</v>
      </c>
      <c r="P46" s="83">
        <f ca="1">IF(M46&gt;0,N46*100/M46,0)</f>
        <v>76.630935635640498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339300</v>
      </c>
      <c r="M47" s="47">
        <f ca="1">M48+M49</f>
        <v>412340</v>
      </c>
      <c r="N47" s="47">
        <f ca="1">N48+N49</f>
        <v>315980</v>
      </c>
      <c r="O47" s="47">
        <f ca="1">IF(L47&gt;0,N47*100/L47,0)</f>
        <v>93.127026230474513</v>
      </c>
      <c r="P47" s="47">
        <f ca="1">IF(M47&gt;0,N47*100/M47,0)</f>
        <v>76.630935635640498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IFERROR(__xludf.DUMMYFUNCTION("IMPORTRANGE(""https://docs.google.com/spreadsheets/d/1-uDff_7J0KD5mKrp0Vvzr7lt3OU09vwQwhkpOPPYv2Y/edit?usp=sharing"",""งบพรบ!P87"")"),339300)</f>
        <v>339300</v>
      </c>
      <c r="M49" s="47">
        <f ca="1">IFERROR(__xludf.DUMMYFUNCTION("IMPORTRANGE(""https://docs.google.com/spreadsheets/d/1-uDff_7J0KD5mKrp0Vvzr7lt3OU09vwQwhkpOPPYv2Y/edit?usp=sharing"",""งบพรบ!V87"")"),412340)</f>
        <v>412340</v>
      </c>
      <c r="N49" s="47">
        <f ca="1">IFERROR(__xludf.DUMMYFUNCTION("IMPORTRANGE(""https://docs.google.com/spreadsheets/d/1-uDff_7J0KD5mKrp0Vvzr7lt3OU09vwQwhkpOPPYv2Y/edit?usp=sharing"",""งบพรบ!Y87"")"),315980)</f>
        <v>315980</v>
      </c>
      <c r="O49" s="47">
        <f ca="1">IF(L49&gt;0,N49*100/L49,0)</f>
        <v>93.127026230474513</v>
      </c>
      <c r="P49" s="47">
        <f ca="1">IF(M49&gt;0,N49*100/M49,0)</f>
        <v>76.630935635640498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IFERROR(__xludf.DUMMYFUNCTION("IMPORTRANGE(""https://docs.google.com/spreadsheets/d/1-uDff_7J0KD5mKrp0Vvzr7lt3OU09vwQwhkpOPPYv2Y/edit?usp=sharing"",""งบพรบ!S87"")"),0)</f>
        <v>0</v>
      </c>
      <c r="M52" s="47">
        <f ca="1">IFERROR(__xludf.DUMMYFUNCTION("IMPORTRANGE(""https://docs.google.com/spreadsheets/d/1-uDff_7J0KD5mKrp0Vvzr7lt3OU09vwQwhkpOPPYv2Y/edit?usp=sharing"",""งบพรบ!W87"")"),0)</f>
        <v>0</v>
      </c>
      <c r="N52" s="47">
        <f ca="1">IFERROR(__xludf.DUMMYFUNCTION("IMPORTRANGE(""https://docs.google.com/spreadsheets/d/1-uDff_7J0KD5mKrp0Vvzr7lt3OU09vwQwhkpOPPYv2Y/edit?usp=sharing"",""งบพรบ!Z87"")"),0)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318900</v>
      </c>
      <c r="M59" s="106">
        <f ca="1">M60+M61</f>
        <v>318900</v>
      </c>
      <c r="N59" s="106">
        <f ca="1">N60+N61</f>
        <v>168873.69</v>
      </c>
      <c r="O59" s="106">
        <f ca="1">IF(L59&gt;0,N59*100/L59,0)</f>
        <v>52.955061147695204</v>
      </c>
      <c r="P59" s="106">
        <f ca="1">IF(M59&gt;0,N59*100/M59,0)</f>
        <v>52.955061147695204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318900</v>
      </c>
      <c r="M61" s="109">
        <f ca="1">M64+M67</f>
        <v>318900</v>
      </c>
      <c r="N61" s="109">
        <f ca="1">N64+N67</f>
        <v>168873.69</v>
      </c>
      <c r="O61" s="109">
        <f ca="1">IF(L61&gt;0,N61*100/L61,0)</f>
        <v>52.955061147695204</v>
      </c>
      <c r="P61" s="109">
        <f ca="1">IF(M61&gt;0,N61*100/M61,0)</f>
        <v>52.955061147695204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318900</v>
      </c>
      <c r="M62" s="47">
        <f ca="1">M63+M64</f>
        <v>318900</v>
      </c>
      <c r="N62" s="47">
        <f ca="1">N63+N64</f>
        <v>168873.69</v>
      </c>
      <c r="O62" s="47">
        <f ca="1">IF(L62&gt;0,N62*100/L62,0)</f>
        <v>52.955061147695204</v>
      </c>
      <c r="P62" s="47">
        <f ca="1">IF(M62&gt;0,N62*100/M62,0)</f>
        <v>52.955061147695204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IFERROR(__xludf.DUMMYFUNCTION("IMPORTRANGE(""https://docs.google.com/spreadsheets/d/1-uDff_7J0KD5mKrp0Vvzr7lt3OU09vwQwhkpOPPYv2Y/edit?usp=sharing"",""งบพรบ!AC87"")"),318900)</f>
        <v>318900</v>
      </c>
      <c r="M64" s="47">
        <f ca="1">IFERROR(__xludf.DUMMYFUNCTION("IMPORTRANGE(""https://docs.google.com/spreadsheets/d/1-uDff_7J0KD5mKrp0Vvzr7lt3OU09vwQwhkpOPPYv2Y/edit?usp=sharing"",""งบพรบ!AH87"")"),318900)</f>
        <v>318900</v>
      </c>
      <c r="N64" s="47">
        <f ca="1">IFERROR(__xludf.DUMMYFUNCTION("IMPORTRANGE(""https://docs.google.com/spreadsheets/d/1-uDff_7J0KD5mKrp0Vvzr7lt3OU09vwQwhkpOPPYv2Y/edit?usp=sharing"",""งบพรบ!AJ87"")"),168873.69)</f>
        <v>168873.69</v>
      </c>
      <c r="O64" s="47">
        <f ca="1">IF(L64&gt;0,N64*100/L64,0)</f>
        <v>52.955061147695204</v>
      </c>
      <c r="P64" s="47">
        <f ca="1">IF(M64&gt;0,N64*100/M64,0)</f>
        <v>52.955061147695204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IFERROR(__xludf.DUMMYFUNCTION("IMPORTRANGE(""https://docs.google.com/spreadsheets/d/1-uDff_7J0KD5mKrp0Vvzr7lt3OU09vwQwhkpOPPYv2Y/edit?usp=sharing"",""งบพรบ!AF87"")"),0)</f>
        <v>0</v>
      </c>
      <c r="M67" s="111">
        <f ca="1">IFERROR(__xludf.DUMMYFUNCTION("IMPORTRANGE(""https://docs.google.com/spreadsheets/d/1-uDff_7J0KD5mKrp0Vvzr7lt3OU09vwQwhkpOPPYv2Y/edit?usp=sharing"",""งบพรบ!AI87"")"),0)</f>
        <v>0</v>
      </c>
      <c r="N67" s="111">
        <f ca="1">IFERROR(__xludf.DUMMYFUNCTION("IMPORTRANGE(""https://docs.google.com/spreadsheets/d/1-uDff_7J0KD5mKrp0Vvzr7lt3OU09vwQwhkpOPPYv2Y/edit?usp=sharing"",""งบพรบ!AK87"")"),0)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IFERROR(__xludf.DUMMYFUNCTION("IMPORTRANGE(""https://docs.google.com/spreadsheets/d/1-uDff_7J0KD5mKrp0Vvzr7lt3OU09vwQwhkpOPPYv2Y/edit?usp=sharing"",""งบพรบ!AM87"")"),0)</f>
        <v>0</v>
      </c>
      <c r="M77" s="47">
        <f ca="1">IFERROR(__xludf.DUMMYFUNCTION("IMPORTRANGE(""https://docs.google.com/spreadsheets/d/1-uDff_7J0KD5mKrp0Vvzr7lt3OU09vwQwhkpOPPYv2Y/edit?usp=sharing"",""งบพรบ!AR87"")"),0)</f>
        <v>0</v>
      </c>
      <c r="N77" s="47">
        <f ca="1">IFERROR(__xludf.DUMMYFUNCTION("IMPORTRANGE(""https://docs.google.com/spreadsheets/d/1-uDff_7J0KD5mKrp0Vvzr7lt3OU09vwQwhkpOPPYv2Y/edit?usp=sharing"",""งบพรบ!AT87"")"),0)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IFERROR(__xludf.DUMMYFUNCTION("IMPORTRANGE(""https://docs.google.com/spreadsheets/d/1-uDff_7J0KD5mKrp0Vvzr7lt3OU09vwQwhkpOPPYv2Y/edit?usp=sharing"",""งบพรบ!AP87"")"),0)</f>
        <v>0</v>
      </c>
      <c r="M80" s="47">
        <f ca="1">IFERROR(__xludf.DUMMYFUNCTION("IMPORTRANGE(""https://docs.google.com/spreadsheets/d/1-uDff_7J0KD5mKrp0Vvzr7lt3OU09vwQwhkpOPPYv2Y/edit?usp=sharing"",""งบพรบ!AS87"")"),0)</f>
        <v>0</v>
      </c>
      <c r="N80" s="47">
        <f ca="1">IFERROR(__xludf.DUMMYFUNCTION("IMPORTRANGE(""https://docs.google.com/spreadsheets/d/1-uDff_7J0KD5mKrp0Vvzr7lt3OU09vwQwhkpOPPYv2Y/edit?usp=sharing"",""งบพรบ!AU87"")"),0)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6000</v>
      </c>
      <c r="O94" s="132">
        <f ca="1">IF(L94&gt;0,N94*100/L94,0)</f>
        <v>0</v>
      </c>
      <c r="P94" s="132">
        <f ca="1">IF(M94&gt;0,N94*100/M94,0)</f>
        <v>100</v>
      </c>
      <c r="Q94" s="132">
        <f ca="1">Q95+Q96</f>
        <v>84420</v>
      </c>
      <c r="R94" s="132">
        <f ca="1">R95+R96</f>
        <v>84420</v>
      </c>
      <c r="S94" s="132">
        <f ca="1">S95+S96</f>
        <v>2390</v>
      </c>
      <c r="T94" s="132">
        <f ca="1">IF(Q94&gt;0,S94*100/Q94,0)</f>
        <v>2.8310826818289505</v>
      </c>
      <c r="U94" s="132">
        <f ca="1">IF(R94&gt;0,S94*100/R94,0)</f>
        <v>2.8310826818289505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6000</v>
      </c>
      <c r="O96" s="47">
        <f ca="1">IF(L96&gt;0,N96*100/L96,0)</f>
        <v>0</v>
      </c>
      <c r="P96" s="47">
        <f ca="1">IF(M96&gt;0,N96*100/M96,0)</f>
        <v>100</v>
      </c>
      <c r="Q96" s="47">
        <f ca="1">Q99+Q102</f>
        <v>84420</v>
      </c>
      <c r="R96" s="47">
        <f ca="1">R99+R102</f>
        <v>84420</v>
      </c>
      <c r="S96" s="47">
        <f ca="1">S99+S102</f>
        <v>2390</v>
      </c>
      <c r="T96" s="47">
        <f ca="1">IF(Q96&gt;0,S96*100/Q96,0)</f>
        <v>2.8310826818289505</v>
      </c>
      <c r="U96" s="47">
        <f ca="1">IF(R96&gt;0,S96*100/R96,0)</f>
        <v>2.8310826818289505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6000</v>
      </c>
      <c r="O97" s="47">
        <f ca="1">IF(L97&gt;0,N97*100/L97,0)</f>
        <v>0</v>
      </c>
      <c r="P97" s="47">
        <f ca="1">IF(M97&gt;0,N97*100/M97,0)</f>
        <v>100</v>
      </c>
      <c r="Q97" s="47">
        <f ca="1">Q98+Q99</f>
        <v>84420</v>
      </c>
      <c r="R97" s="47">
        <f ca="1">R98+R99</f>
        <v>84420</v>
      </c>
      <c r="S97" s="47">
        <f ca="1">S98+S99</f>
        <v>2390</v>
      </c>
      <c r="T97" s="47">
        <f ca="1">IF(Q97&gt;0,S97*100/Q97,0)</f>
        <v>2.8310826818289505</v>
      </c>
      <c r="U97" s="47">
        <f ca="1">IF(R97&gt;0,S97*100/R97,0)</f>
        <v>2.8310826818289505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IFERROR(__xludf.DUMMYFUNCTION("IMPORTRANGE(""https://docs.google.com/spreadsheets/d/1-uDff_7J0KD5mKrp0Vvzr7lt3OU09vwQwhkpOPPYv2Y/edit?usp=sharing"",""งบพรบ!AW87"")"),0)</f>
        <v>0</v>
      </c>
      <c r="M99" s="47">
        <f ca="1">IFERROR(__xludf.DUMMYFUNCTION("IMPORTRANGE(""https://docs.google.com/spreadsheets/d/1-uDff_7J0KD5mKrp0Vvzr7lt3OU09vwQwhkpOPPYv2Y/edit?usp=sharing"",""งบพรบ!BB87"")"),6000)</f>
        <v>6000</v>
      </c>
      <c r="N99" s="47">
        <f ca="1">IFERROR(__xludf.DUMMYFUNCTION("IMPORTRANGE(""https://docs.google.com/spreadsheets/d/1-uDff_7J0KD5mKrp0Vvzr7lt3OU09vwQwhkpOPPYv2Y/edit?usp=sharing"",""งบพรบ!BD87"")"),6000)</f>
        <v>6000</v>
      </c>
      <c r="O99" s="47">
        <f ca="1">IF(L99&gt;0,N99*100/L99,0)</f>
        <v>0</v>
      </c>
      <c r="P99" s="47">
        <f ca="1">IF(M99&gt;0,N99*100/M99,0)</f>
        <v>100</v>
      </c>
      <c r="Q99" s="47">
        <f ca="1">IFERROR(__xludf.DUMMYFUNCTION("IMPORTRANGE(""https://docs.google.com/spreadsheets/d/1ItG2mGa2ceCfYo0BwxsXqNm01IGEUdYcSSLTEv9YCik/edit?usp=sharing"",""เบิกจ่ายกองทุน!AJ87"")"),84420)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IFERROR(__xludf.DUMMYFUNCTION("IMPORTRANGE(""https://docs.google.com/spreadsheets/d/1ItG2mGa2ceCfYo0BwxsXqNm01IGEUdYcSSLTEv9YCik/edit?usp=sharing"",""เบิกจ่ายกองทุน!AK87"")"),84420)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IFERROR(__xludf.DUMMYFUNCTION("IMPORTRANGE(""https://docs.google.com/spreadsheets/d/1ItG2mGa2ceCfYo0BwxsXqNm01IGEUdYcSSLTEv9YCik/edit?usp=sharing"",""เบิกจ่ายกองทุน!AL87"")"),2390)</f>
        <v>2390</v>
      </c>
      <c r="T99" s="47">
        <f ca="1">IF(Q99&gt;0,S99*100/Q99,0)</f>
        <v>2.8310826818289505</v>
      </c>
      <c r="U99" s="47">
        <f ca="1">IF(R99&gt;0,S99*100/R99,0)</f>
        <v>2.8310826818289505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IFERROR(__xludf.DUMMYFUNCTION("IMPORTRANGE(""https://docs.google.com/spreadsheets/d/1-uDff_7J0KD5mKrp0Vvzr7lt3OU09vwQwhkpOPPYv2Y/edit?usp=sharing"",""งบพรบ!AZ87"")"),0)</f>
        <v>0</v>
      </c>
      <c r="M102" s="47">
        <f ca="1">IFERROR(__xludf.DUMMYFUNCTION("IMPORTRANGE(""https://docs.google.com/spreadsheets/d/1-uDff_7J0KD5mKrp0Vvzr7lt3OU09vwQwhkpOPPYv2Y/edit?usp=sharing"",""งบพรบ!BC87"")"),0)</f>
        <v>0</v>
      </c>
      <c r="N102" s="47">
        <f ca="1">IFERROR(__xludf.DUMMYFUNCTION("IMPORTRANGE(""https://docs.google.com/spreadsheets/d/1-uDff_7J0KD5mKrp0Vvzr7lt3OU09vwQwhkpOPPYv2Y/edit?usp=sharing"",""งบพรบ!BE87"")"),0)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IFERROR(__xludf.DUMMYFUNCTION("IMPORTRANGE(""https://docs.google.com/spreadsheets/d/1eHaY18a8A9IcSdp1K8H6x8fbOy06t2VsZHhMHf-1x7Y/edit?usp=sharing"",""แผน!N87"")"),30)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IFERROR(__xludf.DUMMYFUNCTION("IMPORTRANGE(""https://docs.google.com/spreadsheets/d/1eHaY18a8A9IcSdp1K8H6x8fbOy06t2VsZHhMHf-1x7Y/edit?usp=sharing"",""แผน!O87"")"),10)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IFERROR(__xludf.DUMMYFUNCTION("IMPORTRANGE(""https://docs.google.com/spreadsheets/d/1eHaY18a8A9IcSdp1K8H6x8fbOy06t2VsZHhMHf-1x7Y/edit?usp=sharing"",""แผน!N87"")"),30)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IFERROR(__xludf.DUMMYFUNCTION("IMPORTRANGE(""https://docs.google.com/spreadsheets/d/1eHaY18a8A9IcSdp1K8H6x8fbOy06t2VsZHhMHf-1x7Y/edit?usp=sharing"",""แผน!O87"")"),10)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88360</v>
      </c>
      <c r="T117" s="132">
        <f ca="1">IF(Q117&gt;0,S117*100/Q117,0)</f>
        <v>50.881031901416563</v>
      </c>
      <c r="U117" s="132">
        <f ca="1">IF(R117&gt;0,S117*100/R117,0)</f>
        <v>50.881031901416563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88360</v>
      </c>
      <c r="T119" s="47">
        <f ca="1">IF(Q119&gt;0,S119*100/Q119,0)</f>
        <v>50.881031901416563</v>
      </c>
      <c r="U119" s="47">
        <f ca="1">IF(R119&gt;0,S119*100/R119,0)</f>
        <v>50.881031901416563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88360</v>
      </c>
      <c r="T120" s="47">
        <f ca="1">IF(Q120&gt;0,S120*100/Q120,0)</f>
        <v>50.881031901416563</v>
      </c>
      <c r="U120" s="47">
        <f ca="1">IF(R120&gt;0,S120*100/R120,0)</f>
        <v>50.881031901416563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IFERROR(__xludf.DUMMYFUNCTION("IMPORTRANGE(""https://docs.google.com/spreadsheets/d/1-uDff_7J0KD5mKrp0Vvzr7lt3OU09vwQwhkpOPPYv2Y/edit?usp=sharing"",""งบพรบ!BG87"")"),0)</f>
        <v>0</v>
      </c>
      <c r="M122" s="47">
        <f ca="1">IFERROR(__xludf.DUMMYFUNCTION("IMPORTRANGE(""https://docs.google.com/spreadsheets/d/1-uDff_7J0KD5mKrp0Vvzr7lt3OU09vwQwhkpOPPYv2Y/edit?usp=sharing"",""งบพรบ!BL87"")"),0)</f>
        <v>0</v>
      </c>
      <c r="N122" s="47">
        <f ca="1">IFERROR(__xludf.DUMMYFUNCTION("IMPORTRANGE(""https://docs.google.com/spreadsheets/d/1-uDff_7J0KD5mKrp0Vvzr7lt3OU09vwQwhkpOPPYv2Y/edit?usp=sharing"",""งบพรบ!BN87"")"),0)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IFERROR(__xludf.DUMMYFUNCTION("IMPORTRANGE(""https://docs.google.com/spreadsheets/d/1ItG2mGa2ceCfYo0BwxsXqNm01IGEUdYcSSLTEv9YCik/edit?usp=sharing"",""เบิกจ่ายกองทุน!U87"")"),173660)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IFERROR(__xludf.DUMMYFUNCTION("IMPORTRANGE(""https://docs.google.com/spreadsheets/d/1ItG2mGa2ceCfYo0BwxsXqNm01IGEUdYcSSLTEv9YCik/edit?usp=sharing"",""เบิกจ่ายกองทุน!V87"")"),173660)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IFERROR(__xludf.DUMMYFUNCTION("IMPORTRANGE(""https://docs.google.com/spreadsheets/d/1ItG2mGa2ceCfYo0BwxsXqNm01IGEUdYcSSLTEv9YCik/edit?usp=sharing"",""เบิกจ่ายกองทุน!W87"")"),88360)</f>
        <v>88360</v>
      </c>
      <c r="T122" s="47">
        <f ca="1">IF(Q122&gt;0,S122*100/Q122,0)</f>
        <v>50.881031901416563</v>
      </c>
      <c r="U122" s="47">
        <f ca="1">IF(R122&gt;0,S122*100/R122,0)</f>
        <v>50.881031901416563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IFERROR(__xludf.DUMMYFUNCTION("IMPORTRANGE(""https://docs.google.com/spreadsheets/d/1-uDff_7J0KD5mKrp0Vvzr7lt3OU09vwQwhkpOPPYv2Y/edit?usp=sharing"",""งบพรบ!BJ87"")"),0)</f>
        <v>0</v>
      </c>
      <c r="M125" s="47">
        <f ca="1">IFERROR(__xludf.DUMMYFUNCTION("IMPORTRANGE(""https://docs.google.com/spreadsheets/d/1-uDff_7J0KD5mKrp0Vvzr7lt3OU09vwQwhkpOPPYv2Y/edit?usp=sharing"",""งบพรบ!BM87"")"),0)</f>
        <v>0</v>
      </c>
      <c r="N125" s="47">
        <f ca="1">IFERROR(__xludf.DUMMYFUNCTION("IMPORTRANGE(""https://docs.google.com/spreadsheets/d/1-uDff_7J0KD5mKrp0Vvzr7lt3OU09vwQwhkpOPPYv2Y/edit?usp=sharing"",""งบพรบ!BO87"")"),0)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IFERROR(__xludf.DUMMYFUNCTION("IMPORTRANGE(""https://docs.google.com/spreadsheets/d/1eHaY18a8A9IcSdp1K8H6x8fbOy06t2VsZHhMHf-1x7Y/edit?usp=sharing"",""แผน!FF87"")"),10)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IFERROR(__xludf.DUMMYFUNCTION("IMPORTRANGE(""https://docs.google.com/spreadsheets/d/1eHaY18a8A9IcSdp1K8H6x8fbOy06t2VsZHhMHf-1x7Y/edit?usp=sharing"",""แผน!FH87"")"),10)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IFERROR(__xludf.DUMMYFUNCTION("IMPORTRANGE(""https://docs.google.com/spreadsheets/d/1-uDff_7J0KD5mKrp0Vvzr7lt3OU09vwQwhkpOPPYv2Y/edit?usp=sharing"",""งบพรบ!BQ87"")"),0)</f>
        <v>0</v>
      </c>
      <c r="M144" s="47">
        <f ca="1">IFERROR(__xludf.DUMMYFUNCTION("IMPORTRANGE(""https://docs.google.com/spreadsheets/d/1-uDff_7J0KD5mKrp0Vvzr7lt3OU09vwQwhkpOPPYv2Y/edit?usp=sharing"",""งบพรบ!BV87"")"),0)</f>
        <v>0</v>
      </c>
      <c r="N144" s="47">
        <f ca="1">IFERROR(__xludf.DUMMYFUNCTION("IMPORTRANGE(""https://docs.google.com/spreadsheets/d/1-uDff_7J0KD5mKrp0Vvzr7lt3OU09vwQwhkpOPPYv2Y/edit?usp=sharing"",""งบพรบ!BX87"")"),0)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IFERROR(__xludf.DUMMYFUNCTION("IMPORTRANGE(""https://docs.google.com/spreadsheets/d/1ItG2mGa2ceCfYo0BwxsXqNm01IGEUdYcSSLTEv9YCik/edit?usp=sharing"",""เบิกจ่ายกองทุน!CF87"")"),0)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IFERROR(__xludf.DUMMYFUNCTION("IMPORTRANGE(""https://docs.google.com/spreadsheets/d/1ItG2mGa2ceCfYo0BwxsXqNm01IGEUdYcSSLTEv9YCik/edit?usp=sharing"",""เบิกจ่ายกองทุน!CG87"")"),0)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IFERROR(__xludf.DUMMYFUNCTION("IMPORTRANGE(""https://docs.google.com/spreadsheets/d/1-uDff_7J0KD5mKrp0Vvzr7lt3OU09vwQwhkpOPPYv2Y/edit?usp=sharing"",""งบพรบ!BT87"")"),0)</f>
        <v>0</v>
      </c>
      <c r="M147" s="47">
        <f ca="1">IFERROR(__xludf.DUMMYFUNCTION("IMPORTRANGE(""https://docs.google.com/spreadsheets/d/1-uDff_7J0KD5mKrp0Vvzr7lt3OU09vwQwhkpOPPYv2Y/edit?usp=sharing"",""งบพรบ!BW87"")"),0)</f>
        <v>0</v>
      </c>
      <c r="N147" s="47">
        <f ca="1">IFERROR(__xludf.DUMMYFUNCTION("IMPORTRANGE(""https://docs.google.com/spreadsheets/d/1-uDff_7J0KD5mKrp0Vvzr7lt3OU09vwQwhkpOPPYv2Y/edit?usp=sharing"",""งบพรบ!BY87"")"),0)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IFERROR(__xludf.DUMMYFUNCTION("IMPORTRANGE(""https://docs.google.com/spreadsheets/d/1eHaY18a8A9IcSdp1K8H6x8fbOy06t2VsZHhMHf-1x7Y/edit?usp=sharing"",""แผน!U87"")"),0)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IFERROR(__xludf.DUMMYFUNCTION("IMPORTRANGE(""https://docs.google.com/spreadsheets/d/1eHaY18a8A9IcSdp1K8H6x8fbOy06t2VsZHhMHf-1x7Y/edit?usp=sharing"",""แผน!V87"")"),0)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IFERROR(__xludf.DUMMYFUNCTION("IMPORTRANGE(""https://docs.google.com/spreadsheets/d/1eHaY18a8A9IcSdp1K8H6x8fbOy06t2VsZHhMHf-1x7Y/edit?usp=sharing"",""แผน!W87"")"),0)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IFERROR(__xludf.DUMMYFUNCTION("IMPORTRANGE(""https://docs.google.com/spreadsheets/d/1eHaY18a8A9IcSdp1K8H6x8fbOy06t2VsZHhMHf-1x7Y/edit?usp=sharing"",""แผน!X87"")"),0)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IFERROR(__xludf.DUMMYFUNCTION("IMPORTRANGE(""https://docs.google.com/spreadsheets/d/1eHaY18a8A9IcSdp1K8H6x8fbOy06t2VsZHhMHf-1x7Y/edit?usp=sharing"",""แผน!Y87"")"),0)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13340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13340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13340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IFERROR(__xludf.DUMMYFUNCTION("IMPORTRANGE(""https://docs.google.com/spreadsheets/d/1-uDff_7J0KD5mKrp0Vvzr7lt3OU09vwQwhkpOPPYv2Y/edit?usp=sharing"",""งบพรบ!CA87"")"),0)</f>
        <v>0</v>
      </c>
      <c r="M162" s="47">
        <f ca="1">IFERROR(__xludf.DUMMYFUNCTION("IMPORTRANGE(""https://docs.google.com/spreadsheets/d/1-uDff_7J0KD5mKrp0Vvzr7lt3OU09vwQwhkpOPPYv2Y/edit?usp=sharing"",""งบพรบ!CF87"")"),13340)</f>
        <v>13340</v>
      </c>
      <c r="N162" s="47">
        <f ca="1">IFERROR(__xludf.DUMMYFUNCTION("IMPORTRANGE(""https://docs.google.com/spreadsheets/d/1-uDff_7J0KD5mKrp0Vvzr7lt3OU09vwQwhkpOPPYv2Y/edit?usp=sharing"",""งบพรบ!CH87"")"),0)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IFERROR(__xludf.DUMMYFUNCTION("IMPORTRANGE(""https://docs.google.com/spreadsheets/d/1-uDff_7J0KD5mKrp0Vvzr7lt3OU09vwQwhkpOPPYv2Y/edit?usp=sharing"",""งบพรบ!CD87"")"),0)</f>
        <v>0</v>
      </c>
      <c r="M165" s="47">
        <f ca="1">IFERROR(__xludf.DUMMYFUNCTION("IMPORTRANGE(""https://docs.google.com/spreadsheets/d/1-uDff_7J0KD5mKrp0Vvzr7lt3OU09vwQwhkpOPPYv2Y/edit?usp=sharing"",""งบพรบ!CG87"")"),0)</f>
        <v>0</v>
      </c>
      <c r="N165" s="47">
        <f ca="1">IFERROR(__xludf.DUMMYFUNCTION("IMPORTRANGE(""https://docs.google.com/spreadsheets/d/1-uDff_7J0KD5mKrp0Vvzr7lt3OU09vwQwhkpOPPYv2Y/edit?usp=sharing"",""งบพรบ!CI87"")"),0)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IFERROR(__xludf.DUMMYFUNCTION("IMPORTRANGE(""https://docs.google.com/spreadsheets/d/1eHaY18a8A9IcSdp1K8H6x8fbOy06t2VsZHhMHf-1x7Y/edit?usp=sharing"",""แผน!Z87"")"),0)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IFERROR(__xludf.DUMMYFUNCTION("IMPORTRANGE(""https://docs.google.com/spreadsheets/d/1eHaY18a8A9IcSdp1K8H6x8fbOy06t2VsZHhMHf-1x7Y/edit?usp=sharing"",""แผน!Z87"")"),0)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40300</v>
      </c>
      <c r="N173" s="132">
        <f ca="1">N174+N175</f>
        <v>40300</v>
      </c>
      <c r="O173" s="132">
        <f ca="1">IF(L173&gt;0,N173*100/L173,0)</f>
        <v>205.71720265441553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40300</v>
      </c>
      <c r="N175" s="47">
        <f ca="1">N178+N181</f>
        <v>40300</v>
      </c>
      <c r="O175" s="47">
        <f ca="1">IF(L175&gt;0,N175*100/L175,0)</f>
        <v>205.71720265441553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40300</v>
      </c>
      <c r="N176" s="47">
        <f ca="1">N177+N178</f>
        <v>40300</v>
      </c>
      <c r="O176" s="47">
        <f ca="1">IF(L176&gt;0,N176*100/L176,0)</f>
        <v>205.71720265441553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IFERROR(__xludf.DUMMYFUNCTION("IMPORTRANGE(""https://docs.google.com/spreadsheets/d/1-uDff_7J0KD5mKrp0Vvzr7lt3OU09vwQwhkpOPPYv2Y/edit?usp=sharing"",""งบพรบ!CK87"")"),19590)</f>
        <v>19590</v>
      </c>
      <c r="M178" s="47">
        <f ca="1">IFERROR(__xludf.DUMMYFUNCTION("IMPORTRANGE(""https://docs.google.com/spreadsheets/d/1-uDff_7J0KD5mKrp0Vvzr7lt3OU09vwQwhkpOPPYv2Y/edit?usp=sharing"",""งบพรบ!CP87"")"),40300)</f>
        <v>40300</v>
      </c>
      <c r="N178" s="47">
        <f ca="1">IFERROR(__xludf.DUMMYFUNCTION("IMPORTRANGE(""https://docs.google.com/spreadsheets/d/1-uDff_7J0KD5mKrp0Vvzr7lt3OU09vwQwhkpOPPYv2Y/edit?usp=sharing"",""งบพรบ!CR87"")"),40300)</f>
        <v>40300</v>
      </c>
      <c r="O178" s="47">
        <f ca="1">IF(L178&gt;0,N178*100/L178,0)</f>
        <v>205.71720265441553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IFERROR(__xludf.DUMMYFUNCTION("IMPORTRANGE(""https://docs.google.com/spreadsheets/d/1-uDff_7J0KD5mKrp0Vvzr7lt3OU09vwQwhkpOPPYv2Y/edit?usp=sharing"",""งบพรบ!CN87"")"),0)</f>
        <v>0</v>
      </c>
      <c r="M181" s="47">
        <f ca="1">IFERROR(__xludf.DUMMYFUNCTION("IMPORTRANGE(""https://docs.google.com/spreadsheets/d/1-uDff_7J0KD5mKrp0Vvzr7lt3OU09vwQwhkpOPPYv2Y/edit?usp=sharing"",""งบพรบ!CQ87"")"),0)</f>
        <v>0</v>
      </c>
      <c r="N181" s="47">
        <f ca="1">IFERROR(__xludf.DUMMYFUNCTION("IMPORTRANGE(""https://docs.google.com/spreadsheets/d/1-uDff_7J0KD5mKrp0Vvzr7lt3OU09vwQwhkpOPPYv2Y/edit?usp=sharing"",""งบพรบ!CS87"")"),0)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400000</v>
      </c>
      <c r="M186" s="132">
        <f ca="1">M187+M188</f>
        <v>409700</v>
      </c>
      <c r="N186" s="132">
        <f ca="1">N187+N188</f>
        <v>226650.69</v>
      </c>
      <c r="O186" s="132">
        <f ca="1">IF(L186&gt;0,N186*100/L186,0)</f>
        <v>56.662672499999999</v>
      </c>
      <c r="P186" s="132">
        <f ca="1">IF(M186&gt;0,N186*100/M186,0)</f>
        <v>55.321134976812303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400000</v>
      </c>
      <c r="M188" s="47">
        <f ca="1">M191+M194</f>
        <v>409700</v>
      </c>
      <c r="N188" s="47">
        <f ca="1">N191+N194</f>
        <v>226650.69</v>
      </c>
      <c r="O188" s="47">
        <f ca="1">IF(L188&gt;0,N188*100/L188,0)</f>
        <v>56.662672499999999</v>
      </c>
      <c r="P188" s="47">
        <f ca="1">IF(M188&gt;0,N188*100/M188,0)</f>
        <v>55.321134976812303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400000</v>
      </c>
      <c r="M189" s="47">
        <f ca="1">M190+M191</f>
        <v>409700</v>
      </c>
      <c r="N189" s="47">
        <f ca="1">N190+N191</f>
        <v>226650.69</v>
      </c>
      <c r="O189" s="47">
        <f ca="1">IF(L189&gt;0,N189*100/L189,0)</f>
        <v>56.662672499999999</v>
      </c>
      <c r="P189" s="47">
        <f ca="1">IF(M189&gt;0,N189*100/M189,0)</f>
        <v>55.321134976812303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IFERROR(__xludf.DUMMYFUNCTION("IMPORTRANGE(""https://docs.google.com/spreadsheets/d/1-uDff_7J0KD5mKrp0Vvzr7lt3OU09vwQwhkpOPPYv2Y/edit?usp=sharing"",""งบพรบ!CU87"")"),400000)</f>
        <v>400000</v>
      </c>
      <c r="M191" s="47">
        <f ca="1">IFERROR(__xludf.DUMMYFUNCTION("IMPORTRANGE(""https://docs.google.com/spreadsheets/d/1-uDff_7J0KD5mKrp0Vvzr7lt3OU09vwQwhkpOPPYv2Y/edit?usp=sharing"",""งบพรบ!CZ87"")"),409700)</f>
        <v>409700</v>
      </c>
      <c r="N191" s="47">
        <f ca="1">IFERROR(__xludf.DUMMYFUNCTION("IMPORTRANGE(""https://docs.google.com/spreadsheets/d/1-uDff_7J0KD5mKrp0Vvzr7lt3OU09vwQwhkpOPPYv2Y/edit?usp=sharing"",""งบพรบ!DB87"")"),226650.69)</f>
        <v>226650.69</v>
      </c>
      <c r="O191" s="47">
        <f ca="1">IF(L191&gt;0,N191*100/L191,0)</f>
        <v>56.662672499999999</v>
      </c>
      <c r="P191" s="47">
        <f ca="1">IF(M191&gt;0,N191*100/M191,0)</f>
        <v>55.321134976812303</v>
      </c>
      <c r="Q191" s="47">
        <f ca="1">IFERROR(__xludf.DUMMYFUNCTION("IMPORTRANGE(""https://docs.google.com/spreadsheets/d/1ItG2mGa2ceCfYo0BwxsXqNm01IGEUdYcSSLTEv9YCik/edit?usp=sharing"",""เบิกจ่ายกองทุน!BQ87"")"),28000)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IFERROR(__xludf.DUMMYFUNCTION("IMPORTRANGE(""https://docs.google.com/spreadsheets/d/1ItG2mGa2ceCfYo0BwxsXqNm01IGEUdYcSSLTEv9YCik/edit?usp=sharing"",""เบิกจ่ายกองทุน!BR87"")"),28000)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IFERROR(__xludf.DUMMYFUNCTION("IMPORTRANGE(""https://docs.google.com/spreadsheets/d/1ItG2mGa2ceCfYo0BwxsXqNm01IGEUdYcSSLTEv9YCik/edit?usp=sharing"",""เบิกจ่ายกองทุน!BS87"")"),0)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IFERROR(__xludf.DUMMYFUNCTION("IMPORTRANGE(""https://docs.google.com/spreadsheets/d/1-uDff_7J0KD5mKrp0Vvzr7lt3OU09vwQwhkpOPPYv2Y/edit?usp=sharing"",""งบพรบ!CX87"")"),0)</f>
        <v>0</v>
      </c>
      <c r="M194" s="47">
        <f ca="1">IFERROR(__xludf.DUMMYFUNCTION("IMPORTRANGE(""https://docs.google.com/spreadsheets/d/1-uDff_7J0KD5mKrp0Vvzr7lt3OU09vwQwhkpOPPYv2Y/edit?usp=sharing"",""งบพรบ!DA87"")"),0)</f>
        <v>0</v>
      </c>
      <c r="N194" s="47">
        <f ca="1">IFERROR(__xludf.DUMMYFUNCTION("IMPORTRANGE(""https://docs.google.com/spreadsheets/d/1-uDff_7J0KD5mKrp0Vvzr7lt3OU09vwQwhkpOPPYv2Y/edit?usp=sharing"",""งบพรบ!DC87"")"),0)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IFERROR(__xludf.DUMMYFUNCTION("IMPORTRANGE(""https://docs.google.com/spreadsheets/d/1eHaY18a8A9IcSdp1K8H6x8fbOy06t2VsZHhMHf-1x7Y/edit?usp=sharing"",""แผน!AB87"")"),6000)</f>
        <v>6000</v>
      </c>
      <c r="M196" s="46"/>
      <c r="N196" s="768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IFERROR(__xludf.DUMMYFUNCTION("IMPORTRANGE(""https://docs.google.com/spreadsheets/d/1eHaY18a8A9IcSdp1K8H6x8fbOy06t2VsZHhMHf-1x7Y/edit?usp=sharing"",""แผน!AE87"")"),4)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52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52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28000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IFERROR(__xludf.DUMMYFUNCTION("IMPORTRANGE(""https://docs.google.com/spreadsheets/d/1eHaY18a8A9IcSdp1K8H6x8fbOy06t2VsZHhMHf-1x7Y/edit?usp=sharing"",""แผน!AG87"")"),2000)</f>
        <v>2000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IFERROR(__xludf.DUMMYFUNCTION("IMPORTRANGE(""https://docs.google.com/spreadsheets/d/1eHaY18a8A9IcSdp1K8H6x8fbOy06t2VsZHhMHf-1x7Y/edit?usp=sharing"",""แผน!AH87"")"),0)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21" customHeight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IFERROR(__xludf.DUMMYFUNCTION("IMPORTRANGE(""https://docs.google.com/spreadsheets/d/1eHaY18a8A9IcSdp1K8H6x8fbOy06t2VsZHhMHf-1x7Y/edit?usp=sharing"",""แผน!AI87"")"),0)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IFERROR(__xludf.DUMMYFUNCTION("IMPORTRANGE(""https://docs.google.com/spreadsheets/d/1eHaY18a8A9IcSdp1K8H6x8fbOy06t2VsZHhMHf-1x7Y/edit?usp=sharing"",""แผน!LV87"")"),28000)</f>
        <v>28000</v>
      </c>
      <c r="R206" s="46"/>
      <c r="S206" s="742">
        <v>0</v>
      </c>
      <c r="T206" s="136"/>
      <c r="U206" s="46"/>
    </row>
    <row r="207" spans="1:21" ht="18.75" x14ac:dyDescent="0.25">
      <c r="A207" s="387"/>
      <c r="B207" s="342"/>
      <c r="C207" s="388"/>
      <c r="D207" s="48" t="s">
        <v>89</v>
      </c>
      <c r="E207" s="388"/>
      <c r="F207" s="388"/>
      <c r="G207" s="390"/>
      <c r="H207" s="395" t="s">
        <v>14</v>
      </c>
      <c r="I207" s="905"/>
      <c r="J207" s="905"/>
      <c r="K207" s="177"/>
      <c r="L207" s="548">
        <f ca="1">IFERROR(__xludf.DUMMYFUNCTION("IMPORTRANGE(""https://docs.google.com/spreadsheets/d/1eHaY18a8A9IcSdp1K8H6x8fbOy06t2VsZHhMHf-1x7Y/edit?usp=sharing"",""แผน!AJ87"")"),8000)</f>
        <v>8000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IFERROR(__xludf.DUMMYFUNCTION("IMPORTRANGE(""https://docs.google.com/spreadsheets/d/1eHaY18a8A9IcSdp1K8H6x8fbOy06t2VsZHhMHf-1x7Y/edit?usp=sharing"",""แผน!AK87"")"),2)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IFERROR(__xludf.DUMMYFUNCTION("IMPORTRANGE(""https://docs.google.com/spreadsheets/d/1eHaY18a8A9IcSdp1K8H6x8fbOy06t2VsZHhMHf-1x7Y/edit?usp=sharing"",""แผน!JX87"")"),1)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IFERROR(__xludf.DUMMYFUNCTION("IMPORTRANGE(""https://docs.google.com/spreadsheets/d/1eHaY18a8A9IcSdp1K8H6x8fbOy06t2VsZHhMHf-1x7Y/edit?usp=sharing"",""แผน!AM87"")"),0)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IFERROR(__xludf.DUMMYFUNCTION("IMPORTRANGE(""https://docs.google.com/spreadsheets/d/1eHaY18a8A9IcSdp1K8H6x8fbOy06t2VsZHhMHf-1x7Y/edit?usp=sharing"",""แผน!AN87"")"),0)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IFERROR(__xludf.DUMMYFUNCTION("IMPORTRANGE(""https://docs.google.com/spreadsheets/d/1eHaY18a8A9IcSdp1K8H6x8fbOy06t2VsZHhMHf-1x7Y/edit?usp=sharing"",""แผน!AO87"")"),0)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IFERROR(__xludf.DUMMYFUNCTION("IMPORTRANGE(""https://docs.google.com/spreadsheets/d/1eHaY18a8A9IcSdp1K8H6x8fbOy06t2VsZHhMHf-1x7Y/edit?usp=sharing"",""แผน!LY87"")"),0)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6400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2000</v>
      </c>
      <c r="O222" s="132">
        <f ca="1">IF(L222&gt;0,N222*100/L222,0)</f>
        <v>44.444444444444443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IFERROR(__xludf.DUMMYFUNCTION("IMPORTRANGE(""https://docs.google.com/spreadsheets/d/1eHaY18a8A9IcSdp1K8H6x8fbOy06t2VsZHhMHf-1x7Y/edit?usp=sharing"",""แผน!AR87"")"),3000)</f>
        <v>3000</v>
      </c>
      <c r="M223" s="46"/>
      <c r="N223" s="742">
        <v>2000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IFERROR(__xludf.DUMMYFUNCTION("IMPORTRANGE(""https://docs.google.com/spreadsheets/d/1eHaY18a8A9IcSdp1K8H6x8fbOy06t2VsZHhMHf-1x7Y/edit?usp=sharing"",""แผน!AS87"")"),1500)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IFERROR(__xludf.DUMMYFUNCTION("IMPORTRANGE(""https://docs.google.com/spreadsheets/d/1eHaY18a8A9IcSdp1K8H6x8fbOy06t2VsZHhMHf-1x7Y/edit?usp=sharing"",""แผน!AT87"")"),0)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IFERROR(__xludf.DUMMYFUNCTION("IMPORTRANGE(""https://docs.google.com/spreadsheets/d/1eHaY18a8A9IcSdp1K8H6x8fbOy06t2VsZHhMHf-1x7Y/edit?usp=sharing"",""แผน!AV87"")"),6400)</f>
        <v>6400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IFERROR(__xludf.DUMMYFUNCTION("IMPORTRANGE(""https://docs.google.com/spreadsheets/d/1eHaY18a8A9IcSdp1K8H6x8fbOy06t2VsZHhMHf-1x7Y/edit?usp=sharing"",""แผน!AV87"")"),6400)</f>
        <v>6400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IFERROR(__xludf.DUMMYFUNCTION("IMPORTRANGE(""https://docs.google.com/spreadsheets/d/1eHaY18a8A9IcSdp1K8H6x8fbOy06t2VsZHhMHf-1x7Y/edit?usp=sharing"",""แผน!AX87"")"),0)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IFERROR(__xludf.DUMMYFUNCTION("IMPORTRANGE(""https://docs.google.com/spreadsheets/d/1eHaY18a8A9IcSdp1K8H6x8fbOy06t2VsZHhMHf-1x7Y/edit?usp=sharing"",""แผน!AY87"")"),0)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IFERROR(__xludf.DUMMYFUNCTION("IMPORTRANGE(""https://docs.google.com/spreadsheets/d/1eHaY18a8A9IcSdp1K8H6x8fbOy06t2VsZHhMHf-1x7Y/edit?usp=sharing"",""แผน!AZ87"")"),0)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IFERROR(__xludf.DUMMYFUNCTION("IMPORTRANGE(""https://docs.google.com/spreadsheets/d/1eHaY18a8A9IcSdp1K8H6x8fbOy06t2VsZHhMHf-1x7Y/edit?usp=sharing"",""แผน!BA87"")"),0)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IFERROR(__xludf.DUMMYFUNCTION("IMPORTRANGE(""https://docs.google.com/spreadsheets/d/1eHaY18a8A9IcSdp1K8H6x8fbOy06t2VsZHhMHf-1x7Y/edit?usp=sharing"",""แผน!BG87"")"),0)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IFERROR(__xludf.DUMMYFUNCTION("IMPORTRANGE(""https://docs.google.com/spreadsheets/d/1eHaY18a8A9IcSdp1K8H6x8fbOy06t2VsZHhMHf-1x7Y/edit?usp=sharing"",""แผน!BB87"")"),0)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IFERROR(__xludf.DUMMYFUNCTION("IMPORTRANGE(""https://docs.google.com/spreadsheets/d/1eHaY18a8A9IcSdp1K8H6x8fbOy06t2VsZHhMHf-1x7Y/edit?usp=sharing"",""แผน!BC87"")"),0)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IFERROR(__xludf.DUMMYFUNCTION("IMPORTRANGE(""https://docs.google.com/spreadsheets/d/1eHaY18a8A9IcSdp1K8H6x8fbOy06t2VsZHhMHf-1x7Y/edit?usp=sharing"",""แผน!BD87"")"),0)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IFERROR(__xludf.DUMMYFUNCTION("IMPORTRANGE(""https://docs.google.com/spreadsheets/d/1eHaY18a8A9IcSdp1K8H6x8fbOy06t2VsZHhMHf-1x7Y/edit?usp=sharing"",""แผน!BE87"")"),0)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IFERROR(__xludf.DUMMYFUNCTION("IMPORTRANGE(""https://docs.google.com/spreadsheets/d/1eHaY18a8A9IcSdp1K8H6x8fbOy06t2VsZHhMHf-1x7Y/edit?usp=sharing"",""แผน!BH87"")"),0)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50660</v>
      </c>
      <c r="T266" s="421">
        <f ca="1">IF(Q266&gt;0,S266*100/Q266,0)</f>
        <v>100</v>
      </c>
      <c r="U266" s="421">
        <f ca="1">IF(R266&gt;0,S266*100/R266,0)</f>
        <v>100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50660</v>
      </c>
      <c r="T268" s="331">
        <f ca="1">IF(Q268&gt;0,S268*100/Q268,0)</f>
        <v>100</v>
      </c>
      <c r="U268" s="331">
        <f ca="1">IF(R268&gt;0,S268*100/R268,0)</f>
        <v>100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50660</v>
      </c>
      <c r="T269" s="331">
        <f ca="1">IF(Q269&gt;0,S269*100/Q269,0)</f>
        <v>100</v>
      </c>
      <c r="U269" s="331">
        <f ca="1">IF(R269&gt;0,S269*100/R269,0)</f>
        <v>100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IFERROR(__xludf.DUMMYFUNCTION("IMPORTRANGE(""https://docs.google.com/spreadsheets/d/1-uDff_7J0KD5mKrp0Vvzr7lt3OU09vwQwhkpOPPYv2Y/edit?usp=sharing"",""งบพรบ!DE87"")"),5000)</f>
        <v>5000</v>
      </c>
      <c r="M271" s="331">
        <f ca="1">IFERROR(__xludf.DUMMYFUNCTION("IMPORTRANGE(""https://docs.google.com/spreadsheets/d/1-uDff_7J0KD5mKrp0Vvzr7lt3OU09vwQwhkpOPPYv2Y/edit?usp=sharing"",""งบพรบ!DJ87"")"),5000)</f>
        <v>5000</v>
      </c>
      <c r="N271" s="331">
        <f ca="1">IFERROR(__xludf.DUMMYFUNCTION("IMPORTRANGE(""https://docs.google.com/spreadsheets/d/1-uDff_7J0KD5mKrp0Vvzr7lt3OU09vwQwhkpOPPYv2Y/edit?usp=sharing"",""งบพรบ!DL87"")"),5000)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IFERROR(__xludf.DUMMYFUNCTION("IMPORTRANGE(""https://docs.google.com/spreadsheets/d/1ItG2mGa2ceCfYo0BwxsXqNm01IGEUdYcSSLTEv9YCik/edit?usp=sharing"",""เบิกจ่ายกองทุน!AR87"")"),50660)</f>
        <v>50660</v>
      </c>
      <c r="T271" s="331">
        <f ca="1">IF(Q271&gt;0,S271*100/Q271,0)</f>
        <v>100</v>
      </c>
      <c r="U271" s="331">
        <f ca="1">IF(R271&gt;0,S271*100/R271,0)</f>
        <v>100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IFERROR(__xludf.DUMMYFUNCTION("IMPORTRANGE(""https://docs.google.com/spreadsheets/d/1-uDff_7J0KD5mKrp0Vvzr7lt3OU09vwQwhkpOPPYv2Y/edit?usp=sharing"",""งบพรบ!DH87"")"),0)</f>
        <v>0</v>
      </c>
      <c r="M274" s="331">
        <f ca="1">IFERROR(__xludf.DUMMYFUNCTION("IMPORTRANGE(""https://docs.google.com/spreadsheets/d/1-uDff_7J0KD5mKrp0Vvzr7lt3OU09vwQwhkpOPPYv2Y/edit?usp=sharing"",""งบพรบ!DK87"")"),0)</f>
        <v>0</v>
      </c>
      <c r="N274" s="331">
        <f ca="1">IFERROR(__xludf.DUMMYFUNCTION("IMPORTRANGE(""https://docs.google.com/spreadsheets/d/1-uDff_7J0KD5mKrp0Vvzr7lt3OU09vwQwhkpOPPYv2Y/edit?usp=sharing"",""งบพรบ!DM87"")"),0)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IFERROR(__xludf.DUMMYFUNCTION("IMPORTRANGE(""https://docs.google.com/spreadsheets/d/1-uDff_7J0KD5mKrp0Vvzr7lt3OU09vwQwhkpOPPYv2Y/edit?usp=sharing"",""งบพรบ!DO87"")"),0)</f>
        <v>0</v>
      </c>
      <c r="M287" s="47">
        <f ca="1">IFERROR(__xludf.DUMMYFUNCTION("IMPORTRANGE(""https://docs.google.com/spreadsheets/d/1-uDff_7J0KD5mKrp0Vvzr7lt3OU09vwQwhkpOPPYv2Y/edit?usp=sharing"",""งบพรบ!DT87"")"),0)</f>
        <v>0</v>
      </c>
      <c r="N287" s="47">
        <f ca="1">IFERROR(__xludf.DUMMYFUNCTION("IMPORTRANGE(""https://docs.google.com/spreadsheets/d/1-uDff_7J0KD5mKrp0Vvzr7lt3OU09vwQwhkpOPPYv2Y/edit?usp=sharing"",""งบพรบ!DV87"")"),0)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IFERROR(__xludf.DUMMYFUNCTION("IMPORTRANGE(""https://docs.google.com/spreadsheets/d/1-uDff_7J0KD5mKrp0Vvzr7lt3OU09vwQwhkpOPPYv2Y/edit?usp=sharing"",""งบพรบ!DR87"")"),0)</f>
        <v>0</v>
      </c>
      <c r="M290" s="47">
        <f ca="1">IFERROR(__xludf.DUMMYFUNCTION("IMPORTRANGE(""https://docs.google.com/spreadsheets/d/1-uDff_7J0KD5mKrp0Vvzr7lt3OU09vwQwhkpOPPYv2Y/edit?usp=sharing"",""งบพรบ!DU87"")"),0)</f>
        <v>0</v>
      </c>
      <c r="N290" s="47">
        <f ca="1">IFERROR(__xludf.DUMMYFUNCTION("IMPORTRANGE(""https://docs.google.com/spreadsheets/d/1-uDff_7J0KD5mKrp0Vvzr7lt3OU09vwQwhkpOPPYv2Y/edit?usp=sharing"",""งบพรบ!DW87"")"),0)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432"/>
      <c r="B291" s="433"/>
      <c r="C291" s="904" t="s">
        <v>18</v>
      </c>
      <c r="D291" s="618" t="s">
        <v>38</v>
      </c>
      <c r="E291" s="435"/>
      <c r="F291" s="435"/>
      <c r="G291" s="436"/>
      <c r="H291" s="439"/>
      <c r="I291" s="428"/>
      <c r="J291" s="428"/>
      <c r="K291" s="429"/>
      <c r="L291" s="719"/>
      <c r="M291" s="429"/>
      <c r="N291" s="429"/>
      <c r="O291" s="429"/>
      <c r="P291" s="429"/>
      <c r="Q291" s="429"/>
      <c r="R291" s="429"/>
      <c r="S291" s="429"/>
      <c r="T291" s="429"/>
      <c r="U291" s="429"/>
    </row>
    <row r="292" spans="1:21" ht="18.75" hidden="1" x14ac:dyDescent="0.25">
      <c r="A292" s="432"/>
      <c r="B292" s="433"/>
      <c r="C292" s="433"/>
      <c r="D292" s="555" t="s">
        <v>120</v>
      </c>
      <c r="E292" s="433"/>
      <c r="F292" s="422"/>
      <c r="G292" s="439"/>
      <c r="H292" s="903" t="s">
        <v>46</v>
      </c>
      <c r="I292" s="330">
        <f ca="1">IFERROR(__xludf.DUMMYFUNCTION("IMPORTRANGE(""https://docs.google.com/spreadsheets/d/1eHaY18a8A9IcSdp1K8H6x8fbOy06t2VsZHhMHf-1x7Y/edit?usp=sharing"",""แผน!EE87"")"),0)</f>
        <v>0</v>
      </c>
      <c r="J292" s="554">
        <v>0</v>
      </c>
      <c r="K292" s="897">
        <f ca="1">IF(I292&gt;0,J292*100/I292,0)</f>
        <v>0</v>
      </c>
      <c r="L292" s="719"/>
      <c r="M292" s="429"/>
      <c r="N292" s="429"/>
      <c r="O292" s="429"/>
      <c r="P292" s="429"/>
      <c r="Q292" s="429"/>
      <c r="R292" s="429"/>
      <c r="S292" s="429"/>
      <c r="T292" s="429"/>
      <c r="U292" s="429"/>
    </row>
    <row r="293" spans="1:21" ht="19.5" hidden="1" x14ac:dyDescent="0.3">
      <c r="A293" s="432"/>
      <c r="B293" s="433"/>
      <c r="C293" s="433"/>
      <c r="D293" s="555" t="s">
        <v>121</v>
      </c>
      <c r="E293" s="433"/>
      <c r="F293" s="422"/>
      <c r="G293" s="439"/>
      <c r="H293" s="902" t="s">
        <v>35</v>
      </c>
      <c r="I293" s="901">
        <f ca="1">IFERROR(__xludf.DUMMYFUNCTION("IMPORTRANGE(""https://docs.google.com/spreadsheets/d/1eHaY18a8A9IcSdp1K8H6x8fbOy06t2VsZHhMHf-1x7Y/edit?usp=sharing"",""แผน!ED87"")"),0)</f>
        <v>0</v>
      </c>
      <c r="J293" s="901">
        <f>J296</f>
        <v>0</v>
      </c>
      <c r="K293" s="900">
        <f ca="1">IF(I293&gt;0,J293*100/I293,0)</f>
        <v>0</v>
      </c>
      <c r="L293" s="719"/>
      <c r="M293" s="429"/>
      <c r="N293" s="429"/>
      <c r="O293" s="429"/>
      <c r="P293" s="429"/>
      <c r="Q293" s="429"/>
      <c r="R293" s="429"/>
      <c r="S293" s="429"/>
      <c r="T293" s="429"/>
      <c r="U293" s="429"/>
    </row>
    <row r="294" spans="1:21" ht="19.5" hidden="1" x14ac:dyDescent="0.3">
      <c r="A294" s="432"/>
      <c r="B294" s="433"/>
      <c r="C294" s="433"/>
      <c r="D294" s="422"/>
      <c r="E294" s="899" t="s">
        <v>329</v>
      </c>
      <c r="F294" s="422"/>
      <c r="G294" s="439"/>
      <c r="H294" s="439"/>
      <c r="I294" s="428"/>
      <c r="J294" s="420"/>
      <c r="K294" s="429"/>
      <c r="L294" s="719"/>
      <c r="M294" s="429"/>
      <c r="N294" s="429"/>
      <c r="O294" s="429"/>
      <c r="P294" s="429"/>
      <c r="Q294" s="429"/>
      <c r="R294" s="429"/>
      <c r="S294" s="429"/>
      <c r="T294" s="429"/>
      <c r="U294" s="429"/>
    </row>
    <row r="295" spans="1:21" ht="19.5" hidden="1" x14ac:dyDescent="0.3">
      <c r="A295" s="432"/>
      <c r="B295" s="433"/>
      <c r="C295" s="433"/>
      <c r="D295" s="422"/>
      <c r="E295" s="555" t="s">
        <v>328</v>
      </c>
      <c r="F295" s="422"/>
      <c r="G295" s="439"/>
      <c r="H295" s="862" t="s">
        <v>35</v>
      </c>
      <c r="I295" s="898">
        <f ca="1">IFERROR(__xludf.DUMMYFUNCTION("IMPORTRANGE(""https://docs.google.com/spreadsheets/d/1eHaY18a8A9IcSdp1K8H6x8fbOy06t2VsZHhMHf-1x7Y/edit?usp=sharing"",""แผน!ED87"")"),0)</f>
        <v>0</v>
      </c>
      <c r="J295" s="554">
        <v>0</v>
      </c>
      <c r="K295" s="897">
        <f ca="1">IF(I295&gt;0,J295*100/I295,0)</f>
        <v>0</v>
      </c>
      <c r="L295" s="719"/>
      <c r="M295" s="429"/>
      <c r="N295" s="429"/>
      <c r="O295" s="429"/>
      <c r="P295" s="429"/>
      <c r="Q295" s="429"/>
      <c r="R295" s="429"/>
      <c r="S295" s="429"/>
      <c r="T295" s="429"/>
      <c r="U295" s="429"/>
    </row>
    <row r="296" spans="1:21" ht="19.5" hidden="1" x14ac:dyDescent="0.3">
      <c r="A296" s="432"/>
      <c r="B296" s="433"/>
      <c r="C296" s="433"/>
      <c r="D296" s="422"/>
      <c r="E296" s="555" t="s">
        <v>327</v>
      </c>
      <c r="F296" s="422"/>
      <c r="G296" s="439"/>
      <c r="H296" s="862" t="s">
        <v>35</v>
      </c>
      <c r="I296" s="898">
        <f ca="1">IFERROR(__xludf.DUMMYFUNCTION("IMPORTRANGE(""https://docs.google.com/spreadsheets/d/1eHaY18a8A9IcSdp1K8H6x8fbOy06t2VsZHhMHf-1x7Y/edit?usp=sharing"",""แผน!ED87"")"),0)</f>
        <v>0</v>
      </c>
      <c r="J296" s="554">
        <v>0</v>
      </c>
      <c r="K296" s="897">
        <f ca="1">IF(I296&gt;0,J296*100/I296,0)</f>
        <v>0</v>
      </c>
      <c r="L296" s="719"/>
      <c r="M296" s="429"/>
      <c r="N296" s="429"/>
      <c r="O296" s="429"/>
      <c r="P296" s="429"/>
      <c r="Q296" s="429"/>
      <c r="R296" s="429"/>
      <c r="S296" s="429"/>
      <c r="T296" s="429"/>
      <c r="U296" s="429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38450</v>
      </c>
      <c r="T303" s="132">
        <f ca="1">IF(Q303&gt;0,S303*100/Q303,0)</f>
        <v>16.995660515018461</v>
      </c>
      <c r="U303" s="132">
        <f ca="1">IF(R303&gt;0,S303*100/R303,0)</f>
        <v>16.995677042354377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38450</v>
      </c>
      <c r="T305" s="47">
        <f ca="1">IF(Q305&gt;0,S305*100/Q305,0)</f>
        <v>16.995660515018461</v>
      </c>
      <c r="U305" s="47">
        <f ca="1">IF(R305&gt;0,S305*100/R305,0)</f>
        <v>16.995677042354377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38450</v>
      </c>
      <c r="T306" s="47">
        <f ca="1">IF(Q306&gt;0,S306*100/Q306,0)</f>
        <v>16.995660515018461</v>
      </c>
      <c r="U306" s="47">
        <f ca="1">IF(R306&gt;0,S306*100/R306,0)</f>
        <v>16.995677042354377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IFERROR(__xludf.DUMMYFUNCTION("IMPORTRANGE(""https://docs.google.com/spreadsheets/d/1-uDff_7J0KD5mKrp0Vvzr7lt3OU09vwQwhkpOPPYv2Y/edit?usp=sharing"",""งบพรบ!DY87"")"),0)</f>
        <v>0</v>
      </c>
      <c r="M308" s="47">
        <f ca="1">IFERROR(__xludf.DUMMYFUNCTION("IMPORTRANGE(""https://docs.google.com/spreadsheets/d/1-uDff_7J0KD5mKrp0Vvzr7lt3OU09vwQwhkpOPPYv2Y/edit?usp=sharing"",""งบพรบ!ED87"")"),0)</f>
        <v>0</v>
      </c>
      <c r="N308" s="47">
        <f ca="1">IFERROR(__xludf.DUMMYFUNCTION("IMPORTRANGE(""https://docs.google.com/spreadsheets/d/1-uDff_7J0KD5mKrp0Vvzr7lt3OU09vwQwhkpOPPYv2Y/edit?usp=sharing"",""งบพรบ!EF87"")"),0)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IFERROR(__xludf.DUMMYFUNCTION("IMPORTRANGE(""https://docs.google.com/spreadsheets/d/1ItG2mGa2ceCfYo0BwxsXqNm01IGEUdYcSSLTEv9YCik/edit?usp=sharing"",""เบิกจ่ายกองทุน!BB87"")"),226234.22)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IFERROR(__xludf.DUMMYFUNCTION("IMPORTRANGE(""https://docs.google.com/spreadsheets/d/1ItG2mGa2ceCfYo0BwxsXqNm01IGEUdYcSSLTEv9YCik/edit?usp=sharing"",""เบิกจ่ายกองทุน!BC87"")"),226234)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IFERROR(__xludf.DUMMYFUNCTION("IMPORTRANGE(""https://docs.google.com/spreadsheets/d/1ItG2mGa2ceCfYo0BwxsXqNm01IGEUdYcSSLTEv9YCik/edit?usp=sharing"",""เบิกจ่ายกองทุน!BD87"")"),38450)</f>
        <v>38450</v>
      </c>
      <c r="T308" s="47">
        <f ca="1">IF(Q308&gt;0,S308*100/Q308,0)</f>
        <v>16.995660515018461</v>
      </c>
      <c r="U308" s="47">
        <f ca="1">IF(R308&gt;0,S308*100/R308,0)</f>
        <v>16.995677042354377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IFERROR(__xludf.DUMMYFUNCTION("IMPORTRANGE(""https://docs.google.com/spreadsheets/d/1-uDff_7J0KD5mKrp0Vvzr7lt3OU09vwQwhkpOPPYv2Y/edit?usp=sharing"",""งบพรบ!EB87"")"),0)</f>
        <v>0</v>
      </c>
      <c r="M311" s="47">
        <f ca="1">IFERROR(__xludf.DUMMYFUNCTION("IMPORTRANGE(""https://docs.google.com/spreadsheets/d/1-uDff_7J0KD5mKrp0Vvzr7lt3OU09vwQwhkpOPPYv2Y/edit?usp=sharing"",""งบพรบ!EE87"")"),0)</f>
        <v>0</v>
      </c>
      <c r="N311" s="47">
        <f ca="1">IFERROR(__xludf.DUMMYFUNCTION("IMPORTRANGE(""https://docs.google.com/spreadsheets/d/1-uDff_7J0KD5mKrp0Vvzr7lt3OU09vwQwhkpOPPYv2Y/edit?usp=sharing"",""งบพรบ!EG87"")"),0)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IFERROR(__xludf.DUMMYFUNCTION("IMPORTRANGE(""https://docs.google.com/spreadsheets/d/1-uDff_7J0KD5mKrp0Vvzr7lt3OU09vwQwhkpOPPYv2Y/edit?usp=sharing"",""งบพรบ!EI87"")"),0)</f>
        <v>0</v>
      </c>
      <c r="M325" s="47">
        <f ca="1">IFERROR(__xludf.DUMMYFUNCTION("IMPORTRANGE(""https://docs.google.com/spreadsheets/d/1-uDff_7J0KD5mKrp0Vvzr7lt3OU09vwQwhkpOPPYv2Y/edit?usp=sharing"",""งบพรบ!EN87"")"),0)</f>
        <v>0</v>
      </c>
      <c r="N325" s="47">
        <f ca="1">IFERROR(__xludf.DUMMYFUNCTION("IMPORTRANGE(""https://docs.google.com/spreadsheets/d/1-uDff_7J0KD5mKrp0Vvzr7lt3OU09vwQwhkpOPPYv2Y/edit?usp=sharing"",""งบพรบ!EP87"")"),0)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IFERROR(__xludf.DUMMYFUNCTION("IMPORTRANGE(""https://docs.google.com/spreadsheets/d/1-uDff_7J0KD5mKrp0Vvzr7lt3OU09vwQwhkpOPPYv2Y/edit?usp=sharing"",""งบพรบ!EL87"")"),0)</f>
        <v>0</v>
      </c>
      <c r="M328" s="47">
        <f ca="1">IFERROR(__xludf.DUMMYFUNCTION("IMPORTRANGE(""https://docs.google.com/spreadsheets/d/1-uDff_7J0KD5mKrp0Vvzr7lt3OU09vwQwhkpOPPYv2Y/edit?usp=sharing"",""งบพรบ!EO87"")"),0)</f>
        <v>0</v>
      </c>
      <c r="N328" s="47">
        <f ca="1">IFERROR(__xludf.DUMMYFUNCTION("IMPORTRANGE(""https://docs.google.com/spreadsheets/d/1-uDff_7J0KD5mKrp0Vvzr7lt3OU09vwQwhkpOPPYv2Y/edit?usp=sharing"",""งบพรบ!EQ87"")"),0)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140</v>
      </c>
      <c r="J332" s="697">
        <f ca="1">J344+J347+J348+J349+J353</f>
        <v>443</v>
      </c>
      <c r="K332" s="696">
        <f ca="1">IF(I332&gt;0,J332*100/I332,0)</f>
        <v>316.42857142857144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356800</v>
      </c>
      <c r="M333" s="132">
        <f ca="1">M334+M335</f>
        <v>356800</v>
      </c>
      <c r="N333" s="132">
        <f ca="1">N334+N335</f>
        <v>207185</v>
      </c>
      <c r="O333" s="132">
        <f ca="1">IF(L333&gt;0,N333*100/L333,0)</f>
        <v>58.067544843049326</v>
      </c>
      <c r="P333" s="132">
        <f ca="1">IF(M333&gt;0,N333*100/M333,0)</f>
        <v>58.067544843049326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356800</v>
      </c>
      <c r="M335" s="47">
        <f ca="1">M338+M341</f>
        <v>356800</v>
      </c>
      <c r="N335" s="47">
        <f ca="1">N338+N341</f>
        <v>207185</v>
      </c>
      <c r="O335" s="47">
        <f ca="1">IF(L335&gt;0,N335*100/L335,0)</f>
        <v>58.067544843049326</v>
      </c>
      <c r="P335" s="47">
        <f ca="1">IF(M335&gt;0,N335*100/M335,0)</f>
        <v>58.067544843049326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356800</v>
      </c>
      <c r="M336" s="47">
        <f ca="1">M337+M338</f>
        <v>356800</v>
      </c>
      <c r="N336" s="47">
        <f ca="1">N337+N338</f>
        <v>207185</v>
      </c>
      <c r="O336" s="47">
        <f ca="1">IF(L336&gt;0,N336*100/L336,0)</f>
        <v>58.067544843049326</v>
      </c>
      <c r="P336" s="47">
        <f ca="1">IF(M336&gt;0,N336*100/M336,0)</f>
        <v>58.067544843049326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IFERROR(__xludf.DUMMYFUNCTION("IMPORTRANGE(""https://docs.google.com/spreadsheets/d/1-uDff_7J0KD5mKrp0Vvzr7lt3OU09vwQwhkpOPPYv2Y/edit?usp=sharing"",""งบพรบ!ES87"")"),356800)</f>
        <v>356800</v>
      </c>
      <c r="M338" s="47">
        <f ca="1">IFERROR(__xludf.DUMMYFUNCTION("IMPORTRANGE(""https://docs.google.com/spreadsheets/d/1-uDff_7J0KD5mKrp0Vvzr7lt3OU09vwQwhkpOPPYv2Y/edit?usp=sharing"",""งบพรบ!EX87"")"),356800)</f>
        <v>356800</v>
      </c>
      <c r="N338" s="47">
        <f ca="1">IFERROR(__xludf.DUMMYFUNCTION("IMPORTRANGE(""https://docs.google.com/spreadsheets/d/1-uDff_7J0KD5mKrp0Vvzr7lt3OU09vwQwhkpOPPYv2Y/edit?usp=sharing"",""งบพรบ!EZ87"")"),207185)</f>
        <v>207185</v>
      </c>
      <c r="O338" s="47">
        <f ca="1">IF(L338&gt;0,N338*100/L338,0)</f>
        <v>58.067544843049326</v>
      </c>
      <c r="P338" s="47">
        <f ca="1">IF(M338&gt;0,N338*100/M338,0)</f>
        <v>58.067544843049326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IFERROR(__xludf.DUMMYFUNCTION("IMPORTRANGE(""https://docs.google.com/spreadsheets/d/1-uDff_7J0KD5mKrp0Vvzr7lt3OU09vwQwhkpOPPYv2Y/edit?usp=sharing"",""งบพรบ!EV87"")"),0)</f>
        <v>0</v>
      </c>
      <c r="M341" s="47">
        <f ca="1">IFERROR(__xludf.DUMMYFUNCTION("IMPORTRANGE(""https://docs.google.com/spreadsheets/d/1-uDff_7J0KD5mKrp0Vvzr7lt3OU09vwQwhkpOPPYv2Y/edit?usp=sharing"",""งบพรบ!EY87"")"),0)</f>
        <v>0</v>
      </c>
      <c r="N341" s="47">
        <f ca="1">IFERROR(__xludf.DUMMYFUNCTION("IMPORTRANGE(""https://docs.google.com/spreadsheets/d/1-uDff_7J0KD5mKrp0Vvzr7lt3OU09vwQwhkpOPPYv2Y/edit?usp=sharing"",""งบพรบ!FA87"")"),0)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183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IFERROR(__xludf.DUMMYFUNCTION("IMPORTRANGE(""https://docs.google.com/spreadsheets/d/1eHaY18a8A9IcSdp1K8H6x8fbOy06t2VsZHhMHf-1x7Y/edit?usp=sharing"",""แผน!EK87"")"),140)</f>
        <v>140</v>
      </c>
      <c r="J344" s="152">
        <f ca="1">IFERROR(__xludf.DUMMYFUNCTION("IMPORTRANGE(""https://docs.google.com/spreadsheets/d/1awYsYK3VOup2i3Pq_Yjnu8DRu_mYwSBnCR2QPthd0rU/edit?usp=sharing"",""ศูนย์ยกเว้นโฉนด!D87"")"),76)</f>
        <v>76</v>
      </c>
      <c r="K344" s="47">
        <f ca="1">IF(I344&gt;0,J344*100/I344,0)</f>
        <v>54.285714285714285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IFERROR(__xludf.DUMMYFUNCTION("IMPORTRANGE(""https://docs.google.com/spreadsheets/d/1eHaY18a8A9IcSdp1K8H6x8fbOy06t2VsZHhMHf-1x7Y/edit?usp=sharing"",""แผน!EL87"")"),1)</f>
        <v>1</v>
      </c>
      <c r="J346" s="152">
        <f ca="1">IFERROR(__xludf.DUMMYFUNCTION("IMPORTRANGE(""https://docs.google.com/spreadsheets/d/1awYsYK3VOup2i3Pq_Yjnu8DRu_mYwSBnCR2QPthd0rU/edit?usp=sharing"",""ศูนย์รวม!E87"")"),3)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IFERROR(__xludf.DUMMYFUNCTION("IMPORTRANGE(""https://docs.google.com/spreadsheets/d/1awYsYK3VOup2i3Pq_Yjnu8DRu_mYwSBnCR2QPthd0rU/edit?usp=sharing"",""ศูนย์ยกเว้นโฉนด!F87"")"),107)</f>
        <v>107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308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IFERROR(__xludf.DUMMYFUNCTION("IMPORTRANGE(""https://docs.google.com/spreadsheets/d/1awYsYK3VOup2i3Pq_Yjnu8DRu_mYwSBnCR2QPthd0rU/edit?usp=sharing"",""โฉนดM3!G87"")"),48)</f>
        <v>48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IFERROR(__xludf.DUMMYFUNCTION("IMPORTRANGE(""https://docs.google.com/spreadsheets/d/1awYsYK3VOup2i3Pq_Yjnu8DRu_mYwSBnCR2QPthd0rU/edit?usp=sharing"",""โฉนดM3!H87"")"),260)</f>
        <v>260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229590</v>
      </c>
      <c r="M356" s="132">
        <f ca="1">M357+M358</f>
        <v>229590</v>
      </c>
      <c r="N356" s="132">
        <f ca="1">N357+N358</f>
        <v>112119.09</v>
      </c>
      <c r="O356" s="132">
        <f ca="1">IF(L356&gt;0,N356*100/L356,0)</f>
        <v>48.834483209199007</v>
      </c>
      <c r="P356" s="132">
        <f ca="1">IF(M356&gt;0,N356*100/M356,0)</f>
        <v>48.834483209199007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229590</v>
      </c>
      <c r="M358" s="47">
        <f ca="1">M361+M364</f>
        <v>229590</v>
      </c>
      <c r="N358" s="47">
        <f ca="1">N361+N364</f>
        <v>112119.09</v>
      </c>
      <c r="O358" s="47">
        <f ca="1">IF(L358&gt;0,N358*100/L358,0)</f>
        <v>48.834483209199007</v>
      </c>
      <c r="P358" s="47">
        <f ca="1">IF(M358&gt;0,N358*100/M358,0)</f>
        <v>48.834483209199007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229590</v>
      </c>
      <c r="M359" s="47">
        <f ca="1">M360+M361</f>
        <v>229590</v>
      </c>
      <c r="N359" s="47">
        <f ca="1">N360+N361</f>
        <v>112119.09</v>
      </c>
      <c r="O359" s="47">
        <f ca="1">IF(L359&gt;0,N359*100/L359,0)</f>
        <v>48.834483209199007</v>
      </c>
      <c r="P359" s="47">
        <f ca="1">IF(M359&gt;0,N359*100/M359,0)</f>
        <v>48.834483209199007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IFERROR(__xludf.DUMMYFUNCTION("IMPORTRANGE(""https://docs.google.com/spreadsheets/d/1-uDff_7J0KD5mKrp0Vvzr7lt3OU09vwQwhkpOPPYv2Y/edit?usp=sharing"",""งบพรบ!FC87"")"),229590)</f>
        <v>229590</v>
      </c>
      <c r="M361" s="47">
        <f ca="1">IFERROR(__xludf.DUMMYFUNCTION("IMPORTRANGE(""https://docs.google.com/spreadsheets/d/1-uDff_7J0KD5mKrp0Vvzr7lt3OU09vwQwhkpOPPYv2Y/edit?usp=sharing"",""งบพรบ!FH87"")"),229590)</f>
        <v>229590</v>
      </c>
      <c r="N361" s="47">
        <f ca="1">IFERROR(__xludf.DUMMYFUNCTION("IMPORTRANGE(""https://docs.google.com/spreadsheets/d/1-uDff_7J0KD5mKrp0Vvzr7lt3OU09vwQwhkpOPPYv2Y/edit?usp=sharing"",""งบพรบ!FJ87"")"),112119.09)</f>
        <v>112119.09</v>
      </c>
      <c r="O361" s="47">
        <f ca="1">IF(L361&gt;0,N361*100/L361,0)</f>
        <v>48.834483209199007</v>
      </c>
      <c r="P361" s="47">
        <f ca="1">IF(M361&gt;0,N361*100/M361,0)</f>
        <v>48.834483209199007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IFERROR(__xludf.DUMMYFUNCTION("IMPORTRANGE(""https://docs.google.com/spreadsheets/d/1-uDff_7J0KD5mKrp0Vvzr7lt3OU09vwQwhkpOPPYv2Y/edit?usp=sharing"",""งบพรบ!FF87"")"),0)</f>
        <v>0</v>
      </c>
      <c r="M364" s="47">
        <f ca="1">IFERROR(__xludf.DUMMYFUNCTION("IMPORTRANGE(""https://docs.google.com/spreadsheets/d/1-uDff_7J0KD5mKrp0Vvzr7lt3OU09vwQwhkpOPPYv2Y/edit?usp=sharing"",""งบพรบ!FI87"")"),0)</f>
        <v>0</v>
      </c>
      <c r="N364" s="47">
        <f ca="1">IFERROR(__xludf.DUMMYFUNCTION("IMPORTRANGE(""https://docs.google.com/spreadsheets/d/1-uDff_7J0KD5mKrp0Vvzr7lt3OU09vwQwhkpOPPYv2Y/edit?usp=sharing"",""งบพรบ!FK87"")"),0)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77</v>
      </c>
      <c r="J365" s="228">
        <f ca="1">J371</f>
        <v>52</v>
      </c>
      <c r="K365" s="229">
        <f ca="1">IF(I365&gt;0,J365*100/I365,0)</f>
        <v>67.532467532467535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IFERROR(__xludf.DUMMYFUNCTION("IMPORTRANGE(""https://docs.google.com/spreadsheets/d/1tdoBKaGub7dwA3U6UFTqxio9LNnvDCQjHKmttSEBsFQ/edit?usp=sharing"",""จัดที่ดิน!AB87"")"),24)</f>
        <v>24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IFERROR(__xludf.DUMMYFUNCTION("IMPORTRANGE(""https://docs.google.com/spreadsheets/d/1eHaY18a8A9IcSdp1K8H6x8fbOy06t2VsZHhMHf-1x7Y/edit?usp=sharing"",""แผน!EW87"")"),230)</f>
        <v>230</v>
      </c>
      <c r="J368" s="685">
        <f ca="1">IFERROR(__xludf.DUMMYFUNCTION("IMPORTRANGE(""https://docs.google.com/spreadsheets/d/1tdoBKaGub7dwA3U6UFTqxio9LNnvDCQjHKmttSEBsFQ/edit?usp=sharing"",""จัดที่ดิน!AC87"")"),198.91)</f>
        <v>198.91</v>
      </c>
      <c r="K368" s="47">
        <f ca="1">IF(I368&gt;0,J368*100/I368,0)</f>
        <v>86.482608695652175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IFERROR(__xludf.DUMMYFUNCTION("IMPORTRANGE(""https://docs.google.com/spreadsheets/d/1eHaY18a8A9IcSdp1K8H6x8fbOy06t2VsZHhMHf-1x7Y/edit?usp=sharing"",""แผน!EX87"")"),77)</f>
        <v>77</v>
      </c>
      <c r="J369" s="152">
        <f ca="1">IFERROR(__xludf.DUMMYFUNCTION("IMPORTRANGE(""https://docs.google.com/spreadsheets/d/1tdoBKaGub7dwA3U6UFTqxio9LNnvDCQjHKmttSEBsFQ/edit?usp=sharing"",""จัดที่ดิน!AD87"")"),76)</f>
        <v>76</v>
      </c>
      <c r="K369" s="47">
        <f ca="1">IF(I369&gt;0,J369*100/I369,0)</f>
        <v>98.701298701298697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IFERROR(__xludf.DUMMYFUNCTION("IMPORTRANGE(""https://docs.google.com/spreadsheets/d/1tdoBKaGub7dwA3U6UFTqxio9LNnvDCQjHKmttSEBsFQ/edit?usp=sharing"",""จัดที่ดิน!AE87"")"),578.9)</f>
        <v>578.9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IFERROR(__xludf.DUMMYFUNCTION("IMPORTRANGE(""https://docs.google.com/spreadsheets/d/1eHaY18a8A9IcSdp1K8H6x8fbOy06t2VsZHhMHf-1x7Y/edit?usp=sharing"",""แผน!EY87"")"),77)</f>
        <v>77</v>
      </c>
      <c r="J371" s="152">
        <f ca="1">IFERROR(__xludf.DUMMYFUNCTION("IMPORTRANGE(""https://docs.google.com/spreadsheets/d/1tdoBKaGub7dwA3U6UFTqxio9LNnvDCQjHKmttSEBsFQ/edit?usp=sharing"",""จัดที่ดิน!AF87"")"),52)</f>
        <v>52</v>
      </c>
      <c r="K371" s="47">
        <f ca="1">IF(I371&gt;0,J371*100/I371,0)</f>
        <v>67.532467532467535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IFERROR(__xludf.DUMMYFUNCTION("IMPORTRANGE(""https://docs.google.com/spreadsheets/d/1tdoBKaGub7dwA3U6UFTqxio9LNnvDCQjHKmttSEBsFQ/edit?usp=sharing"",""จัดที่ดิน!AG87"")"),379.99)</f>
        <v>379.99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150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9375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9375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9375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IFERROR(__xludf.DUMMYFUNCTION("IMPORTRANGE(""https://docs.google.com/spreadsheets/d/1-uDff_7J0KD5mKrp0Vvzr7lt3OU09vwQwhkpOPPYv2Y/edit?usp=sharing"",""งบพรบ!IE87"")"),0)</f>
        <v>0</v>
      </c>
      <c r="M380" s="47">
        <f ca="1">IFERROR(__xludf.DUMMYFUNCTION("IMPORTRANGE(""https://docs.google.com/spreadsheets/d/1-uDff_7J0KD5mKrp0Vvzr7lt3OU09vwQwhkpOPPYv2Y/edit?usp=sharing"",""งบพรบ!IJ87"")"),0)</f>
        <v>0</v>
      </c>
      <c r="N380" s="47">
        <f ca="1">IFERROR(__xludf.DUMMYFUNCTION("IMPORTRANGE(""https://docs.google.com/spreadsheets/d/1-uDff_7J0KD5mKrp0Vvzr7lt3OU09vwQwhkpOPPYv2Y/edit?usp=sharing"",""งบพรบ!IL87"")"),0)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IFERROR(__xludf.DUMMYFUNCTION("IMPORTRANGE(""https://docs.google.com/spreadsheets/d/1ItG2mGa2ceCfYo0BwxsXqNm01IGEUdYcSSLTEv9YCik/edit?usp=sharing"",""เบิกจ่ายกองทุน!BW87"")"),9375)</f>
        <v>9375</v>
      </c>
      <c r="R380" s="47">
        <f ca="1">IFERROR(__xludf.DUMMYFUNCTION("IMPORTRANGE(""https://docs.google.com/spreadsheets/d/1ItG2mGa2ceCfYo0BwxsXqNm01IGEUdYcSSLTEv9YCik/edit?usp=sharing"",""เบิกจ่ายกองทุน!BX87"")"),0)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IFERROR(__xludf.DUMMYFUNCTION("IMPORTRANGE(""https://docs.google.com/spreadsheets/d/1-uDff_7J0KD5mKrp0Vvzr7lt3OU09vwQwhkpOPPYv2Y/edit?usp=sharing"",""งบพรบ!IH87"")"),0)</f>
        <v>0</v>
      </c>
      <c r="M383" s="47">
        <f ca="1">IFERROR(__xludf.DUMMYFUNCTION("IMPORTRANGE(""https://docs.google.com/spreadsheets/d/1-uDff_7J0KD5mKrp0Vvzr7lt3OU09vwQwhkpOPPYv2Y/edit?usp=sharing"",""งบพรบ!IK87"")"),0)</f>
        <v>0</v>
      </c>
      <c r="N383" s="47">
        <f ca="1">IFERROR(__xludf.DUMMYFUNCTION("IMPORTRANGE(""https://docs.google.com/spreadsheets/d/1-uDff_7J0KD5mKrp0Vvzr7lt3OU09vwQwhkpOPPYv2Y/edit?usp=sharing"",""งบพรบ!IM87"")"),0)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IFERROR(__xludf.DUMMYFUNCTION("IMPORTRANGE(""https://docs.google.com/spreadsheets/d/1w5rwWK1o49a35cNtocGL0gxDwhFSTZUQu90BiH9_zqM/edit?usp=sharing"",""RTK!H87"")"),0)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IFERROR(__xludf.DUMMYFUNCTION("IMPORTRANGE(""https://docs.google.com/spreadsheets/d/1w5rwWK1o49a35cNtocGL0gxDwhFSTZUQu90BiH9_zqM/edit?usp=sharing"",""RTK!G87"")"),150)</f>
        <v>150</v>
      </c>
      <c r="J386" s="152">
        <f ca="1">IFERROR(__xludf.DUMMYFUNCTION("IMPORTRANGE(""https://docs.google.com/spreadsheets/d/1w5rwWK1o49a35cNtocGL0gxDwhFSTZUQu90BiH9_zqM/edit?usp=sharing"",""RTK!I87"")"),0)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IFERROR(__xludf.DUMMYFUNCTION("IMPORTRANGE(""https://docs.google.com/spreadsheets/d/1w5rwWK1o49a35cNtocGL0gxDwhFSTZUQu90BiH9_zqM/edit?usp=sharing"",""RTK!K87"")"),0)</f>
        <v>0</v>
      </c>
      <c r="J388" s="330">
        <f ca="1">IFERROR(__xludf.DUMMYFUNCTION("IMPORTRANGE(""https://docs.google.com/spreadsheets/d/1w5rwWK1o49a35cNtocGL0gxDwhFSTZUQu90BiH9_zqM/edit?usp=sharing"",""RTK!M87"")"),0)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17560</v>
      </c>
      <c r="M413" s="132">
        <f ca="1">M414+M415</f>
        <v>17560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15150</v>
      </c>
      <c r="R413" s="132">
        <f ca="1">R414+R415</f>
        <v>15150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17560</v>
      </c>
      <c r="M415" s="47">
        <f ca="1">M418+M421</f>
        <v>17560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15150</v>
      </c>
      <c r="R415" s="47">
        <f ca="1">R418+R421</f>
        <v>15150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17560</v>
      </c>
      <c r="M416" s="47">
        <f ca="1">M417+M418</f>
        <v>17560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15150</v>
      </c>
      <c r="R416" s="47">
        <f ca="1">R417+R418</f>
        <v>15150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IFERROR(__xludf.DUMMYFUNCTION("IMPORTRANGE(""https://docs.google.com/spreadsheets/d/1-uDff_7J0KD5mKrp0Vvzr7lt3OU09vwQwhkpOPPYv2Y/edit?usp=sharing"",""งบพรบ!IO87"")"),17560)</f>
        <v>17560</v>
      </c>
      <c r="M418" s="47">
        <f ca="1">IFERROR(__xludf.DUMMYFUNCTION("IMPORTRANGE(""https://docs.google.com/spreadsheets/d/1-uDff_7J0KD5mKrp0Vvzr7lt3OU09vwQwhkpOPPYv2Y/edit?usp=sharing"",""งบพรบ!IT87"")"),17560)</f>
        <v>17560</v>
      </c>
      <c r="N418" s="47">
        <f ca="1">IFERROR(__xludf.DUMMYFUNCTION("IMPORTRANGE(""https://docs.google.com/spreadsheets/d/1-uDff_7J0KD5mKrp0Vvzr7lt3OU09vwQwhkpOPPYv2Y/edit?usp=sharing"",""งบพรบ!IV87"")"),0)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IFERROR(__xludf.DUMMYFUNCTION("IMPORTRANGE(""https://docs.google.com/spreadsheets/d/1ItG2mGa2ceCfYo0BwxsXqNm01IGEUdYcSSLTEv9YCik/edit?usp=sharing"",""เบิกจ่ายกองทุน!BZ87"")"),15150)</f>
        <v>15150</v>
      </c>
      <c r="R418" s="47">
        <f ca="1">IFERROR(__xludf.DUMMYFUNCTION("IMPORTRANGE(""https://docs.google.com/spreadsheets/d/1ItG2mGa2ceCfYo0BwxsXqNm01IGEUdYcSSLTEv9YCik/edit?usp=sharing"",""เบิกจ่ายกองทุน!CA87"")"),15150)</f>
        <v>15150</v>
      </c>
      <c r="S418" s="47">
        <f ca="1">IFERROR(__xludf.DUMMYFUNCTION("IMPORTRANGE(""https://docs.google.com/spreadsheets/d/1ItG2mGa2ceCfYo0BwxsXqNm01IGEUdYcSSLTEv9YCik/edit?usp=sharing"",""เบิกจ่ายกองทุน!CB87"")"),0)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IFERROR(__xludf.DUMMYFUNCTION("IMPORTRANGE(""https://docs.google.com/spreadsheets/d/1-uDff_7J0KD5mKrp0Vvzr7lt3OU09vwQwhkpOPPYv2Y/edit?usp=sharing"",""งบพรบ!IR87"")"),0)</f>
        <v>0</v>
      </c>
      <c r="M421" s="47">
        <f ca="1">IFERROR(__xludf.DUMMYFUNCTION("IMPORTRANGE(""https://docs.google.com/spreadsheets/d/1-uDff_7J0KD5mKrp0Vvzr7lt3OU09vwQwhkpOPPYv2Y/edit?usp=sharing"",""งบพรบ!IU87"")"),0)</f>
        <v>0</v>
      </c>
      <c r="N421" s="47">
        <f ca="1">IFERROR(__xludf.DUMMYFUNCTION("IMPORTRANGE(""https://docs.google.com/spreadsheets/d/1-uDff_7J0KD5mKrp0Vvzr7lt3OU09vwQwhkpOPPYv2Y/edit?usp=sharing"",""งบพรบ!IW87"")"),0)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IFERROR(__xludf.DUMMYFUNCTION("IMPORTRANGE(""https://docs.google.com/spreadsheets/d/1eHaY18a8A9IcSdp1K8H6x8fbOy06t2VsZHhMHf-1x7Y/edit?usp=sharing"",""แผน!HJ87"")"),0)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IFERROR(__xludf.DUMMYFUNCTION("IMPORTRANGE(""https://docs.google.com/spreadsheets/d/1eHaY18a8A9IcSdp1K8H6x8fbOy06t2VsZHhMHf-1x7Y/edit?usp=sharing"",""แผน!HK87"")"),0)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IFERROR(__xludf.DUMMYFUNCTION("IMPORTRANGE(""https://docs.google.com/spreadsheets/d/1eHaY18a8A9IcSdp1K8H6x8fbOy06t2VsZHhMHf-1x7Y/edit?usp=sharing"",""แผน!HJ87"")"),0)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IFERROR(__xludf.DUMMYFUNCTION("IMPORTRANGE(""https://docs.google.com/spreadsheets/d/1eHaY18a8A9IcSdp1K8H6x8fbOy06t2VsZHhMHf-1x7Y/edit?usp=sharing"",""แผน!HK87"")"),0)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IFERROR(__xludf.DUMMYFUNCTION("IMPORTRANGE(""https://docs.google.com/spreadsheets/d/1eHaY18a8A9IcSdp1K8H6x8fbOy06t2VsZHhMHf-1x7Y/edit?usp=sharing"",""แผน!HJ87"")"),0)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IFERROR(__xludf.DUMMYFUNCTION("IMPORTRANGE(""https://docs.google.com/spreadsheets/d/1eHaY18a8A9IcSdp1K8H6x8fbOy06t2VsZHhMHf-1x7Y/edit?usp=sharing"",""แผน!HK87"")"),0)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6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IFERROR(__xludf.DUMMYFUNCTION("IMPORTRANGE(""https://docs.google.com/spreadsheets/d/1eHaY18a8A9IcSdp1K8H6x8fbOy06t2VsZHhMHf-1x7Y/edit?usp=sharing"",""แผน!HL87"")"),6)</f>
        <v>6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IFERROR(__xludf.DUMMYFUNCTION("IMPORTRANGE(""https://docs.google.com/spreadsheets/d/1-uDff_7J0KD5mKrp0Vvzr7lt3OU09vwQwhkpOPPYv2Y/edit?usp=sharing"",""งบพรบ!HU87"")"),0)</f>
        <v>0</v>
      </c>
      <c r="M498" s="47">
        <f ca="1">IFERROR(__xludf.DUMMYFUNCTION("IMPORTRANGE(""https://docs.google.com/spreadsheets/d/1-uDff_7J0KD5mKrp0Vvzr7lt3OU09vwQwhkpOPPYv2Y/edit?usp=sharing"",""งบพรบ!HZ87"")"),0)</f>
        <v>0</v>
      </c>
      <c r="N498" s="47">
        <f ca="1">IFERROR(__xludf.DUMMYFUNCTION("IMPORTRANGE(""https://docs.google.com/spreadsheets/d/1-uDff_7J0KD5mKrp0Vvzr7lt3OU09vwQwhkpOPPYv2Y/edit?usp=sharing"",""งบพรบ!IB87"")"),0)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IFERROR(__xludf.DUMMYFUNCTION("IMPORTRANGE(""https://docs.google.com/spreadsheets/d/1-uDff_7J0KD5mKrp0Vvzr7lt3OU09vwQwhkpOPPYv2Y/edit?usp=sharing"",""งบพรบ!HX87"")"),0)</f>
        <v>0</v>
      </c>
      <c r="M501" s="47">
        <f ca="1">IFERROR(__xludf.DUMMYFUNCTION("IMPORTRANGE(""https://docs.google.com/spreadsheets/d/1-uDff_7J0KD5mKrp0Vvzr7lt3OU09vwQwhkpOPPYv2Y/edit?usp=sharing"",""งบพรบ!IA87"")"),0)</f>
        <v>0</v>
      </c>
      <c r="N501" s="47">
        <f ca="1">IFERROR(__xludf.DUMMYFUNCTION("IMPORTRANGE(""https://docs.google.com/spreadsheets/d/1-uDff_7J0KD5mKrp0Vvzr7lt3OU09vwQwhkpOPPYv2Y/edit?usp=sharing"",""งบพรบ!IC87"")"),0)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IFERROR(__xludf.DUMMYFUNCTION("IMPORTRANGE(""https://docs.google.com/spreadsheets/d/1-uDff_7J0KD5mKrp0Vvzr7lt3OU09vwQwhkpOPPYv2Y/edit?usp=sharing"",""งบพรบ!FM87"")"),0)</f>
        <v>0</v>
      </c>
      <c r="M518" s="47">
        <f ca="1">IFERROR(__xludf.DUMMYFUNCTION("IMPORTRANGE(""https://docs.google.com/spreadsheets/d/1-uDff_7J0KD5mKrp0Vvzr7lt3OU09vwQwhkpOPPYv2Y/edit?usp=sharing"",""งบพรบ!FR87"")"),0)</f>
        <v>0</v>
      </c>
      <c r="N518" s="47">
        <f ca="1">IFERROR(__xludf.DUMMYFUNCTION("IMPORTRANGE(""https://docs.google.com/spreadsheets/d/1-uDff_7J0KD5mKrp0Vvzr7lt3OU09vwQwhkpOPPYv2Y/edit?usp=sharing"",""งบพรบ!FT87"")"),0)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IFERROR(__xludf.DUMMYFUNCTION("IMPORTRANGE(""https://docs.google.com/spreadsheets/d/1-uDff_7J0KD5mKrp0Vvzr7lt3OU09vwQwhkpOPPYv2Y/edit?usp=sharing"",""งบพรบ!FP87"")"),0)</f>
        <v>0</v>
      </c>
      <c r="M521" s="47">
        <f ca="1">IFERROR(__xludf.DUMMYFUNCTION("IMPORTRANGE(""https://docs.google.com/spreadsheets/d/1-uDff_7J0KD5mKrp0Vvzr7lt3OU09vwQwhkpOPPYv2Y/edit?usp=sharing"",""งบพรบ!FS87"")"),0)</f>
        <v>0</v>
      </c>
      <c r="N521" s="47">
        <f ca="1">IFERROR(__xludf.DUMMYFUNCTION("IMPORTRANGE(""https://docs.google.com/spreadsheets/d/1-uDff_7J0KD5mKrp0Vvzr7lt3OU09vwQwhkpOPPYv2Y/edit?usp=sharing"",""งบพรบ!FU87"")"),0)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IFERROR(__xludf.DUMMYFUNCTION("IMPORTRANGE(""https://docs.google.com/spreadsheets/d/1-uDff_7J0KD5mKrp0Vvzr7lt3OU09vwQwhkpOPPYv2Y/edit?usp=sharing"",""งบพรบ!FW87"")"),0)</f>
        <v>0</v>
      </c>
      <c r="M539" s="47">
        <f ca="1">IFERROR(__xludf.DUMMYFUNCTION("IMPORTRANGE(""https://docs.google.com/spreadsheets/d/1-uDff_7J0KD5mKrp0Vvzr7lt3OU09vwQwhkpOPPYv2Y/edit?usp=sharing"",""งบพรบ!GB87"")"),0)</f>
        <v>0</v>
      </c>
      <c r="N539" s="47">
        <f ca="1">IFERROR(__xludf.DUMMYFUNCTION("IMPORTRANGE(""https://docs.google.com/spreadsheets/d/1-uDff_7J0KD5mKrp0Vvzr7lt3OU09vwQwhkpOPPYv2Y/edit?usp=sharing"",""งบพรบ!GD87"")"),0)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IFERROR(__xludf.DUMMYFUNCTION("IMPORTRANGE(""https://docs.google.com/spreadsheets/d/1-uDff_7J0KD5mKrp0Vvzr7lt3OU09vwQwhkpOPPYv2Y/edit?usp=sharing"",""งบพรบ!FZ87"")"),0)</f>
        <v>0</v>
      </c>
      <c r="M542" s="47">
        <f ca="1">IFERROR(__xludf.DUMMYFUNCTION("IMPORTRANGE(""https://docs.google.com/spreadsheets/d/1-uDff_7J0KD5mKrp0Vvzr7lt3OU09vwQwhkpOPPYv2Y/edit?usp=sharing"",""งบพรบ!GC87"")"),0)</f>
        <v>0</v>
      </c>
      <c r="N542" s="47">
        <f ca="1">IFERROR(__xludf.DUMMYFUNCTION("IMPORTRANGE(""https://docs.google.com/spreadsheets/d/1-uDff_7J0KD5mKrp0Vvzr7lt3OU09vwQwhkpOPPYv2Y/edit?usp=sharing"",""งบพรบ!GE87"")"),0)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IFERROR(__xludf.DUMMYFUNCTION("IMPORTRANGE(""https://docs.google.com/spreadsheets/d/1-uDff_7J0KD5mKrp0Vvzr7lt3OU09vwQwhkpOPPYv2Y/edit?usp=sharing"",""งบพรบ!GG87"")"),0)</f>
        <v>0</v>
      </c>
      <c r="M560" s="47">
        <f ca="1">IFERROR(__xludf.DUMMYFUNCTION("IMPORTRANGE(""https://docs.google.com/spreadsheets/d/1-uDff_7J0KD5mKrp0Vvzr7lt3OU09vwQwhkpOPPYv2Y/edit?usp=sharing"",""งบพรบ!GL87"")"),0)</f>
        <v>0</v>
      </c>
      <c r="N560" s="47">
        <f ca="1">IFERROR(__xludf.DUMMYFUNCTION("IMPORTRANGE(""https://docs.google.com/spreadsheets/d/1-uDff_7J0KD5mKrp0Vvzr7lt3OU09vwQwhkpOPPYv2Y/edit?usp=sharing"",""งบพรบ!GN87"")"),0)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IFERROR(__xludf.DUMMYFUNCTION("IMPORTRANGE(""https://docs.google.com/spreadsheets/d/1-uDff_7J0KD5mKrp0Vvzr7lt3OU09vwQwhkpOPPYv2Y/edit?usp=sharing"",""งบพรบ!GJ87"")"),0)</f>
        <v>0</v>
      </c>
      <c r="M563" s="47">
        <f ca="1">IFERROR(__xludf.DUMMYFUNCTION("IMPORTRANGE(""https://docs.google.com/spreadsheets/d/1-uDff_7J0KD5mKrp0Vvzr7lt3OU09vwQwhkpOPPYv2Y/edit?usp=sharing"",""งบพรบ!GM87"")"),0)</f>
        <v>0</v>
      </c>
      <c r="N563" s="47">
        <f ca="1">IFERROR(__xludf.DUMMYFUNCTION("IMPORTRANGE(""https://docs.google.com/spreadsheets/d/1-uDff_7J0KD5mKrp0Vvzr7lt3OU09vwQwhkpOPPYv2Y/edit?usp=sharing"",""งบพรบ!GO87"")"),0)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IFERROR(__xludf.DUMMYFUNCTION("IMPORTRANGE(""https://docs.google.com/spreadsheets/d/1-uDff_7J0KD5mKrp0Vvzr7lt3OU09vwQwhkpOPPYv2Y/edit?usp=sharing"",""งบพรบ!GQ87"")"),0)</f>
        <v>0</v>
      </c>
      <c r="M581" s="47">
        <f ca="1">IFERROR(__xludf.DUMMYFUNCTION("IMPORTRANGE(""https://docs.google.com/spreadsheets/d/1-uDff_7J0KD5mKrp0Vvzr7lt3OU09vwQwhkpOPPYv2Y/edit?usp=sharing"",""งบพรบ!GV87"")"),0)</f>
        <v>0</v>
      </c>
      <c r="N581" s="47">
        <f ca="1">IFERROR(__xludf.DUMMYFUNCTION("IMPORTRANGE(""https://docs.google.com/spreadsheets/d/1-uDff_7J0KD5mKrp0Vvzr7lt3OU09vwQwhkpOPPYv2Y/edit?usp=sharing"",""งบพรบ!GX87"")"),0)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IFERROR(__xludf.DUMMYFUNCTION("IMPORTRANGE(""https://docs.google.com/spreadsheets/d/1-uDff_7J0KD5mKrp0Vvzr7lt3OU09vwQwhkpOPPYv2Y/edit?usp=sharing"",""งบพรบ!GT87"")"),0)</f>
        <v>0</v>
      </c>
      <c r="M584" s="47">
        <f ca="1">IFERROR(__xludf.DUMMYFUNCTION("IMPORTRANGE(""https://docs.google.com/spreadsheets/d/1-uDff_7J0KD5mKrp0Vvzr7lt3OU09vwQwhkpOPPYv2Y/edit?usp=sharing"",""งบพรบ!GW87"")"),0)</f>
        <v>0</v>
      </c>
      <c r="N584" s="47">
        <f ca="1">IFERROR(__xludf.DUMMYFUNCTION("IMPORTRANGE(""https://docs.google.com/spreadsheets/d/1-uDff_7J0KD5mKrp0Vvzr7lt3OU09vwQwhkpOPPYv2Y/edit?usp=sharing"",""งบพรบ!GY87"")"),0)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hidden="1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hidden="1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hidden="1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0</v>
      </c>
      <c r="M599" s="421">
        <f ca="1">M600+M601</f>
        <v>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0</v>
      </c>
      <c r="M601" s="331">
        <f ca="1">M604+M607</f>
        <v>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9.5" hidden="1" x14ac:dyDescent="0.3">
      <c r="A602" s="416"/>
      <c r="B602" s="326"/>
      <c r="C602" s="326"/>
      <c r="D602" s="418" t="s">
        <v>22</v>
      </c>
      <c r="E602" s="424"/>
      <c r="F602" s="424"/>
      <c r="G602" s="425"/>
      <c r="H602" s="419" t="s">
        <v>14</v>
      </c>
      <c r="I602" s="428"/>
      <c r="J602" s="428"/>
      <c r="K602" s="429"/>
      <c r="L602" s="720">
        <f ca="1">L603+L604</f>
        <v>0</v>
      </c>
      <c r="M602" s="331">
        <f ca="1">M603+M604</f>
        <v>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IFERROR(__xludf.DUMMYFUNCTION("IMPORTRANGE(""https://docs.google.com/spreadsheets/d/1-uDff_7J0KD5mKrp0Vvzr7lt3OU09vwQwhkpOPPYv2Y/edit?usp=sharing"",""งบพรบ!HK87"")"),0)</f>
        <v>0</v>
      </c>
      <c r="M604" s="331">
        <f ca="1">IFERROR(__xludf.DUMMYFUNCTION("IMPORTRANGE(""https://docs.google.com/spreadsheets/d/1-uDff_7J0KD5mKrp0Vvzr7lt3OU09vwQwhkpOPPYv2Y/edit?usp=sharing"",""งบพรบ!HP87"")"),0)</f>
        <v>0</v>
      </c>
      <c r="N604" s="331">
        <f ca="1">IFERROR(__xludf.DUMMYFUNCTION("IMPORTRANGE(""https://docs.google.com/spreadsheets/d/1-uDff_7J0KD5mKrp0Vvzr7lt3OU09vwQwhkpOPPYv2Y/edit?usp=sharing"",""งบพรบ!HR87"")"),0)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IFERROR(__xludf.DUMMYFUNCTION("IMPORTRANGE(""https://docs.google.com/spreadsheets/d/1ItG2mGa2ceCfYo0BwxsXqNm01IGEUdYcSSLTEv9YCik/edit?usp=sharing"",""เบิกจ่ายกองทุน!AV87"")"),0)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IFERROR(__xludf.DUMMYFUNCTION("IMPORTRANGE(""https://docs.google.com/spreadsheets/d/1ItG2mGa2ceCfYo0BwxsXqNm01IGEUdYcSSLTEv9YCik/edit?usp=sharing"",""เบิกจ่ายกองทุน!AW87"")"),0)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IFERROR(__xludf.DUMMYFUNCTION("IMPORTRANGE(""https://docs.google.com/spreadsheets/d/1ItG2mGa2ceCfYo0BwxsXqNm01IGEUdYcSSLTEv9YCik/edit?usp=sharing"",""เบิกจ่ายกองทุน!AX87"")"),0)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9.5" hidden="1" x14ac:dyDescent="0.3">
      <c r="A605" s="416"/>
      <c r="B605" s="326"/>
      <c r="C605" s="326"/>
      <c r="D605" s="418" t="s">
        <v>23</v>
      </c>
      <c r="E605" s="326"/>
      <c r="F605" s="424"/>
      <c r="G605" s="425"/>
      <c r="H605" s="430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IFERROR(__xludf.DUMMYFUNCTION("IMPORTRANGE(""https://docs.google.com/spreadsheets/d/1-uDff_7J0KD5mKrp0Vvzr7lt3OU09vwQwhkpOPPYv2Y/edit?usp=sharing"",""งบพรบ!HN87"")"),0)</f>
        <v>0</v>
      </c>
      <c r="M607" s="47">
        <f ca="1">IFERROR(__xludf.DUMMYFUNCTION("IMPORTRANGE(""https://docs.google.com/spreadsheets/d/1-uDff_7J0KD5mKrp0Vvzr7lt3OU09vwQwhkpOPPYv2Y/edit?usp=sharing"",""งบพรบ!HQ87"")"),0)</f>
        <v>0</v>
      </c>
      <c r="N607" s="47">
        <f ca="1">IFERROR(__xludf.DUMMYFUNCTION("IMPORTRANGE(""https://docs.google.com/spreadsheets/d/1-uDff_7J0KD5mKrp0Vvzr7lt3OU09vwQwhkpOPPYv2Y/edit?usp=sharing"",""งบพรบ!HS87"")"),0)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7275</v>
      </c>
      <c r="R616" s="132">
        <f ca="1">R617+R618</f>
        <v>7275</v>
      </c>
      <c r="S616" s="132">
        <f ca="1">S617+S618</f>
        <v>5850</v>
      </c>
      <c r="T616" s="132">
        <f ca="1">IF(Q616&gt;0,S616*100/Q616,0)</f>
        <v>80.412371134020617</v>
      </c>
      <c r="U616" s="132">
        <f ca="1">IF(R616&gt;0,S616*100/R616,0)</f>
        <v>80.412371134020617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7275</v>
      </c>
      <c r="R618" s="47">
        <f ca="1">R621+R624</f>
        <v>7275</v>
      </c>
      <c r="S618" s="47">
        <f ca="1">S621+S624</f>
        <v>5850</v>
      </c>
      <c r="T618" s="47">
        <f ca="1">IF(Q618&gt;0,S618*100/Q618,0)</f>
        <v>80.412371134020617</v>
      </c>
      <c r="U618" s="47">
        <f ca="1">IF(R618&gt;0,S618*100/R618,0)</f>
        <v>80.412371134020617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7275</v>
      </c>
      <c r="R619" s="47">
        <f ca="1">R620+R621</f>
        <v>7275</v>
      </c>
      <c r="S619" s="47">
        <f ca="1">S620+S621</f>
        <v>5850</v>
      </c>
      <c r="T619" s="47">
        <f ca="1">IF(Q619&gt;0,S619*100/Q619,0)</f>
        <v>80.412371134020617</v>
      </c>
      <c r="U619" s="47">
        <f ca="1">IF(R619&gt;0,S619*100/R619,0)</f>
        <v>80.412371134020617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IFERROR(__xludf.DUMMYFUNCTION("IMPORTRANGE(""https://docs.google.com/spreadsheets/d/1ItG2mGa2ceCfYo0BwxsXqNm01IGEUdYcSSLTEv9YCik/edit?usp=sharing"",""เบิกจ่ายกองทุน!F87"")"),7275)</f>
        <v>7275</v>
      </c>
      <c r="R621" s="47">
        <f ca="1">IFERROR(__xludf.DUMMYFUNCTION("IMPORTRANGE(""https://docs.google.com/spreadsheets/d/1ItG2mGa2ceCfYo0BwxsXqNm01IGEUdYcSSLTEv9YCik/edit?usp=sharing"",""เบิกจ่ายกองทุน!G87"")"),7275)</f>
        <v>7275</v>
      </c>
      <c r="S621" s="47">
        <f ca="1">IFERROR(__xludf.DUMMYFUNCTION("IMPORTRANGE(""https://docs.google.com/spreadsheets/d/1ItG2mGa2ceCfYo0BwxsXqNm01IGEUdYcSSLTEv9YCik/edit?usp=sharing"",""เบิกจ่ายกองทุน!H87"")"),5850)</f>
        <v>5850</v>
      </c>
      <c r="T621" s="47">
        <f ca="1">IF(Q621&gt;0,S621*100/Q621,0)</f>
        <v>80.412371134020617</v>
      </c>
      <c r="U621" s="47">
        <f ca="1">IF(R621&gt;0,S621*100/R621,0)</f>
        <v>80.412371134020617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IFERROR(__xludf.DUMMYFUNCTION("IMPORTRANGE(""https://docs.google.com/spreadsheets/d/1eHaY18a8A9IcSdp1K8H6x8fbOy06t2VsZHhMHf-1x7Y/edit?usp=sharing"",""แผน!IC87"")"),1)</f>
        <v>1</v>
      </c>
      <c r="J627" s="167">
        <v>7</v>
      </c>
      <c r="K627" s="47">
        <f ca="1">IF(I627&gt;0,(J627*100)/I627,0)</f>
        <v>700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IFERROR(__xludf.DUMMYFUNCTION("IMPORTRANGE(""https://docs.google.com/spreadsheets/d/1eHaY18a8A9IcSdp1K8H6x8fbOy06t2VsZHhMHf-1x7Y/edit?usp=sharing"",""แผน!IC87"")"),1)</f>
        <v>1</v>
      </c>
      <c r="J628" s="167">
        <v>7</v>
      </c>
      <c r="K628" s="47">
        <f ca="1">IF(I628&gt;0,(J628*100)/I628,0)</f>
        <v>700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IFERROR(__xludf.DUMMYFUNCTION("IMPORTRANGE(""https://docs.google.com/spreadsheets/d/1eHaY18a8A9IcSdp1K8H6x8fbOy06t2VsZHhMHf-1x7Y/edit?usp=sharing"",""แผน!IF87"")"),0)</f>
        <v>0</v>
      </c>
      <c r="J652" s="152">
        <f ca="1">IFERROR(__xludf.DUMMYFUNCTION("IMPORTRANGE(""https://docs.google.com/spreadsheets/d/1tdoBKaGub7dwA3U6UFTqxio9LNnvDCQjHKmttSEBsFQ/edit?usp=sharing"",""จัดที่ดิน!AU87"")"),0)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IFERROR(__xludf.DUMMYFUNCTION("IMPORTRANGE(""https://docs.google.com/spreadsheets/d/1eHaY18a8A9IcSdp1K8H6x8fbOy06t2VsZHhMHf-1x7Y/edit?usp=sharing"",""แผน!IG87"")"),0)</f>
        <v>0</v>
      </c>
      <c r="J653" s="152">
        <f ca="1">IFERROR(__xludf.DUMMYFUNCTION("IMPORTRANGE(""https://docs.google.com/spreadsheets/d/1tdoBKaGub7dwA3U6UFTqxio9LNnvDCQjHKmttSEBsFQ/edit?usp=sharing"",""จัดที่ดิน!AW87"")"),0)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IFERROR(__xludf.DUMMYFUNCTION("IMPORTRANGE(""https://docs.google.com/spreadsheets/d/1eHaY18a8A9IcSdp1K8H6x8fbOy06t2VsZHhMHf-1x7Y/edit?usp=sharing"",""แผน!IL87"")"),0)</f>
        <v>0</v>
      </c>
      <c r="J673" s="152">
        <f ca="1">IFERROR(__xludf.DUMMYFUNCTION("IMPORTRANGE(""https://docs.google.com/spreadsheets/d/1tdoBKaGub7dwA3U6UFTqxio9LNnvDCQjHKmttSEBsFQ/edit?usp=sharing"",""จัดที่ดิน!BA87"")"),0)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IFERROR(__xludf.DUMMYFUNCTION("IMPORTRANGE(""https://docs.google.com/spreadsheets/d/1eHaY18a8A9IcSdp1K8H6x8fbOy06t2VsZHhMHf-1x7Y/edit?usp=sharing"",""แผน!IO87"")"),0)</f>
        <v>0</v>
      </c>
      <c r="J676" s="152">
        <f ca="1">IFERROR(__xludf.DUMMYFUNCTION("IMPORTRANGE(""https://docs.google.com/spreadsheets/d/1tdoBKaGub7dwA3U6UFTqxio9LNnvDCQjHKmttSEBsFQ/edit?usp=sharing"",""จัดที่ดิน!BF87"")"),0)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IFERROR(__xludf.DUMMYFUNCTION("IMPORTRANGE(""https://docs.google.com/spreadsheets/d/1eHaY18a8A9IcSdp1K8H6x8fbOy06t2VsZHhMHf-1x7Y/edit?usp=sharing"",""แผน!IP87"")"),0)</f>
        <v>0</v>
      </c>
      <c r="J678" s="152">
        <f ca="1">IFERROR(__xludf.DUMMYFUNCTION("IMPORTRANGE(""https://docs.google.com/spreadsheets/d/1tdoBKaGub7dwA3U6UFTqxio9LNnvDCQjHKmttSEBsFQ/edit?usp=sharing"",""จัดที่ดิน!BH87"")"),0)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IFERROR(__xludf.DUMMYFUNCTION("IMPORTRANGE(""https://docs.google.com/spreadsheets/d/1eHaY18a8A9IcSdp1K8H6x8fbOy06t2VsZHhMHf-1x7Y/edit?usp=sharing"",""แผน!IQ87"")"),0)</f>
        <v>0</v>
      </c>
      <c r="J679" s="152">
        <f ca="1">IFERROR(__xludf.DUMMYFUNCTION("IMPORTRANGE(""https://docs.google.com/spreadsheets/d/1tdoBKaGub7dwA3U6UFTqxio9LNnvDCQjHKmttSEBsFQ/edit?usp=sharing"",""จัดที่ดิน!BK87"")"),0)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IFERROR(__xludf.DUMMYFUNCTION("IMPORTRANGE(""https://docs.google.com/spreadsheets/d/1eHaY18a8A9IcSdp1K8H6x8fbOy06t2VsZHhMHf-1x7Y/edit?usp=sharing"",""แผน!IR87"")"),0)</f>
        <v>0</v>
      </c>
      <c r="J681" s="152">
        <f ca="1">IFERROR(__xludf.DUMMYFUNCTION("IMPORTRANGE(""https://docs.google.com/spreadsheets/d/1tdoBKaGub7dwA3U6UFTqxio9LNnvDCQjHKmttSEBsFQ/edit?usp=sharing"",""จัดที่ดิน!BM87"")"),0)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62580</v>
      </c>
      <c r="R690" s="132">
        <f ca="1">R691+R692</f>
        <v>62580</v>
      </c>
      <c r="S690" s="132">
        <f ca="1">S691+S692</f>
        <v>21021.95</v>
      </c>
      <c r="T690" s="132">
        <f ca="1">IF(Q690&gt;0,S690*100/Q690,0)</f>
        <v>33.592122083732825</v>
      </c>
      <c r="U690" s="132">
        <f ca="1">IF(R690&gt;0,S690*100/R690,0)</f>
        <v>33.592122083732825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62580</v>
      </c>
      <c r="R692" s="47">
        <f ca="1">R695+R698</f>
        <v>62580</v>
      </c>
      <c r="S692" s="47">
        <f ca="1">S695+S698</f>
        <v>21021.95</v>
      </c>
      <c r="T692" s="47">
        <f ca="1">IF(Q692&gt;0,S692*100/Q692,0)</f>
        <v>33.592122083732825</v>
      </c>
      <c r="U692" s="47">
        <f ca="1">IF(R692&gt;0,S692*100/R692,0)</f>
        <v>33.592122083732825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62580</v>
      </c>
      <c r="R693" s="47">
        <f ca="1">R694+R695</f>
        <v>62580</v>
      </c>
      <c r="S693" s="47">
        <f ca="1">S694+S695</f>
        <v>21021.95</v>
      </c>
      <c r="T693" s="47">
        <f ca="1">IF(Q693&gt;0,S693*100/Q693,0)</f>
        <v>33.592122083732825</v>
      </c>
      <c r="U693" s="47">
        <f ca="1">IF(R693&gt;0,S693*100/R693,0)</f>
        <v>33.592122083732825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IFERROR(__xludf.DUMMYFUNCTION("IMPORTRANGE(""https://docs.google.com/spreadsheets/d/1ItG2mGa2ceCfYo0BwxsXqNm01IGEUdYcSSLTEv9YCik/edit?usp=sharing"",""เบิกจ่ายกองทุน!L87"")"),62580)</f>
        <v>62580</v>
      </c>
      <c r="R695" s="47">
        <f ca="1">IFERROR(__xludf.DUMMYFUNCTION("IMPORTRANGE(""https://docs.google.com/spreadsheets/d/1ItG2mGa2ceCfYo0BwxsXqNm01IGEUdYcSSLTEv9YCik/edit?usp=sharing"",""เบิกจ่ายกองทุน!M87"")"),62580)</f>
        <v>62580</v>
      </c>
      <c r="S695" s="47">
        <f ca="1">IFERROR(__xludf.DUMMYFUNCTION("IMPORTRANGE(""https://docs.google.com/spreadsheets/d/1ItG2mGa2ceCfYo0BwxsXqNm01IGEUdYcSSLTEv9YCik/edit?usp=sharing"",""เบิกจ่ายกองทุน!N87"")"),21021.95)</f>
        <v>21021.95</v>
      </c>
      <c r="T695" s="47">
        <f ca="1">IF(Q695&gt;0,S695*100/Q695,0)</f>
        <v>33.592122083732825</v>
      </c>
      <c r="U695" s="47">
        <f ca="1">IF(R695&gt;0,S695*100/R695,0)</f>
        <v>33.592122083732825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IFERROR(__xludf.DUMMYFUNCTION("IMPORTRANGE(""https://docs.google.com/spreadsheets/d/1eHaY18a8A9IcSdp1K8H6x8fbOy06t2VsZHhMHf-1x7Y/edit?usp=sharing"",""แผน!LJ87"")"),0)</f>
        <v>0</v>
      </c>
      <c r="J703" s="152">
        <f ca="1">IFERROR(__xludf.DUMMYFUNCTION("IMPORTRANGE(""https://docs.google.com/spreadsheets/d/1tdoBKaGub7dwA3U6UFTqxio9LNnvDCQjHKmttSEBsFQ/edit?usp=sharing"",""จัดที่ดิน!AP87"")"),0)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IFERROR(__xludf.DUMMYFUNCTION("IMPORTRANGE(""https://docs.google.com/spreadsheets/d/1eHaY18a8A9IcSdp1K8H6x8fbOy06t2VsZHhMHf-1x7Y/edit?usp=sharing"",""แผน!LK87"")"),5)</f>
        <v>5</v>
      </c>
      <c r="J705" s="152">
        <f ca="1">IFERROR(__xludf.DUMMYFUNCTION("IMPORTRANGE(""https://docs.google.com/spreadsheets/d/1tdoBKaGub7dwA3U6UFTqxio9LNnvDCQjHKmttSEBsFQ/edit?usp=sharing"",""จัดที่ดิน!AR87"")"),0)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IFERROR(__xludf.DUMMYFUNCTION("IMPORTRANGE(""https://docs.google.com/spreadsheets/d/1eHaY18a8A9IcSdp1K8H6x8fbOy06t2VsZHhMHf-1x7Y/edit?usp=sharing"",""แผน!LJ87"")"),0)</f>
        <v>0</v>
      </c>
      <c r="J707" s="152">
        <f ca="1">IFERROR(__xludf.DUMMYFUNCTION("IMPORTRANGE(""https://docs.google.com/spreadsheets/d/1tdoBKaGub7dwA3U6UFTqxio9LNnvDCQjHKmttSEBsFQ/edit?usp=sharing"",""จัดที่ดิน!BN87"")"),0)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IFERROR(__xludf.DUMMYFUNCTION("IMPORTRANGE(""https://docs.google.com/spreadsheets/d/1eHaY18a8A9IcSdp1K8H6x8fbOy06t2VsZHhMHf-1x7Y/edit?usp=sharing"",""แผน!LK87"")"),5)</f>
        <v>5</v>
      </c>
      <c r="J709" s="152">
        <f ca="1">IFERROR(__xludf.DUMMYFUNCTION("IMPORTRANGE(""https://docs.google.com/spreadsheets/d/1tdoBKaGub7dwA3U6UFTqxio9LNnvDCQjHKmttSEBsFQ/edit?usp=sharing"",""จัดที่ดิน!BP87"")"),2)</f>
        <v>2</v>
      </c>
      <c r="K709" s="47">
        <f ca="1">IF(I709&gt;0,J709*100/I709,0)</f>
        <v>40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IFERROR(__xludf.DUMMYFUNCTION("IMPORTRANGE(""https://docs.google.com/spreadsheets/d/1eHaY18a8A9IcSdp1K8H6x8fbOy06t2VsZHhMHf-1x7Y/edit?usp=sharing"",""แผน!GA87"")"),6)</f>
        <v>6</v>
      </c>
      <c r="J726" s="483">
        <f>J742+J746+J749</f>
        <v>16</v>
      </c>
      <c r="K726" s="484">
        <f ca="1">IF(I726&gt;0,J726*100/I726,0)</f>
        <v>266.66666666666669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IFERROR(__xludf.DUMMYFUNCTION("IMPORTRANGE(""https://docs.google.com/spreadsheets/d/1eHaY18a8A9IcSdp1K8H6x8fbOy06t2VsZHhMHf-1x7Y/edit?usp=sharing"",""แผน!FZ87"")"),50)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39336.6</v>
      </c>
      <c r="T728" s="132">
        <f ca="1">IF(Q728&gt;0,S728*100/Q728,0)</f>
        <v>49.41411451398136</v>
      </c>
      <c r="U728" s="132">
        <f ca="1">IF(R728&gt;0,S728*100/R728,0)</f>
        <v>49.41411451398136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39336.6</v>
      </c>
      <c r="T730" s="47">
        <f ca="1">IF(Q730&gt;0,S730*100/Q730,0)</f>
        <v>49.41411451398136</v>
      </c>
      <c r="U730" s="47">
        <f ca="1">IF(R730&gt;0,S730*100/R730,0)</f>
        <v>49.41411451398136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39336.6</v>
      </c>
      <c r="T731" s="47">
        <f ca="1">IF(Q731&gt;0,S731*100/Q731,0)</f>
        <v>49.41411451398136</v>
      </c>
      <c r="U731" s="47">
        <f ca="1">IF(R731&gt;0,S731*100/R731,0)</f>
        <v>49.41411451398136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IFERROR(__xludf.DUMMYFUNCTION("IMPORTRANGE(""https://docs.google.com/spreadsheets/d/1ItG2mGa2ceCfYo0BwxsXqNm01IGEUdYcSSLTEv9YCik/edit?usp=sharing"",""เบิกจ่ายกองทุน!O87"")"),79606)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IFERROR(__xludf.DUMMYFUNCTION("IMPORTRANGE(""https://docs.google.com/spreadsheets/d/1ItG2mGa2ceCfYo0BwxsXqNm01IGEUdYcSSLTEv9YCik/edit?usp=sharing"",""เบิกจ่ายกองทุน!P87"")"),79606)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IFERROR(__xludf.DUMMYFUNCTION("IMPORTRANGE(""https://docs.google.com/spreadsheets/d/1ItG2mGa2ceCfYo0BwxsXqNm01IGEUdYcSSLTEv9YCik/edit?usp=sharing"",""เบิกจ่ายกองทุน!Q87"")"),39336.6)</f>
        <v>39336.6</v>
      </c>
      <c r="T733" s="47">
        <f ca="1">IF(Q733&gt;0,S733*100/Q733,0)</f>
        <v>49.41411451398136</v>
      </c>
      <c r="U733" s="47">
        <f ca="1">IF(R733&gt;0,S733*100/R733,0)</f>
        <v>49.41411451398136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IFERROR(__xludf.DUMMYFUNCTION("IMPORTRANGE(""https://docs.google.com/spreadsheets/d/1eHaY18a8A9IcSdp1K8H6x8fbOy06t2VsZHhMHf-1x7Y/edit?usp=sharing"",""แผน!GB87"")"),40)</f>
        <v>40</v>
      </c>
      <c r="J740" s="167">
        <v>40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IFERROR(__xludf.DUMMYFUNCTION("IMPORTRANGE(""https://docs.google.com/spreadsheets/d/1eHaY18a8A9IcSdp1K8H6x8fbOy06t2VsZHhMHf-1x7Y/edit?usp=sharing"",""แผน!GC87"")"),4)</f>
        <v>4</v>
      </c>
      <c r="J742" s="167">
        <v>5</v>
      </c>
      <c r="K742" s="47">
        <f ca="1">IF(I742&gt;0,J742*100/I742,0)</f>
        <v>125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IFERROR(__xludf.DUMMYFUNCTION("IMPORTRANGE(""https://docs.google.com/spreadsheets/d/1eHaY18a8A9IcSdp1K8H6x8fbOy06t2VsZHhMHf-1x7Y/edit?usp=sharing"",""แผน!GD87"")"),10)</f>
        <v>10</v>
      </c>
      <c r="J744" s="167">
        <v>10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IFERROR(__xludf.DUMMYFUNCTION("IMPORTRANGE(""https://docs.google.com/spreadsheets/d/1eHaY18a8A9IcSdp1K8H6x8fbOy06t2VsZHhMHf-1x7Y/edit?usp=sharing"",""แผน!GE87"")"),1)</f>
        <v>1</v>
      </c>
      <c r="J746" s="167">
        <v>2</v>
      </c>
      <c r="K746" s="47">
        <f ca="1">IF(I746&gt;0,J746*100/I746,0)</f>
        <v>200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IFERROR(__xludf.DUMMYFUNCTION("IMPORTRANGE(""https://docs.google.com/spreadsheets/d/1eHaY18a8A9IcSdp1K8H6x8fbOy06t2VsZHhMHf-1x7Y/edit?usp=sharing"",""แผน!GF87"")"),1)</f>
        <v>1</v>
      </c>
      <c r="J749" s="167">
        <v>9</v>
      </c>
      <c r="K749" s="47">
        <f ca="1">IF(I749&gt;0,J749*100/I749,0)</f>
        <v>900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IFERROR(__xludf.DUMMYFUNCTION("IMPORTRANGE(""https://docs.google.com/spreadsheets/d/1eHaY18a8A9IcSdp1K8H6x8fbOy06t2VsZHhMHf-1x7Y/edit?usp=sharing"",""แผน!GB87"")"),40)</f>
        <v>40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IFERROR(__xludf.DUMMYFUNCTION("IMPORTRANGE(""https://docs.google.com/spreadsheets/d/1eHaY18a8A9IcSdp1K8H6x8fbOy06t2VsZHhMHf-1x7Y/edit?usp=sharing"",""แผน!GD87"")"),10)</f>
        <v>10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IFERROR(__xludf.DUMMYFUNCTION("IMPORTRANGE(""https://docs.google.com/spreadsheets/d/1ItG2mGa2ceCfYo0BwxsXqNm01IGEUdYcSSLTEv9YCik/edit?usp=sharing"",""เบิกจ่ายกองทุน!AA87"")"),0)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IFERROR(__xludf.DUMMYFUNCTION("IMPORTRANGE(""https://docs.google.com/spreadsheets/d/1ItG2mGa2ceCfYo0BwxsXqNm01IGEUdYcSSLTEv9YCik/edit?usp=sharing"",""เบิกจ่ายกองทุน!AB87"")"),0)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IFERROR(__xludf.DUMMYFUNCTION("IMPORTRANGE(""https://docs.google.com/spreadsheets/d/1ItG2mGa2ceCfYo0BwxsXqNm01IGEUdYcSSLTEv9YCik/edit?usp=sharing"",""เบิกจ่ายกองทุน!AC87"")"),0)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IFERROR(__xludf.DUMMYFUNCTION("IMPORTRANGE(""https://docs.google.com/spreadsheets/d/1eHaY18a8A9IcSdp1K8H6x8fbOy06t2VsZHhMHf-1x7Y/edit?usp=sharing"",""แผน!FQ87"")"),0)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IFERROR(__xludf.DUMMYFUNCTION("IMPORTRANGE(""https://docs.google.com/spreadsheets/d/1eHaY18a8A9IcSdp1K8H6x8fbOy06t2VsZHhMHf-1x7Y/edit?usp=sharing"",""แผน!FR87"")"),0)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IFERROR(__xludf.DUMMYFUNCTION("IMPORTRANGE(""https://docs.google.com/spreadsheets/d/1eHaY18a8A9IcSdp1K8H6x8fbOy06t2VsZHhMHf-1x7Y/edit?usp=sharing"",""แผน!FS87"")"),0)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IFERROR(__xludf.DUMMYFUNCTION("IMPORTRANGE(""https://docs.google.com/spreadsheets/d/1eHaY18a8A9IcSdp1K8H6x8fbOy06t2VsZHhMHf-1x7Y/edit?usp=sharing"",""แผน!FT87"")"),0)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IFERROR(__xludf.DUMMYFUNCTION("IMPORTRANGE(""https://docs.google.com/spreadsheets/d/10OvvATaaLtwErnr3qtWFcTmtbfpFEt5Bsqel9sXx0uE/edit?usp=sharing"",""งานกองทุน!D87"")"),581053.77)</f>
        <v>581053.77</v>
      </c>
      <c r="J778" s="152">
        <f ca="1">IFERROR(__xludf.DUMMYFUNCTION("IMPORTRANGE(""https://docs.google.com/spreadsheets/d/10OvvATaaLtwErnr3qtWFcTmtbfpFEt5Bsqel9sXx0uE/edit?usp=sharing"",""งานกองทุน!F87"")"),381346.57)</f>
        <v>381346.57</v>
      </c>
      <c r="K778" s="47">
        <f ca="1">IF(I778&gt;0,J778*100/I778,0)</f>
        <v>65.630168787993583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IFERROR(__xludf.DUMMYFUNCTION("IMPORTRANGE(""https://docs.google.com/spreadsheets/d/10OvvATaaLtwErnr3qtWFcTmtbfpFEt5Bsqel9sXx0uE/edit?usp=sharing"",""งานกองทุน!C87"")"),57)</f>
        <v>57</v>
      </c>
      <c r="J779" s="152">
        <f ca="1">IFERROR(__xludf.DUMMYFUNCTION("IMPORTRANGE(""https://docs.google.com/spreadsheets/d/10OvvATaaLtwErnr3qtWFcTmtbfpFEt5Bsqel9sXx0uE/edit?usp=sharing"",""งานกองทุน!E87"")"),35)</f>
        <v>35</v>
      </c>
      <c r="K779" s="47">
        <f ca="1">IF(I779&gt;0,J779*100/I779,0)</f>
        <v>61.403508771929822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IFERROR(__xludf.DUMMYFUNCTION("IMPORTRANGE(""https://docs.google.com/spreadsheets/d/10OvvATaaLtwErnr3qtWFcTmtbfpFEt5Bsqel9sXx0uE/edit?usp=sharing"",""งานกองทุน!I87"")"),7000)</f>
        <v>7000</v>
      </c>
      <c r="J780" s="152">
        <f ca="1">IFERROR(__xludf.DUMMYFUNCTION("IMPORTRANGE(""https://docs.google.com/spreadsheets/d/10OvvATaaLtwErnr3qtWFcTmtbfpFEt5Bsqel9sXx0uE/edit?usp=sharing"",""งานกองทุน!K87"")"),1132)</f>
        <v>1132</v>
      </c>
      <c r="K780" s="47">
        <f ca="1">IF(I780&gt;0,J780*100/I780,0)</f>
        <v>16.171428571428571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IFERROR(__xludf.DUMMYFUNCTION("IMPORTRANGE(""https://docs.google.com/spreadsheets/d/10OvvATaaLtwErnr3qtWFcTmtbfpFEt5Bsqel9sXx0uE/edit?usp=sharing"",""งานกองทุน!H87"")"),1)</f>
        <v>1</v>
      </c>
      <c r="J781" s="152">
        <f ca="1">IFERROR(__xludf.DUMMYFUNCTION("IMPORTRANGE(""https://docs.google.com/spreadsheets/d/10OvvATaaLtwErnr3qtWFcTmtbfpFEt5Bsqel9sXx0uE/edit?usp=sharing"",""งานกองทุน!J87"")"),1)</f>
        <v>1</v>
      </c>
      <c r="K781" s="47">
        <f ca="1">IF(I781&gt;0,J781*100/I781,0)</f>
        <v>100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IFERROR(__xludf.DUMMYFUNCTION("IMPORTRANGE(""https://docs.google.com/spreadsheets/d/10OvvATaaLtwErnr3qtWFcTmtbfpFEt5Bsqel9sXx0uE/edit?usp=sharing"",""งานกองทุน!N87"")"),0)</f>
        <v>0</v>
      </c>
      <c r="J782" s="152">
        <f ca="1">IFERROR(__xludf.DUMMYFUNCTION("IMPORTRANGE(""https://docs.google.com/spreadsheets/d/10OvvATaaLtwErnr3qtWFcTmtbfpFEt5Bsqel9sXx0uE/edit?usp=sharing"",""งานกองทุน!P87"")"),0)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IFERROR(__xludf.DUMMYFUNCTION("IMPORTRANGE(""https://docs.google.com/spreadsheets/d/10OvvATaaLtwErnr3qtWFcTmtbfpFEt5Bsqel9sXx0uE/edit?usp=sharing"",""งานกองทุน!M87"")"),0)</f>
        <v>0</v>
      </c>
      <c r="J783" s="152">
        <f ca="1">IFERROR(__xludf.DUMMYFUNCTION("IMPORTRANGE(""https://docs.google.com/spreadsheets/d/10OvvATaaLtwErnr3qtWFcTmtbfpFEt5Bsqel9sXx0uE/edit?usp=sharing"",""งานกองทุน!O87"")"),0)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IFERROR(__xludf.DUMMYFUNCTION("IMPORTRANGE(""https://docs.google.com/spreadsheets/d/10OvvATaaLtwErnr3qtWFcTmtbfpFEt5Bsqel9sXx0uE/edit?usp=sharing"",""งานกองทุน!S87"")"),924000)</f>
        <v>924000</v>
      </c>
      <c r="J784" s="152">
        <f ca="1">IFERROR(__xludf.DUMMYFUNCTION("IMPORTRANGE(""https://docs.google.com/spreadsheets/d/10OvvATaaLtwErnr3qtWFcTmtbfpFEt5Bsqel9sXx0uE/edit?usp=sharing"",""งานกองทุน!U87"")"),450000)</f>
        <v>450000</v>
      </c>
      <c r="K784" s="47">
        <f ca="1">IF(I784&gt;0,J784*100/I784,0)</f>
        <v>48.701298701298704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IFERROR(__xludf.DUMMYFUNCTION("IMPORTRANGE(""https://docs.google.com/spreadsheets/d/10OvvATaaLtwErnr3qtWFcTmtbfpFEt5Bsqel9sXx0uE/edit?usp=sharing"",""งานกองทุน!R87"")"),33)</f>
        <v>33</v>
      </c>
      <c r="J785" s="197">
        <f ca="1">IFERROR(__xludf.DUMMYFUNCTION("IMPORTRANGE(""https://docs.google.com/spreadsheets/d/10OvvATaaLtwErnr3qtWFcTmtbfpFEt5Bsqel9sXx0uE/edit?usp=sharing"",""งานกองทุน!T87"")"),15)</f>
        <v>15</v>
      </c>
      <c r="K785" s="111">
        <f ca="1">IF(I785&gt;0,J785*100/I785,0)</f>
        <v>45.454545454545453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50994-FA86-42A3-9B9D-59241ED75032}">
  <sheetPr>
    <outlinePr summaryBelow="0" summaryRight="0"/>
    <pageSetUpPr fitToPage="1"/>
  </sheetPr>
  <dimension ref="A1:U789"/>
  <sheetViews>
    <sheetView tabSelected="1" view="pageBreakPreview" zoomScale="60" zoomScaleNormal="100" workbookViewId="0">
      <pane xSplit="8" ySplit="6" topLeftCell="I7" activePane="bottomRight" state="frozen"/>
      <selection pane="topRight" activeCell="I1" sqref="I1"/>
      <selection pane="bottomLeft" activeCell="A7" sqref="A7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21.2851562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331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3719148</v>
      </c>
      <c r="M18" s="35">
        <f ca="1">M19+M20</f>
        <v>3812818</v>
      </c>
      <c r="N18" s="35">
        <f ca="1">N19+N20</f>
        <v>2694714.7</v>
      </c>
      <c r="O18" s="35">
        <f ca="1">IF(L18&gt;0,N18*100/L18,0)</f>
        <v>72.455161773610513</v>
      </c>
      <c r="P18" s="35">
        <f ca="1">IF(M18&gt;0,N18*100/M18,0)</f>
        <v>70.675146309107859</v>
      </c>
      <c r="Q18" s="35">
        <f ca="1">Q19+Q20</f>
        <v>2850109.24</v>
      </c>
      <c r="R18" s="35">
        <f ca="1">R19+R20</f>
        <v>2850109</v>
      </c>
      <c r="S18" s="35">
        <f ca="1">S19+S20</f>
        <v>1467455.8</v>
      </c>
      <c r="T18" s="35">
        <f ca="1">IF(Q18&gt;0,S18*100/Q18,0)</f>
        <v>51.487703678333389</v>
      </c>
      <c r="U18" s="35">
        <f ca="1">IF(R18&gt;0,S18*100/R18,0)</f>
        <v>51.487708013974199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3719148</v>
      </c>
      <c r="M20" s="39">
        <f ca="1">M23+M26</f>
        <v>3812818</v>
      </c>
      <c r="N20" s="39">
        <f ca="1">N23+N26</f>
        <v>2694714.7</v>
      </c>
      <c r="O20" s="39">
        <f ca="1">IF(L20&gt;0,N20*100/L20,0)</f>
        <v>72.455161773610513</v>
      </c>
      <c r="P20" s="39">
        <f ca="1">IF(M20&gt;0,N20*100/M20,0)</f>
        <v>70.675146309107859</v>
      </c>
      <c r="Q20" s="39">
        <f ca="1">Q23+Q26</f>
        <v>2850109.24</v>
      </c>
      <c r="R20" s="39">
        <f ca="1">R23+R26</f>
        <v>2850109</v>
      </c>
      <c r="S20" s="39">
        <f ca="1">S23+S26</f>
        <v>1467455.8</v>
      </c>
      <c r="T20" s="39">
        <f ca="1">IF(Q20&gt;0,S20*100/Q20,0)</f>
        <v>51.487703678333389</v>
      </c>
      <c r="U20" s="39">
        <f ca="1">IF(R20&gt;0,S20*100/R20,0)</f>
        <v>51.487708013974199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3719148</v>
      </c>
      <c r="M21" s="47">
        <f ca="1">M22+M23</f>
        <v>3812818</v>
      </c>
      <c r="N21" s="47">
        <f ca="1">N22+N23</f>
        <v>2694714.7</v>
      </c>
      <c r="O21" s="47">
        <f ca="1">IF(L21&gt;0,N21*100/L21,0)</f>
        <v>72.455161773610513</v>
      </c>
      <c r="P21" s="47">
        <f ca="1">IF(M21&gt;0,N21*100/M21,0)</f>
        <v>70.675146309107859</v>
      </c>
      <c r="Q21" s="47">
        <f ca="1">Q22+Q23</f>
        <v>2850109.24</v>
      </c>
      <c r="R21" s="47">
        <f ca="1">R22+R23</f>
        <v>2850109</v>
      </c>
      <c r="S21" s="47">
        <f ca="1">S22+S23</f>
        <v>1467455.8</v>
      </c>
      <c r="T21" s="47">
        <f ca="1">IF(Q21&gt;0,S21*100/Q21,0)</f>
        <v>51.487703678333389</v>
      </c>
      <c r="U21" s="47">
        <f ca="1">IF(R21&gt;0,S21*100/R21,0)</f>
        <v>51.487708013974199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L49+L64+L77+L99+L130+L144+L162+L191+L178+L271+L287+L308+L325+L338+L361+L518</f>
        <v>3719148</v>
      </c>
      <c r="M23" s="47">
        <f ca="1">M49+M64+M77+M99+M130+M144+M162+M191+M178+M271+M287+M308+M325+M338+M361+M518</f>
        <v>3812818</v>
      </c>
      <c r="N23" s="47">
        <f ca="1">N49+N64+N77+N99+N130+N144+N162+N191+N178+N271+N287+N308+N325+N338+N361+N518</f>
        <v>2694714.7</v>
      </c>
      <c r="O23" s="47">
        <f ca="1">IF(L23&gt;0,N23*100/L23,0)</f>
        <v>72.455161773610513</v>
      </c>
      <c r="P23" s="47">
        <f ca="1">IF(M23&gt;0,N23*100/M23,0)</f>
        <v>70.675146309107859</v>
      </c>
      <c r="Q23" s="47">
        <f ca="1">Q77+Q99+Q122+Q144+Q162+Q178+Q191+Q271+Q287+Q308+Q338+Q380+Q397+Q418+Q498+Q604+Q621+Q647+Q695+Q719+Q733+Q765</f>
        <v>2850109.24</v>
      </c>
      <c r="R23" s="47">
        <f ca="1">R77+R99+R122+R144+R162+R178+R191+R271+R287+R308+R338+R380+R397+R418+R498+R604+R621+R647+R695+R719+R733+R765</f>
        <v>2850109</v>
      </c>
      <c r="S23" s="47">
        <f ca="1">S77+S99+S122+S144+S162+S178+S191+S271+S287+S308+S338+S380+S397+S418+S498+S604+S621+S647+S695+S719+S733+S765</f>
        <v>1467455.8</v>
      </c>
      <c r="T23" s="47">
        <f ca="1">IF(Q23&gt;0,S23*100/Q23,0)</f>
        <v>51.487703678333389</v>
      </c>
      <c r="U23" s="47">
        <f ca="1">IF(R23&gt;0,S23*100/R23,0)</f>
        <v>51.487708013974199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L52+L67+L80+L102+L133+L147+L165+L194+L181+L274+L290+L311+L328+L341+L364+L521</f>
        <v>0</v>
      </c>
      <c r="M26" s="47">
        <f ca="1">M52+M67+M80+M102+M133+M147+M165+M194+M181+M274+M290+M311+M328+M341+M364+M521</f>
        <v>0</v>
      </c>
      <c r="N26" s="47">
        <f ca="1">N52+N67+N80+N102+N133+N147+N165+N194+N181+N274+N290+N311+N328+N341+N364+N521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3719148</v>
      </c>
      <c r="M40" s="802">
        <f ca="1">M44+M59+M72+M94+M125+M139+M157+M173+M186+M266+M282+M303+M320+M333+M356</f>
        <v>3812818</v>
      </c>
      <c r="N40" s="802">
        <f ca="1">N44+N59+N72+N94+N125+N139+N157+N173+N186+N266+N282+N303+N320+N333+N356</f>
        <v>2694714.7</v>
      </c>
      <c r="O40" s="802">
        <f ca="1">IF(L40&gt;0,N40*100/L40,0)</f>
        <v>72.455161773610513</v>
      </c>
      <c r="P40" s="802">
        <f ca="1">IF(M40&gt;0,N40*100/M40,0)</f>
        <v>70.675146309107859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693258</v>
      </c>
      <c r="M44" s="79">
        <f ca="1">M45+M46</f>
        <v>736228</v>
      </c>
      <c r="N44" s="79">
        <f ca="1">N45+N46</f>
        <v>518086</v>
      </c>
      <c r="O44" s="79">
        <f ca="1">IF(L44&gt;0,N44*100/L44,0)</f>
        <v>74.732062233684999</v>
      </c>
      <c r="P44" s="79">
        <f ca="1">IF(M44&gt;0,N44*100/M44,0)</f>
        <v>70.370320063893246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693258</v>
      </c>
      <c r="M46" s="83">
        <f ca="1">M49+M52</f>
        <v>736228</v>
      </c>
      <c r="N46" s="83">
        <f ca="1">N49+N52</f>
        <v>518086</v>
      </c>
      <c r="O46" s="83">
        <f ca="1">IF(L46&gt;0,N46*100/L46,0)</f>
        <v>74.732062233684999</v>
      </c>
      <c r="P46" s="83">
        <f ca="1">IF(M46&gt;0,N46*100/M46,0)</f>
        <v>70.370320063893246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693258</v>
      </c>
      <c r="M47" s="47">
        <f ca="1">M48+M49</f>
        <v>736228</v>
      </c>
      <c r="N47" s="47">
        <f ca="1">N48+N49</f>
        <v>518086</v>
      </c>
      <c r="O47" s="47">
        <f ca="1">IF(L47&gt;0,N47*100/L47,0)</f>
        <v>74.732062233684999</v>
      </c>
      <c r="P47" s="47">
        <f ca="1">IF(M47&gt;0,N47*100/M47,0)</f>
        <v>70.370320063893246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IFERROR(__xludf.DUMMYFUNCTION("IMPORTRANGE(""https://docs.google.com/spreadsheets/d/1-uDff_7J0KD5mKrp0Vvzr7lt3OU09vwQwhkpOPPYv2Y/edit?usp=sharing"",""งบพรบ!P88"")"),693258)</f>
        <v>693258</v>
      </c>
      <c r="M49" s="47">
        <f ca="1">IFERROR(__xludf.DUMMYFUNCTION("IMPORTRANGE(""https://docs.google.com/spreadsheets/d/1-uDff_7J0KD5mKrp0Vvzr7lt3OU09vwQwhkpOPPYv2Y/edit?usp=sharing"",""งบพรบ!V88"")"),736228)</f>
        <v>736228</v>
      </c>
      <c r="N49" s="47">
        <f ca="1">IFERROR(__xludf.DUMMYFUNCTION("IMPORTRANGE(""https://docs.google.com/spreadsheets/d/1-uDff_7J0KD5mKrp0Vvzr7lt3OU09vwQwhkpOPPYv2Y/edit?usp=sharing"",""งบพรบ!Y88"")"),518086)</f>
        <v>518086</v>
      </c>
      <c r="O49" s="47">
        <f ca="1">IF(L49&gt;0,N49*100/L49,0)</f>
        <v>74.732062233684999</v>
      </c>
      <c r="P49" s="47">
        <f ca="1">IF(M49&gt;0,N49*100/M49,0)</f>
        <v>70.370320063893246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IFERROR(__xludf.DUMMYFUNCTION("IMPORTRANGE(""https://docs.google.com/spreadsheets/d/1-uDff_7J0KD5mKrp0Vvzr7lt3OU09vwQwhkpOPPYv2Y/edit?usp=sharing"",""งบพรบ!S88"")"),0)</f>
        <v>0</v>
      </c>
      <c r="M52" s="47">
        <f ca="1">IFERROR(__xludf.DUMMYFUNCTION("IMPORTRANGE(""https://docs.google.com/spreadsheets/d/1-uDff_7J0KD5mKrp0Vvzr7lt3OU09vwQwhkpOPPYv2Y/edit?usp=sharing"",""งบพรบ!W88"")"),0)</f>
        <v>0</v>
      </c>
      <c r="N52" s="47">
        <f ca="1">IFERROR(__xludf.DUMMYFUNCTION("IMPORTRANGE(""https://docs.google.com/spreadsheets/d/1-uDff_7J0KD5mKrp0Vvzr7lt3OU09vwQwhkpOPPYv2Y/edit?usp=sharing"",""งบพรบ!Z88"")"),0)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541400</v>
      </c>
      <c r="M59" s="106">
        <f ca="1">M60+M61</f>
        <v>541400</v>
      </c>
      <c r="N59" s="106">
        <f ca="1">N60+N61</f>
        <v>398920.49</v>
      </c>
      <c r="O59" s="106">
        <f ca="1">IF(L59&gt;0,N59*100/L59,0)</f>
        <v>73.683134466198737</v>
      </c>
      <c r="P59" s="106">
        <f ca="1">IF(M59&gt;0,N59*100/M59,0)</f>
        <v>73.683134466198737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541400</v>
      </c>
      <c r="M61" s="109">
        <f ca="1">M64+M67</f>
        <v>541400</v>
      </c>
      <c r="N61" s="109">
        <f ca="1">N64+N67</f>
        <v>398920.49</v>
      </c>
      <c r="O61" s="109">
        <f ca="1">IF(L61&gt;0,N61*100/L61,0)</f>
        <v>73.683134466198737</v>
      </c>
      <c r="P61" s="109">
        <f ca="1">IF(M61&gt;0,N61*100/M61,0)</f>
        <v>73.683134466198737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541400</v>
      </c>
      <c r="M62" s="47">
        <f ca="1">M63+M64</f>
        <v>541400</v>
      </c>
      <c r="N62" s="47">
        <f ca="1">N63+N64</f>
        <v>398920.49</v>
      </c>
      <c r="O62" s="47">
        <f ca="1">IF(L62&gt;0,N62*100/L62,0)</f>
        <v>73.683134466198737</v>
      </c>
      <c r="P62" s="47">
        <f ca="1">IF(M62&gt;0,N62*100/M62,0)</f>
        <v>73.683134466198737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IFERROR(__xludf.DUMMYFUNCTION("IMPORTRANGE(""https://docs.google.com/spreadsheets/d/1-uDff_7J0KD5mKrp0Vvzr7lt3OU09vwQwhkpOPPYv2Y/edit?usp=sharing"",""งบพรบ!AC88"")"),541400)</f>
        <v>541400</v>
      </c>
      <c r="M64" s="47">
        <f ca="1">IFERROR(__xludf.DUMMYFUNCTION("IMPORTRANGE(""https://docs.google.com/spreadsheets/d/1-uDff_7J0KD5mKrp0Vvzr7lt3OU09vwQwhkpOPPYv2Y/edit?usp=sharing"",""งบพรบ!AH88"")"),541400)</f>
        <v>541400</v>
      </c>
      <c r="N64" s="47">
        <f ca="1">IFERROR(__xludf.DUMMYFUNCTION("IMPORTRANGE(""https://docs.google.com/spreadsheets/d/1-uDff_7J0KD5mKrp0Vvzr7lt3OU09vwQwhkpOPPYv2Y/edit?usp=sharing"",""งบพรบ!AJ88"")"),398920.49)</f>
        <v>398920.49</v>
      </c>
      <c r="O64" s="47">
        <f ca="1">IF(L64&gt;0,N64*100/L64,0)</f>
        <v>73.683134466198737</v>
      </c>
      <c r="P64" s="47">
        <f ca="1">IF(M64&gt;0,N64*100/M64,0)</f>
        <v>73.683134466198737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IFERROR(__xludf.DUMMYFUNCTION("IMPORTRANGE(""https://docs.google.com/spreadsheets/d/1-uDff_7J0KD5mKrp0Vvzr7lt3OU09vwQwhkpOPPYv2Y/edit?usp=sharing"",""งบพรบ!AF88"")"),0)</f>
        <v>0</v>
      </c>
      <c r="M67" s="111">
        <f ca="1">IFERROR(__xludf.DUMMYFUNCTION("IMPORTRANGE(""https://docs.google.com/spreadsheets/d/1-uDff_7J0KD5mKrp0Vvzr7lt3OU09vwQwhkpOPPYv2Y/edit?usp=sharing"",""งบพรบ!AI88"")"),0)</f>
        <v>0</v>
      </c>
      <c r="N67" s="111">
        <f ca="1">IFERROR(__xludf.DUMMYFUNCTION("IMPORTRANGE(""https://docs.google.com/spreadsheets/d/1-uDff_7J0KD5mKrp0Vvzr7lt3OU09vwQwhkpOPPYv2Y/edit?usp=sharing"",""งบพรบ!AK88"")"),0)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2</v>
      </c>
      <c r="J70" s="127">
        <f>J82</f>
        <v>2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61</v>
      </c>
      <c r="J71" s="127">
        <f>J83</f>
        <v>61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150000</v>
      </c>
      <c r="M72" s="132">
        <f ca="1">M73+M74</f>
        <v>150000</v>
      </c>
      <c r="N72" s="132">
        <f ca="1">N73+N74</f>
        <v>98000</v>
      </c>
      <c r="O72" s="132">
        <f ca="1">IF(L72&gt;0,N72*100/L72,0)</f>
        <v>65.333333333333329</v>
      </c>
      <c r="P72" s="132">
        <f ca="1">IF(M72&gt;0,N72*100/M72,0)</f>
        <v>65.333333333333329</v>
      </c>
      <c r="Q72" s="132">
        <f ca="1">Q73+Q74</f>
        <v>792520</v>
      </c>
      <c r="R72" s="132">
        <f ca="1">R73+R74</f>
        <v>792520</v>
      </c>
      <c r="S72" s="132">
        <f ca="1">S73+S74</f>
        <v>212284</v>
      </c>
      <c r="T72" s="132">
        <f ca="1">IF(Q72&gt;0,S72*100/Q72,0)</f>
        <v>26.785948619593196</v>
      </c>
      <c r="U72" s="132">
        <f ca="1">IF(R72&gt;0,S72*100/R72,0)</f>
        <v>26.785948619593196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150000</v>
      </c>
      <c r="M74" s="47">
        <f ca="1">M77+M80</f>
        <v>150000</v>
      </c>
      <c r="N74" s="47">
        <f ca="1">N77+N80</f>
        <v>98000</v>
      </c>
      <c r="O74" s="47">
        <f ca="1">IF(L74&gt;0,N74*100/L74,0)</f>
        <v>65.333333333333329</v>
      </c>
      <c r="P74" s="47">
        <f ca="1">IF(M74&gt;0,N74*100/M74,0)</f>
        <v>65.333333333333329</v>
      </c>
      <c r="Q74" s="47">
        <f ca="1">Q77+Q80</f>
        <v>792520</v>
      </c>
      <c r="R74" s="47">
        <f ca="1">R77+R80</f>
        <v>792520</v>
      </c>
      <c r="S74" s="47">
        <f ca="1">S77+S80</f>
        <v>212284</v>
      </c>
      <c r="T74" s="47">
        <f ca="1">IF(Q74&gt;0,S74*100/Q74,0)</f>
        <v>26.785948619593196</v>
      </c>
      <c r="U74" s="47">
        <f ca="1">IF(R74&gt;0,S74*100/R74,0)</f>
        <v>26.785948619593196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150000</v>
      </c>
      <c r="M75" s="47">
        <f ca="1">M76+M77</f>
        <v>150000</v>
      </c>
      <c r="N75" s="47">
        <f ca="1">N76+N77</f>
        <v>98000</v>
      </c>
      <c r="O75" s="47">
        <f ca="1">IF(L75&gt;0,N75*100/L75,0)</f>
        <v>65.333333333333329</v>
      </c>
      <c r="P75" s="47">
        <f ca="1">IF(M75&gt;0,N75*100/M75,0)</f>
        <v>65.333333333333329</v>
      </c>
      <c r="Q75" s="47">
        <f ca="1">Q76+Q77</f>
        <v>792520</v>
      </c>
      <c r="R75" s="47">
        <f ca="1">R76+R77</f>
        <v>792520</v>
      </c>
      <c r="S75" s="47">
        <f ca="1">S76+S77</f>
        <v>212284</v>
      </c>
      <c r="T75" s="47">
        <f ca="1">IF(Q75&gt;0,S75*100/Q75,0)</f>
        <v>26.785948619593196</v>
      </c>
      <c r="U75" s="47">
        <f ca="1">IF(R75&gt;0,S75*100/R75,0)</f>
        <v>26.785948619593196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IFERROR(__xludf.DUMMYFUNCTION("IMPORTRANGE(""https://docs.google.com/spreadsheets/d/1-uDff_7J0KD5mKrp0Vvzr7lt3OU09vwQwhkpOPPYv2Y/edit?usp=sharing"",""งบพรบ!AM88"")"),150000)</f>
        <v>150000</v>
      </c>
      <c r="M77" s="47">
        <f ca="1">IFERROR(__xludf.DUMMYFUNCTION("IMPORTRANGE(""https://docs.google.com/spreadsheets/d/1-uDff_7J0KD5mKrp0Vvzr7lt3OU09vwQwhkpOPPYv2Y/edit?usp=sharing"",""งบพรบ!AR88"")"),150000)</f>
        <v>150000</v>
      </c>
      <c r="N77" s="47">
        <f ca="1">IFERROR(__xludf.DUMMYFUNCTION("IMPORTRANGE(""https://docs.google.com/spreadsheets/d/1-uDff_7J0KD5mKrp0Vvzr7lt3OU09vwQwhkpOPPYv2Y/edit?usp=sharing"",""งบพรบ!AT88"")"),98000)</f>
        <v>98000</v>
      </c>
      <c r="O77" s="47">
        <f ca="1">IF(L77&gt;0,N77*100/L77,0)</f>
        <v>65.333333333333329</v>
      </c>
      <c r="P77" s="47">
        <f ca="1">IF(M77&gt;0,N77*100/M77,0)</f>
        <v>65.333333333333329</v>
      </c>
      <c r="Q77" s="47">
        <f ca="1">IFERROR(__xludf.DUMMYFUNCTION("IMPORTRANGE(""https://docs.google.com/spreadsheets/d/1ItG2mGa2ceCfYo0BwxsXqNm01IGEUdYcSSLTEv9YCik/edit?usp=sharing"",""เบิกจ่ายกองทุน!BH88"")"),792520)</f>
        <v>792520</v>
      </c>
      <c r="R77" s="47">
        <f ca="1">IFERROR(__xludf.DUMMYFUNCTION("IMPORTRANGE(""https://docs.google.com/spreadsheets/d/1ItG2mGa2ceCfYo0BwxsXqNm01IGEUdYcSSLTEv9YCik/edit?usp=sharing"",""เบิกจ่ายกองทุน!BI88"")"),792520)</f>
        <v>792520</v>
      </c>
      <c r="S77" s="47">
        <f ca="1">IFERROR(__xludf.DUMMYFUNCTION("IMPORTRANGE(""https://docs.google.com/spreadsheets/d/1ItG2mGa2ceCfYo0BwxsXqNm01IGEUdYcSSLTEv9YCik/edit?usp=sharing"",""เบิกจ่ายกองทุน!BJ88"")"),212284)</f>
        <v>212284</v>
      </c>
      <c r="T77" s="47">
        <f ca="1">IF(Q77&gt;0,S77*100/Q77,0)</f>
        <v>26.785948619593196</v>
      </c>
      <c r="U77" s="47">
        <f ca="1">IF(R77&gt;0,S77*100/R77,0)</f>
        <v>26.785948619593196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IFERROR(__xludf.DUMMYFUNCTION("IMPORTRANGE(""https://docs.google.com/spreadsheets/d/1-uDff_7J0KD5mKrp0Vvzr7lt3OU09vwQwhkpOPPYv2Y/edit?usp=sharing"",""งบพรบ!AP88"")"),0)</f>
        <v>0</v>
      </c>
      <c r="M80" s="47">
        <f ca="1">IFERROR(__xludf.DUMMYFUNCTION("IMPORTRANGE(""https://docs.google.com/spreadsheets/d/1-uDff_7J0KD5mKrp0Vvzr7lt3OU09vwQwhkpOPPYv2Y/edit?usp=sharing"",""งบพรบ!AS88"")"),0)</f>
        <v>0</v>
      </c>
      <c r="N80" s="47">
        <f ca="1">IFERROR(__xludf.DUMMYFUNCTION("IMPORTRANGE(""https://docs.google.com/spreadsheets/d/1-uDff_7J0KD5mKrp0Vvzr7lt3OU09vwQwhkpOPPYv2Y/edit?usp=sharing"",""งบพรบ!AU88"")"),0)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2</v>
      </c>
      <c r="J82" s="147">
        <f>J84+J86+J88</f>
        <v>2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61</v>
      </c>
      <c r="J83" s="147">
        <f>J85+J87+J89</f>
        <v>61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IFERROR(__xludf.DUMMYFUNCTION("IMPORTRANGE(""https://docs.google.com/spreadsheets/d/1eHaY18a8A9IcSdp1K8H6x8fbOy06t2VsZHhMHf-1x7Y/edit?usp=sharing"",""แผน!H88"")"),1)</f>
        <v>1</v>
      </c>
      <c r="J84" s="167">
        <v>1</v>
      </c>
      <c r="K84" s="153">
        <f ca="1">IF(I84&gt;0,J84*100/I84,0)</f>
        <v>100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IFERROR(__xludf.DUMMYFUNCTION("IMPORTRANGE(""https://docs.google.com/spreadsheets/d/1eHaY18a8A9IcSdp1K8H6x8fbOy06t2VsZHhMHf-1x7Y/edit?usp=sharing"",""แผน!I88"")"),31)</f>
        <v>31</v>
      </c>
      <c r="J85" s="167">
        <v>31</v>
      </c>
      <c r="K85" s="153">
        <f ca="1">IF(I85&gt;0,J85*100/I85,0)</f>
        <v>100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IFERROR(__xludf.DUMMYFUNCTION("IMPORTRANGE(""https://docs.google.com/spreadsheets/d/1eHaY18a8A9IcSdp1K8H6x8fbOy06t2VsZHhMHf-1x7Y/edit?usp=sharing"",""แผน!F88"")"),1)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IFERROR(__xludf.DUMMYFUNCTION("IMPORTRANGE(""https://docs.google.com/spreadsheets/d/1eHaY18a8A9IcSdp1K8H6x8fbOy06t2VsZHhMHf-1x7Y/edit?usp=sharing"",""แผน!G88"")"),30)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IFERROR(__xludf.DUMMYFUNCTION("IMPORTRANGE(""https://docs.google.com/spreadsheets/d/1eHaY18a8A9IcSdp1K8H6x8fbOy06t2VsZHhMHf-1x7Y/edit?usp=sharing"",""แผน!J88"")"),2)</f>
        <v>2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49270</v>
      </c>
      <c r="T94" s="132">
        <f ca="1">IF(Q94&gt;0,S94*100/Q94,0)</f>
        <v>58.362947168917316</v>
      </c>
      <c r="U94" s="132">
        <f ca="1">IF(R94&gt;0,S94*100/R94,0)</f>
        <v>58.362947168917316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49270</v>
      </c>
      <c r="T96" s="47">
        <f ca="1">IF(Q96&gt;0,S96*100/Q96,0)</f>
        <v>58.362947168917316</v>
      </c>
      <c r="U96" s="47">
        <f ca="1">IF(R96&gt;0,S96*100/R96,0)</f>
        <v>58.362947168917316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49270</v>
      </c>
      <c r="T97" s="47">
        <f ca="1">IF(Q97&gt;0,S97*100/Q97,0)</f>
        <v>58.362947168917316</v>
      </c>
      <c r="U97" s="47">
        <f ca="1">IF(R97&gt;0,S97*100/R97,0)</f>
        <v>58.362947168917316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IFERROR(__xludf.DUMMYFUNCTION("IMPORTRANGE(""https://docs.google.com/spreadsheets/d/1-uDff_7J0KD5mKrp0Vvzr7lt3OU09vwQwhkpOPPYv2Y/edit?usp=sharing"",""งบพรบ!AW88"")"),0)</f>
        <v>0</v>
      </c>
      <c r="M99" s="47">
        <f ca="1">IFERROR(__xludf.DUMMYFUNCTION("IMPORTRANGE(""https://docs.google.com/spreadsheets/d/1-uDff_7J0KD5mKrp0Vvzr7lt3OU09vwQwhkpOPPYv2Y/edit?usp=sharing"",""งบพรบ!BB88"")"),6000)</f>
        <v>6000</v>
      </c>
      <c r="N99" s="47">
        <f ca="1">IFERROR(__xludf.DUMMYFUNCTION("IMPORTRANGE(""https://docs.google.com/spreadsheets/d/1-uDff_7J0KD5mKrp0Vvzr7lt3OU09vwQwhkpOPPYv2Y/edit?usp=sharing"",""งบพรบ!BD88"")"),0)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IFERROR(__xludf.DUMMYFUNCTION("IMPORTRANGE(""https://docs.google.com/spreadsheets/d/1ItG2mGa2ceCfYo0BwxsXqNm01IGEUdYcSSLTEv9YCik/edit?usp=sharing"",""เบิกจ่ายกองทุน!AJ88"")"),84420)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IFERROR(__xludf.DUMMYFUNCTION("IMPORTRANGE(""https://docs.google.com/spreadsheets/d/1ItG2mGa2ceCfYo0BwxsXqNm01IGEUdYcSSLTEv9YCik/edit?usp=sharing"",""เบิกจ่ายกองทุน!AK88"")"),84420)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IFERROR(__xludf.DUMMYFUNCTION("IMPORTRANGE(""https://docs.google.com/spreadsheets/d/1ItG2mGa2ceCfYo0BwxsXqNm01IGEUdYcSSLTEv9YCik/edit?usp=sharing"",""เบิกจ่ายกองทุน!AL88"")"),49270)</f>
        <v>49270</v>
      </c>
      <c r="T99" s="47">
        <f ca="1">IF(Q99&gt;0,S99*100/Q99,0)</f>
        <v>58.362947168917316</v>
      </c>
      <c r="U99" s="47">
        <f ca="1">IF(R99&gt;0,S99*100/R99,0)</f>
        <v>58.362947168917316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IFERROR(__xludf.DUMMYFUNCTION("IMPORTRANGE(""https://docs.google.com/spreadsheets/d/1-uDff_7J0KD5mKrp0Vvzr7lt3OU09vwQwhkpOPPYv2Y/edit?usp=sharing"",""งบพรบ!AZ88"")"),0)</f>
        <v>0</v>
      </c>
      <c r="M102" s="47">
        <f ca="1">IFERROR(__xludf.DUMMYFUNCTION("IMPORTRANGE(""https://docs.google.com/spreadsheets/d/1-uDff_7J0KD5mKrp0Vvzr7lt3OU09vwQwhkpOPPYv2Y/edit?usp=sharing"",""งบพรบ!BC88"")"),0)</f>
        <v>0</v>
      </c>
      <c r="N102" s="47">
        <f ca="1">IFERROR(__xludf.DUMMYFUNCTION("IMPORTRANGE(""https://docs.google.com/spreadsheets/d/1-uDff_7J0KD5mKrp0Vvzr7lt3OU09vwQwhkpOPPYv2Y/edit?usp=sharing"",""งบพรบ!BE88"")"),0)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IFERROR(__xludf.DUMMYFUNCTION("IMPORTRANGE(""https://docs.google.com/spreadsheets/d/1eHaY18a8A9IcSdp1K8H6x8fbOy06t2VsZHhMHf-1x7Y/edit?usp=sharing"",""แผน!N88"")"),30)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IFERROR(__xludf.DUMMYFUNCTION("IMPORTRANGE(""https://docs.google.com/spreadsheets/d/1eHaY18a8A9IcSdp1K8H6x8fbOy06t2VsZHhMHf-1x7Y/edit?usp=sharing"",""แผน!O88"")"),10)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IFERROR(__xludf.DUMMYFUNCTION("IMPORTRANGE(""https://docs.google.com/spreadsheets/d/1eHaY18a8A9IcSdp1K8H6x8fbOy06t2VsZHhMHf-1x7Y/edit?usp=sharing"",""แผน!N88"")"),30)</f>
        <v>30</v>
      </c>
      <c r="J113" s="175">
        <v>30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IFERROR(__xludf.DUMMYFUNCTION("IMPORTRANGE(""https://docs.google.com/spreadsheets/d/1eHaY18a8A9IcSdp1K8H6x8fbOy06t2VsZHhMHf-1x7Y/edit?usp=sharing"",""แผน!O88"")"),10)</f>
        <v>10</v>
      </c>
      <c r="J114" s="167">
        <v>10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50</v>
      </c>
      <c r="J116" s="127">
        <f>J127</f>
        <v>50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284520</v>
      </c>
      <c r="R117" s="132">
        <f ca="1">R118+R119</f>
        <v>284520</v>
      </c>
      <c r="S117" s="132">
        <f ca="1">S118+S119</f>
        <v>198130</v>
      </c>
      <c r="T117" s="132">
        <f ca="1">IF(Q117&gt;0,S117*100/Q117,0)</f>
        <v>69.636580908196265</v>
      </c>
      <c r="U117" s="132">
        <f ca="1">IF(R117&gt;0,S117*100/R117,0)</f>
        <v>69.636580908196265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284520</v>
      </c>
      <c r="R119" s="47">
        <f ca="1">R122+R125</f>
        <v>284520</v>
      </c>
      <c r="S119" s="47">
        <f ca="1">S122+S125</f>
        <v>198130</v>
      </c>
      <c r="T119" s="47">
        <f ca="1">IF(Q119&gt;0,S119*100/Q119,0)</f>
        <v>69.636580908196265</v>
      </c>
      <c r="U119" s="47">
        <f ca="1">IF(R119&gt;0,S119*100/R119,0)</f>
        <v>69.636580908196265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284520</v>
      </c>
      <c r="R120" s="47">
        <f ca="1">R121+R122</f>
        <v>284520</v>
      </c>
      <c r="S120" s="47">
        <f ca="1">S121+S122</f>
        <v>198130</v>
      </c>
      <c r="T120" s="47">
        <f ca="1">IF(Q120&gt;0,S120*100/Q120,0)</f>
        <v>69.636580908196265</v>
      </c>
      <c r="U120" s="47">
        <f ca="1">IF(R120&gt;0,S120*100/R120,0)</f>
        <v>69.636580908196265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IFERROR(__xludf.DUMMYFUNCTION("IMPORTRANGE(""https://docs.google.com/spreadsheets/d/1-uDff_7J0KD5mKrp0Vvzr7lt3OU09vwQwhkpOPPYv2Y/edit?usp=sharing"",""งบพรบ!BG88"")"),0)</f>
        <v>0</v>
      </c>
      <c r="M122" s="47">
        <f ca="1">IFERROR(__xludf.DUMMYFUNCTION("IMPORTRANGE(""https://docs.google.com/spreadsheets/d/1-uDff_7J0KD5mKrp0Vvzr7lt3OU09vwQwhkpOPPYv2Y/edit?usp=sharing"",""งบพรบ!BL88"")"),0)</f>
        <v>0</v>
      </c>
      <c r="N122" s="47">
        <f ca="1">IFERROR(__xludf.DUMMYFUNCTION("IMPORTRANGE(""https://docs.google.com/spreadsheets/d/1-uDff_7J0KD5mKrp0Vvzr7lt3OU09vwQwhkpOPPYv2Y/edit?usp=sharing"",""งบพรบ!BN88"")"),0)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IFERROR(__xludf.DUMMYFUNCTION("IMPORTRANGE(""https://docs.google.com/spreadsheets/d/1ItG2mGa2ceCfYo0BwxsXqNm01IGEUdYcSSLTEv9YCik/edit?usp=sharing"",""เบิกจ่ายกองทุน!U88"")"),284520)</f>
        <v>284520</v>
      </c>
      <c r="R122" s="47">
        <f ca="1">IFERROR(__xludf.DUMMYFUNCTION("IMPORTRANGE(""https://docs.google.com/spreadsheets/d/1ItG2mGa2ceCfYo0BwxsXqNm01IGEUdYcSSLTEv9YCik/edit?usp=sharing"",""เบิกจ่ายกองทุน!V88"")"),284520)</f>
        <v>284520</v>
      </c>
      <c r="S122" s="47">
        <f ca="1">IFERROR(__xludf.DUMMYFUNCTION("IMPORTRANGE(""https://docs.google.com/spreadsheets/d/1ItG2mGa2ceCfYo0BwxsXqNm01IGEUdYcSSLTEv9YCik/edit?usp=sharing"",""เบิกจ่ายกองทุน!W88"")"),198130)</f>
        <v>198130</v>
      </c>
      <c r="T122" s="47">
        <f ca="1">IF(Q122&gt;0,S122*100/Q122,0)</f>
        <v>69.636580908196265</v>
      </c>
      <c r="U122" s="47">
        <f ca="1">IF(R122&gt;0,S122*100/R122,0)</f>
        <v>69.636580908196265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IFERROR(__xludf.DUMMYFUNCTION("IMPORTRANGE(""https://docs.google.com/spreadsheets/d/1-uDff_7J0KD5mKrp0Vvzr7lt3OU09vwQwhkpOPPYv2Y/edit?usp=sharing"",""งบพรบ!BJ88"")"),0)</f>
        <v>0</v>
      </c>
      <c r="M125" s="47">
        <f ca="1">IFERROR(__xludf.DUMMYFUNCTION("IMPORTRANGE(""https://docs.google.com/spreadsheets/d/1-uDff_7J0KD5mKrp0Vvzr7lt3OU09vwQwhkpOPPYv2Y/edit?usp=sharing"",""งบพรบ!BM88"")"),0)</f>
        <v>0</v>
      </c>
      <c r="N125" s="47">
        <f ca="1">IFERROR(__xludf.DUMMYFUNCTION("IMPORTRANGE(""https://docs.google.com/spreadsheets/d/1-uDff_7J0KD5mKrp0Vvzr7lt3OU09vwQwhkpOPPYv2Y/edit?usp=sharing"",""งบพรบ!BO88"")"),0)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IFERROR(__xludf.DUMMYFUNCTION("IMPORTRANGE(""https://docs.google.com/spreadsheets/d/1eHaY18a8A9IcSdp1K8H6x8fbOy06t2VsZHhMHf-1x7Y/edit?usp=sharing"",""แผน!FF88"")"),50)</f>
        <v>50</v>
      </c>
      <c r="J127" s="167">
        <v>50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IFERROR(__xludf.DUMMYFUNCTION("IMPORTRANGE(""https://docs.google.com/spreadsheets/d/1eHaY18a8A9IcSdp1K8H6x8fbOy06t2VsZHhMHf-1x7Y/edit?usp=sharing"",""แผน!FH88"")"),20)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31600</v>
      </c>
      <c r="M139" s="132">
        <f ca="1">M140+M141</f>
        <v>26600</v>
      </c>
      <c r="N139" s="132">
        <f ca="1">N140+N141</f>
        <v>26600</v>
      </c>
      <c r="O139" s="132">
        <f ca="1">IF(L139&gt;0,N139*100/L139,0)</f>
        <v>84.177215189873422</v>
      </c>
      <c r="P139" s="132">
        <f ca="1">IF(M139&gt;0,N139*100/M139,0)</f>
        <v>100</v>
      </c>
      <c r="Q139" s="132">
        <f ca="1">Q140+Q141</f>
        <v>39860</v>
      </c>
      <c r="R139" s="132">
        <f ca="1">R140+R141</f>
        <v>39860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31600</v>
      </c>
      <c r="M141" s="47">
        <f ca="1">M144+M147</f>
        <v>26600</v>
      </c>
      <c r="N141" s="47">
        <f ca="1">N144+N147</f>
        <v>26600</v>
      </c>
      <c r="O141" s="47">
        <f ca="1">IF(L141&gt;0,N141*100/L141,0)</f>
        <v>84.177215189873422</v>
      </c>
      <c r="P141" s="47">
        <f ca="1">IF(M141&gt;0,N141*100/M141,0)</f>
        <v>100</v>
      </c>
      <c r="Q141" s="47">
        <f ca="1">Q144+Q147</f>
        <v>39860</v>
      </c>
      <c r="R141" s="47">
        <f ca="1">R144+R147</f>
        <v>39860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31600</v>
      </c>
      <c r="M142" s="47">
        <f ca="1">M143+M144</f>
        <v>26600</v>
      </c>
      <c r="N142" s="47">
        <f ca="1">N143+N144</f>
        <v>26600</v>
      </c>
      <c r="O142" s="47">
        <f ca="1">IF(L142&gt;0,N142*100/L142,0)</f>
        <v>84.177215189873422</v>
      </c>
      <c r="P142" s="47">
        <f ca="1">IF(M142&gt;0,N142*100/M142,0)</f>
        <v>100</v>
      </c>
      <c r="Q142" s="47">
        <f ca="1">Q143+Q144</f>
        <v>39860</v>
      </c>
      <c r="R142" s="47">
        <f ca="1">R143+R144</f>
        <v>39860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IFERROR(__xludf.DUMMYFUNCTION("IMPORTRANGE(""https://docs.google.com/spreadsheets/d/1-uDff_7J0KD5mKrp0Vvzr7lt3OU09vwQwhkpOPPYv2Y/edit?usp=sharing"",""งบพรบ!BQ88"")"),31600)</f>
        <v>31600</v>
      </c>
      <c r="M144" s="47">
        <f ca="1">IFERROR(__xludf.DUMMYFUNCTION("IMPORTRANGE(""https://docs.google.com/spreadsheets/d/1-uDff_7J0KD5mKrp0Vvzr7lt3OU09vwQwhkpOPPYv2Y/edit?usp=sharing"",""งบพรบ!BV88"")"),26600)</f>
        <v>26600</v>
      </c>
      <c r="N144" s="47">
        <f ca="1">IFERROR(__xludf.DUMMYFUNCTION("IMPORTRANGE(""https://docs.google.com/spreadsheets/d/1-uDff_7J0KD5mKrp0Vvzr7lt3OU09vwQwhkpOPPYv2Y/edit?usp=sharing"",""งบพรบ!BX88"")"),26600)</f>
        <v>26600</v>
      </c>
      <c r="O144" s="47">
        <f ca="1">IF(L144&gt;0,N144*100/L144,0)</f>
        <v>84.177215189873422</v>
      </c>
      <c r="P144" s="47">
        <f ca="1">IF(M144&gt;0,N144*100/M144,0)</f>
        <v>100</v>
      </c>
      <c r="Q144" s="47">
        <f ca="1">IFERROR(__xludf.DUMMYFUNCTION("IMPORTRANGE(""https://docs.google.com/spreadsheets/d/1ItG2mGa2ceCfYo0BwxsXqNm01IGEUdYcSSLTEv9YCik/edit?usp=sharing"",""เบิกจ่ายกองทุน!CF88"")"),39860)</f>
        <v>39860</v>
      </c>
      <c r="R144" s="47">
        <f ca="1">IFERROR(__xludf.DUMMYFUNCTION("IMPORTRANGE(""https://docs.google.com/spreadsheets/d/1ItG2mGa2ceCfYo0BwxsXqNm01IGEUdYcSSLTEv9YCik/edit?usp=sharing"",""เบิกจ่ายกองทุน!CG88"")"),39860)</f>
        <v>39860</v>
      </c>
      <c r="S144" s="47">
        <f ca="1">IFERROR(__xludf.DUMMYFUNCTION("IMPORTRANGE(""https://docs.google.com/spreadsheets/d/1ItG2mGa2ceCfYo0BwxsXqNm01IGEUdYcSSLTEv9YCik/edit?usp=sharing"",""เบิกจ่ายกองทุน!CH88"")"),0)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IFERROR(__xludf.DUMMYFUNCTION("IMPORTRANGE(""https://docs.google.com/spreadsheets/d/1-uDff_7J0KD5mKrp0Vvzr7lt3OU09vwQwhkpOPPYv2Y/edit?usp=sharing"",""งบพรบ!BT88"")"),0)</f>
        <v>0</v>
      </c>
      <c r="M147" s="47">
        <f ca="1">IFERROR(__xludf.DUMMYFUNCTION("IMPORTRANGE(""https://docs.google.com/spreadsheets/d/1-uDff_7J0KD5mKrp0Vvzr7lt3OU09vwQwhkpOPPYv2Y/edit?usp=sharing"",""งบพรบ!BW88"")"),0)</f>
        <v>0</v>
      </c>
      <c r="N147" s="47">
        <f ca="1">IFERROR(__xludf.DUMMYFUNCTION("IMPORTRANGE(""https://docs.google.com/spreadsheets/d/1-uDff_7J0KD5mKrp0Vvzr7lt3OU09vwQwhkpOPPYv2Y/edit?usp=sharing"",""งบพรบ!BY88"")"),0)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IFERROR(__xludf.DUMMYFUNCTION("IMPORTRANGE(""https://docs.google.com/spreadsheets/d/1eHaY18a8A9IcSdp1K8H6x8fbOy06t2VsZHhMHf-1x7Y/edit?usp=sharing"",""แผน!W88"")"),20)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IFERROR(__xludf.DUMMYFUNCTION("IMPORTRANGE(""https://docs.google.com/spreadsheets/d/1eHaY18a8A9IcSdp1K8H6x8fbOy06t2VsZHhMHf-1x7Y/edit?usp=sharing"",""แผน!X88"")"),2)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15</v>
      </c>
      <c r="K156" s="35">
        <f ca="1">IF(I156&gt;0,J156*100/I156,0)</f>
        <v>100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2250</v>
      </c>
      <c r="N157" s="132">
        <f ca="1">N158+N159</f>
        <v>2250</v>
      </c>
      <c r="O157" s="132">
        <f ca="1">IF(L157&gt;0,N157*100/L157,0)</f>
        <v>50</v>
      </c>
      <c r="P157" s="132">
        <f ca="1">IF(M157&gt;0,N157*100/M157,0)</f>
        <v>100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2250</v>
      </c>
      <c r="N159" s="47">
        <f ca="1">N162+N165</f>
        <v>2250</v>
      </c>
      <c r="O159" s="47">
        <f ca="1">IF(L159&gt;0,N159*100/L159,0)</f>
        <v>50</v>
      </c>
      <c r="P159" s="47">
        <f ca="1">IF(M159&gt;0,N159*100/M159,0)</f>
        <v>100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2250</v>
      </c>
      <c r="N160" s="47">
        <f ca="1">N161+N162</f>
        <v>2250</v>
      </c>
      <c r="O160" s="47">
        <f ca="1">IF(L160&gt;0,N160*100/L160,0)</f>
        <v>50</v>
      </c>
      <c r="P160" s="47">
        <f ca="1">IF(M160&gt;0,N160*100/M160,0)</f>
        <v>100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IFERROR(__xludf.DUMMYFUNCTION("IMPORTRANGE(""https://docs.google.com/spreadsheets/d/1-uDff_7J0KD5mKrp0Vvzr7lt3OU09vwQwhkpOPPYv2Y/edit?usp=sharing"",""งบพรบ!CA88"")"),4500)</f>
        <v>4500</v>
      </c>
      <c r="M162" s="47">
        <f ca="1">IFERROR(__xludf.DUMMYFUNCTION("IMPORTRANGE(""https://docs.google.com/spreadsheets/d/1-uDff_7J0KD5mKrp0Vvzr7lt3OU09vwQwhkpOPPYv2Y/edit?usp=sharing"",""งบพรบ!CF88"")"),2250)</f>
        <v>2250</v>
      </c>
      <c r="N162" s="47">
        <f ca="1">IFERROR(__xludf.DUMMYFUNCTION("IMPORTRANGE(""https://docs.google.com/spreadsheets/d/1-uDff_7J0KD5mKrp0Vvzr7lt3OU09vwQwhkpOPPYv2Y/edit?usp=sharing"",""งบพรบ!CH88"")"),2250)</f>
        <v>2250</v>
      </c>
      <c r="O162" s="47">
        <f ca="1">IF(L162&gt;0,N162*100/L162,0)</f>
        <v>50</v>
      </c>
      <c r="P162" s="47">
        <f ca="1">IF(M162&gt;0,N162*100/M162,0)</f>
        <v>100</v>
      </c>
      <c r="Q162" s="47">
        <f ca="1">IFERROR(__xludf.DUMMYFUNCTION("IMPORTRANGE(""https://docs.google.com/spreadsheets/d/1ItG2mGa2ceCfYo0BwxsXqNm01IGEUdYcSSLTEv9YCik/edit?usp=sharing"",""เบิกจ่ายกองทุน!AM88"")"),0)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IFERROR(__xludf.DUMMYFUNCTION("IMPORTRANGE(""https://docs.google.com/spreadsheets/d/1-uDff_7J0KD5mKrp0Vvzr7lt3OU09vwQwhkpOPPYv2Y/edit?usp=sharing"",""งบพรบ!CD88"")"),0)</f>
        <v>0</v>
      </c>
      <c r="M165" s="47">
        <f ca="1">IFERROR(__xludf.DUMMYFUNCTION("IMPORTRANGE(""https://docs.google.com/spreadsheets/d/1-uDff_7J0KD5mKrp0Vvzr7lt3OU09vwQwhkpOPPYv2Y/edit?usp=sharing"",""งบพรบ!CG88"")"),0)</f>
        <v>0</v>
      </c>
      <c r="N165" s="47">
        <f ca="1">IFERROR(__xludf.DUMMYFUNCTION("IMPORTRANGE(""https://docs.google.com/spreadsheets/d/1-uDff_7J0KD5mKrp0Vvzr7lt3OU09vwQwhkpOPPYv2Y/edit?usp=sharing"",""งบพรบ!CI88"")"),0)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IFERROR(__xludf.DUMMYFUNCTION("IMPORTRANGE(""https://docs.google.com/spreadsheets/d/1eHaY18a8A9IcSdp1K8H6x8fbOy06t2VsZHhMHf-1x7Y/edit?usp=sharing"",""แผน!Z88"")"),15)</f>
        <v>15</v>
      </c>
      <c r="J167" s="167">
        <v>15</v>
      </c>
      <c r="K167" s="47">
        <f ca="1">IF(I167&gt;0,J167*100/I167,0)</f>
        <v>100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I167</f>
        <v>15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15</v>
      </c>
      <c r="J172" s="214">
        <f>J183+J184</f>
        <v>7</v>
      </c>
      <c r="K172" s="215">
        <f ca="1">IF(I172&gt;0,J172*100/I172,0)</f>
        <v>46.666666666666664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35640</v>
      </c>
      <c r="N173" s="132">
        <f ca="1">N174+N175</f>
        <v>35640</v>
      </c>
      <c r="O173" s="132">
        <f ca="1">IF(L173&gt;0,N173*100/L173,0)</f>
        <v>181.92955589586524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35640</v>
      </c>
      <c r="N175" s="47">
        <f ca="1">N178+N181</f>
        <v>35640</v>
      </c>
      <c r="O175" s="47">
        <f ca="1">IF(L175&gt;0,N175*100/L175,0)</f>
        <v>181.92955589586524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35640</v>
      </c>
      <c r="N176" s="47">
        <f ca="1">N177+N178</f>
        <v>35640</v>
      </c>
      <c r="O176" s="47">
        <f ca="1">IF(L176&gt;0,N176*100/L176,0)</f>
        <v>181.92955589586524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IFERROR(__xludf.DUMMYFUNCTION("IMPORTRANGE(""https://docs.google.com/spreadsheets/d/1-uDff_7J0KD5mKrp0Vvzr7lt3OU09vwQwhkpOPPYv2Y/edit?usp=sharing"",""งบพรบ!CK88"")"),19590)</f>
        <v>19590</v>
      </c>
      <c r="M178" s="47">
        <f ca="1">IFERROR(__xludf.DUMMYFUNCTION("IMPORTRANGE(""https://docs.google.com/spreadsheets/d/1-uDff_7J0KD5mKrp0Vvzr7lt3OU09vwQwhkpOPPYv2Y/edit?usp=sharing"",""งบพรบ!CP88"")"),35640)</f>
        <v>35640</v>
      </c>
      <c r="N178" s="47">
        <f ca="1">IFERROR(__xludf.DUMMYFUNCTION("IMPORTRANGE(""https://docs.google.com/spreadsheets/d/1-uDff_7J0KD5mKrp0Vvzr7lt3OU09vwQwhkpOPPYv2Y/edit?usp=sharing"",""งบพรบ!CR88"")"),35640)</f>
        <v>35640</v>
      </c>
      <c r="O178" s="47">
        <f ca="1">IF(L178&gt;0,N178*100/L178,0)</f>
        <v>181.92955589586524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IFERROR(__xludf.DUMMYFUNCTION("IMPORTRANGE(""https://docs.google.com/spreadsheets/d/1-uDff_7J0KD5mKrp0Vvzr7lt3OU09vwQwhkpOPPYv2Y/edit?usp=sharing"",""งบพรบ!CN88"")"),0)</f>
        <v>0</v>
      </c>
      <c r="M181" s="47">
        <f ca="1">IFERROR(__xludf.DUMMYFUNCTION("IMPORTRANGE(""https://docs.google.com/spreadsheets/d/1-uDff_7J0KD5mKrp0Vvzr7lt3OU09vwQwhkpOPPYv2Y/edit?usp=sharing"",""งบพรบ!CQ88"")"),0)</f>
        <v>0</v>
      </c>
      <c r="N181" s="47">
        <f ca="1">IFERROR(__xludf.DUMMYFUNCTION("IMPORTRANGE(""https://docs.google.com/spreadsheets/d/1-uDff_7J0KD5mKrp0Vvzr7lt3OU09vwQwhkpOPPYv2Y/edit?usp=sharing"",""งบพรบ!CS88"")"),0)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IFERROR(__xludf.DUMMYFUNCTION("IMPORTRANGE(""https://docs.google.com/spreadsheets/d/1eHaY18a8A9IcSdp1K8H6x8fbOy06t2VsZHhMHf-1x7Y/edit?usp=sharing"",""แผน!AA88"")"),15)</f>
        <v>15</v>
      </c>
      <c r="J183" s="167">
        <v>7</v>
      </c>
      <c r="K183" s="47">
        <f ca="1">IF(I183&gt;0,J183*100/I183,0)</f>
        <v>46.666666666666664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217500</v>
      </c>
      <c r="M186" s="132">
        <f ca="1">M187+M188</f>
        <v>224700</v>
      </c>
      <c r="N186" s="132">
        <f ca="1">N187+N188</f>
        <v>188233.35</v>
      </c>
      <c r="O186" s="132">
        <f ca="1">IF(L186&gt;0,N186*100/L186,0)</f>
        <v>86.544068965517241</v>
      </c>
      <c r="P186" s="132">
        <f ca="1">IF(M186&gt;0,N186*100/M186,0)</f>
        <v>83.770961281708949</v>
      </c>
      <c r="Q186" s="132">
        <f ca="1">Q187+Q188</f>
        <v>56000</v>
      </c>
      <c r="R186" s="132">
        <f ca="1">R187+R188</f>
        <v>56000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217500</v>
      </c>
      <c r="M188" s="47">
        <f ca="1">M191+M194</f>
        <v>224700</v>
      </c>
      <c r="N188" s="47">
        <f ca="1">N191+N194</f>
        <v>188233.35</v>
      </c>
      <c r="O188" s="47">
        <f ca="1">IF(L188&gt;0,N188*100/L188,0)</f>
        <v>86.544068965517241</v>
      </c>
      <c r="P188" s="47">
        <f ca="1">IF(M188&gt;0,N188*100/M188,0)</f>
        <v>83.770961281708949</v>
      </c>
      <c r="Q188" s="47">
        <f ca="1">Q191+Q194</f>
        <v>56000</v>
      </c>
      <c r="R188" s="47">
        <f ca="1">R191+R194</f>
        <v>56000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217500</v>
      </c>
      <c r="M189" s="47">
        <f ca="1">M190+M191</f>
        <v>224700</v>
      </c>
      <c r="N189" s="47">
        <f ca="1">N190+N191</f>
        <v>188233.35</v>
      </c>
      <c r="O189" s="47">
        <f ca="1">IF(L189&gt;0,N189*100/L189,0)</f>
        <v>86.544068965517241</v>
      </c>
      <c r="P189" s="47">
        <f ca="1">IF(M189&gt;0,N189*100/M189,0)</f>
        <v>83.770961281708949</v>
      </c>
      <c r="Q189" s="47">
        <f ca="1">Q190+Q191</f>
        <v>56000</v>
      </c>
      <c r="R189" s="47">
        <f ca="1">R190+R191</f>
        <v>56000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IFERROR(__xludf.DUMMYFUNCTION("IMPORTRANGE(""https://docs.google.com/spreadsheets/d/1-uDff_7J0KD5mKrp0Vvzr7lt3OU09vwQwhkpOPPYv2Y/edit?usp=sharing"",""งบพรบ!CU88"")"),217500)</f>
        <v>217500</v>
      </c>
      <c r="M191" s="47">
        <f ca="1">IFERROR(__xludf.DUMMYFUNCTION("IMPORTRANGE(""https://docs.google.com/spreadsheets/d/1-uDff_7J0KD5mKrp0Vvzr7lt3OU09vwQwhkpOPPYv2Y/edit?usp=sharing"",""งบพรบ!CZ88"")"),224700)</f>
        <v>224700</v>
      </c>
      <c r="N191" s="47">
        <f ca="1">IFERROR(__xludf.DUMMYFUNCTION("IMPORTRANGE(""https://docs.google.com/spreadsheets/d/1-uDff_7J0KD5mKrp0Vvzr7lt3OU09vwQwhkpOPPYv2Y/edit?usp=sharing"",""งบพรบ!DB88"")"),188233.35)</f>
        <v>188233.35</v>
      </c>
      <c r="O191" s="47">
        <f ca="1">IF(L191&gt;0,N191*100/L191,0)</f>
        <v>86.544068965517241</v>
      </c>
      <c r="P191" s="47">
        <f ca="1">IF(M191&gt;0,N191*100/M191,0)</f>
        <v>83.770961281708949</v>
      </c>
      <c r="Q191" s="47">
        <f ca="1">IFERROR(__xludf.DUMMYFUNCTION("IMPORTRANGE(""https://docs.google.com/spreadsheets/d/1ItG2mGa2ceCfYo0BwxsXqNm01IGEUdYcSSLTEv9YCik/edit?usp=sharing"",""เบิกจ่ายกองทุน!BQ88"")"),56000)</f>
        <v>56000</v>
      </c>
      <c r="R191" s="47">
        <f ca="1">IFERROR(__xludf.DUMMYFUNCTION("IMPORTRANGE(""https://docs.google.com/spreadsheets/d/1ItG2mGa2ceCfYo0BwxsXqNm01IGEUdYcSSLTEv9YCik/edit?usp=sharing"",""เบิกจ่ายกองทุน!BR88"")"),56000)</f>
        <v>56000</v>
      </c>
      <c r="S191" s="47">
        <f ca="1">IFERROR(__xludf.DUMMYFUNCTION("IMPORTRANGE(""https://docs.google.com/spreadsheets/d/1ItG2mGa2ceCfYo0BwxsXqNm01IGEUdYcSSLTEv9YCik/edit?usp=sharing"",""เบิกจ่ายกองทุน!BS88"")"),0)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IFERROR(__xludf.DUMMYFUNCTION("IMPORTRANGE(""https://docs.google.com/spreadsheets/d/1-uDff_7J0KD5mKrp0Vvzr7lt3OU09vwQwhkpOPPYv2Y/edit?usp=sharing"",""งบพรบ!CX88"")"),0)</f>
        <v>0</v>
      </c>
      <c r="M194" s="47">
        <f ca="1">IFERROR(__xludf.DUMMYFUNCTION("IMPORTRANGE(""https://docs.google.com/spreadsheets/d/1-uDff_7J0KD5mKrp0Vvzr7lt3OU09vwQwhkpOPPYv2Y/edit?usp=sharing"",""งบพรบ!DA88"")"),0)</f>
        <v>0</v>
      </c>
      <c r="N194" s="47">
        <f ca="1">IFERROR(__xludf.DUMMYFUNCTION("IMPORTRANGE(""https://docs.google.com/spreadsheets/d/1-uDff_7J0KD5mKrp0Vvzr7lt3OU09vwQwhkpOPPYv2Y/edit?usp=sharing"",""งบพรบ!DC88"")"),0)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IFERROR(__xludf.DUMMYFUNCTION("IMPORTRANGE(""https://docs.google.com/spreadsheets/d/1eHaY18a8A9IcSdp1K8H6x8fbOy06t2VsZHhMHf-1x7Y/edit?usp=sharing"",""แผน!AB88"")"),6000)</f>
        <v>6000</v>
      </c>
      <c r="M196" s="46"/>
      <c r="N196" s="768">
        <v>1200</v>
      </c>
      <c r="O196" s="132">
        <f ca="1">IF(L196&gt;0,N196*100/L196,0)</f>
        <v>20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IFERROR(__xludf.DUMMYFUNCTION("IMPORTRANGE(""https://docs.google.com/spreadsheets/d/1eHaY18a8A9IcSdp1K8H6x8fbOy06t2VsZHhMHf-1x7Y/edit?usp=sharing"",""แผน!AE88"")"),4)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56000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IFERROR(__xludf.DUMMYFUNCTION("IMPORTRANGE(""https://docs.google.com/spreadsheets/d/1eHaY18a8A9IcSdp1K8H6x8fbOy06t2VsZHhMHf-1x7Y/edit?usp=sharing"",""แผน!AG88"")"),4000)</f>
        <v>4000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IFERROR(__xludf.DUMMYFUNCTION("IMPORTRANGE(""https://docs.google.com/spreadsheets/d/1eHaY18a8A9IcSdp1K8H6x8fbOy06t2VsZHhMHf-1x7Y/edit?usp=sharing"",""แผน!AH88"")"),0)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IFERROR(__xludf.DUMMYFUNCTION("IMPORTRANGE(""https://docs.google.com/spreadsheets/d/1eHaY18a8A9IcSdp1K8H6x8fbOy06t2VsZHhMHf-1x7Y/edit?usp=sharing"",""แผน!AI88"")"),0)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IFERROR(__xludf.DUMMYFUNCTION("IMPORTRANGE(""https://docs.google.com/spreadsheets/d/1eHaY18a8A9IcSdp1K8H6x8fbOy06t2VsZHhMHf-1x7Y/edit?usp=sharing"",""แผน!LV88"")"),56000)</f>
        <v>56000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IFERROR(__xludf.DUMMYFUNCTION("IMPORTRANGE(""https://docs.google.com/spreadsheets/d/1eHaY18a8A9IcSdp1K8H6x8fbOy06t2VsZHhMHf-1x7Y/edit?usp=sharing"",""แผน!AJ88"")"),21000)</f>
        <v>21000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IFERROR(__xludf.DUMMYFUNCTION("IMPORTRANGE(""https://docs.google.com/spreadsheets/d/1eHaY18a8A9IcSdp1K8H6x8fbOy06t2VsZHhMHf-1x7Y/edit?usp=sharing"",""แผน!AK88"")"),4)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IFERROR(__xludf.DUMMYFUNCTION("IMPORTRANGE(""https://docs.google.com/spreadsheets/d/1eHaY18a8A9IcSdp1K8H6x8fbOy06t2VsZHhMHf-1x7Y/edit?usp=sharing"",""แผน!AM88"")"),0)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IFERROR(__xludf.DUMMYFUNCTION("IMPORTRANGE(""https://docs.google.com/spreadsheets/d/1eHaY18a8A9IcSdp1K8H6x8fbOy06t2VsZHhMHf-1x7Y/edit?usp=sharing"",""แผน!AN88"")"),0)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IFERROR(__xludf.DUMMYFUNCTION("IMPORTRANGE(""https://docs.google.com/spreadsheets/d/1eHaY18a8A9IcSdp1K8H6x8fbOy06t2VsZHhMHf-1x7Y/edit?usp=sharing"",""แผน!AO88"")"),0)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IFERROR(__xludf.DUMMYFUNCTION("IMPORTRANGE(""https://docs.google.com/spreadsheets/d/1eHaY18a8A9IcSdp1K8H6x8fbOy06t2VsZHhMHf-1x7Y/edit?usp=sharing"",""แผน!LY88"")"),0)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IFERROR(__xludf.DUMMYFUNCTION("IMPORTRANGE(""https://docs.google.com/spreadsheets/d/1eHaY18a8A9IcSdp1K8H6x8fbOy06t2VsZHhMHf-1x7Y/edit?usp=sharing"",""แผน!AP88"")"),0)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IFERROR(__xludf.DUMMYFUNCTION("IMPORTRANGE(""https://docs.google.com/spreadsheets/d/1eHaY18a8A9IcSdp1K8H6x8fbOy06t2VsZHhMHf-1x7Y/edit?usp=sharing"",""แผน!AP88"")"),0)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IFERROR(__xludf.DUMMYFUNCTION("IMPORTRANGE(""https://docs.google.com/spreadsheets/d/1eHaY18a8A9IcSdp1K8H6x8fbOy06t2VsZHhMHf-1x7Y/edit?usp=sharing"",""แผน!AR88"")"),3000)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IFERROR(__xludf.DUMMYFUNCTION("IMPORTRANGE(""https://docs.google.com/spreadsheets/d/1eHaY18a8A9IcSdp1K8H6x8fbOy06t2VsZHhMHf-1x7Y/edit?usp=sharing"",""แผน!AS88"")"),1500)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IFERROR(__xludf.DUMMYFUNCTION("IMPORTRANGE(""https://docs.google.com/spreadsheets/d/1eHaY18a8A9IcSdp1K8H6x8fbOy06t2VsZHhMHf-1x7Y/edit?usp=sharing"",""แผน!AT88"")"),0)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IFERROR(__xludf.DUMMYFUNCTION("IMPORTRANGE(""https://docs.google.com/spreadsheets/d/1eHaY18a8A9IcSdp1K8H6x8fbOy06t2VsZHhMHf-1x7Y/edit?usp=sharing"",""แผน!AV88"")"),10000)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IFERROR(__xludf.DUMMYFUNCTION("IMPORTRANGE(""https://docs.google.com/spreadsheets/d/1eHaY18a8A9IcSdp1K8H6x8fbOy06t2VsZHhMHf-1x7Y/edit?usp=sharing"",""แผน!AV88"")"),10000)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222"/>
      <c r="B231" s="223"/>
      <c r="C231" s="224" t="s">
        <v>105</v>
      </c>
      <c r="D231" s="225"/>
      <c r="E231" s="225"/>
      <c r="F231" s="225"/>
      <c r="G231" s="226"/>
      <c r="H231" s="227" t="s">
        <v>35</v>
      </c>
      <c r="I231" s="228">
        <f ca="1">I242+I253</f>
        <v>0</v>
      </c>
      <c r="J231" s="228">
        <f>J242+J253</f>
        <v>0</v>
      </c>
      <c r="K231" s="229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128"/>
      <c r="B232" s="41"/>
      <c r="C232" s="129" t="s">
        <v>18</v>
      </c>
      <c r="D232" s="591" t="s">
        <v>19</v>
      </c>
      <c r="E232" s="41"/>
      <c r="F232" s="41"/>
      <c r="G232" s="43"/>
      <c r="H232" s="232" t="s">
        <v>14</v>
      </c>
      <c r="I232" s="135"/>
      <c r="J232" s="135"/>
      <c r="K232" s="136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128"/>
      <c r="B233" s="159"/>
      <c r="C233" s="41"/>
      <c r="D233" s="48" t="s">
        <v>86</v>
      </c>
      <c r="E233" s="41"/>
      <c r="F233" s="41"/>
      <c r="G233" s="43"/>
      <c r="H233" s="134" t="s">
        <v>14</v>
      </c>
      <c r="I233" s="135"/>
      <c r="J233" s="135"/>
      <c r="K233" s="136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217"/>
      <c r="B234" s="159"/>
      <c r="C234" s="159"/>
      <c r="D234" s="48" t="s">
        <v>88</v>
      </c>
      <c r="E234" s="41"/>
      <c r="F234" s="41"/>
      <c r="G234" s="43"/>
      <c r="H234" s="134" t="s">
        <v>14</v>
      </c>
      <c r="I234" s="45"/>
      <c r="J234" s="45"/>
      <c r="K234" s="46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217"/>
      <c r="B235" s="159"/>
      <c r="C235" s="159"/>
      <c r="D235" s="48" t="s">
        <v>106</v>
      </c>
      <c r="E235" s="41"/>
      <c r="F235" s="41"/>
      <c r="G235" s="43"/>
      <c r="H235" s="134" t="s">
        <v>14</v>
      </c>
      <c r="I235" s="45"/>
      <c r="J235" s="45"/>
      <c r="K235" s="46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217"/>
      <c r="B236" s="159"/>
      <c r="C236" s="159"/>
      <c r="D236" s="48" t="s">
        <v>107</v>
      </c>
      <c r="E236" s="41"/>
      <c r="F236" s="41"/>
      <c r="G236" s="43"/>
      <c r="H236" s="134" t="s">
        <v>14</v>
      </c>
      <c r="I236" s="45"/>
      <c r="J236" s="45"/>
      <c r="K236" s="46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138"/>
      <c r="B237" s="139"/>
      <c r="C237" s="162" t="s">
        <v>18</v>
      </c>
      <c r="D237" s="563" t="s">
        <v>38</v>
      </c>
      <c r="E237" s="141"/>
      <c r="F237" s="141"/>
      <c r="G237" s="142"/>
      <c r="H237" s="143"/>
      <c r="I237" s="135"/>
      <c r="J237" s="45"/>
      <c r="K237" s="46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138"/>
      <c r="B238" s="139"/>
      <c r="C238" s="139"/>
      <c r="D238" s="149" t="s">
        <v>108</v>
      </c>
      <c r="E238" s="145"/>
      <c r="F238" s="145"/>
      <c r="G238" s="143"/>
      <c r="H238" s="150" t="s">
        <v>35</v>
      </c>
      <c r="I238" s="152">
        <f ca="1">I249+I260</f>
        <v>0</v>
      </c>
      <c r="J238" s="152">
        <f>J249+J260</f>
        <v>0</v>
      </c>
      <c r="K238" s="47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138"/>
      <c r="B239" s="139"/>
      <c r="C239" s="139"/>
      <c r="D239" s="248" t="s">
        <v>43</v>
      </c>
      <c r="E239" s="145"/>
      <c r="F239" s="145"/>
      <c r="G239" s="143"/>
      <c r="H239" s="143"/>
      <c r="I239" s="45"/>
      <c r="J239" s="45"/>
      <c r="K239" s="46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138"/>
      <c r="B240" s="139"/>
      <c r="C240" s="139"/>
      <c r="D240" s="139"/>
      <c r="E240" s="144" t="s">
        <v>109</v>
      </c>
      <c r="F240" s="145"/>
      <c r="G240" s="143"/>
      <c r="H240" s="150" t="s">
        <v>35</v>
      </c>
      <c r="I240" s="152">
        <f>I251+I262</f>
        <v>0</v>
      </c>
      <c r="J240" s="152">
        <f>J251+J262</f>
        <v>0</v>
      </c>
      <c r="K240" s="47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138"/>
      <c r="B241" s="139"/>
      <c r="C241" s="139"/>
      <c r="D241" s="139"/>
      <c r="E241" s="144" t="s">
        <v>110</v>
      </c>
      <c r="F241" s="145"/>
      <c r="G241" s="143"/>
      <c r="H241" s="150" t="s">
        <v>61</v>
      </c>
      <c r="I241" s="152">
        <f>I252+I263</f>
        <v>0</v>
      </c>
      <c r="J241" s="152">
        <f>J252+J263</f>
        <v>0</v>
      </c>
      <c r="K241" s="47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IFERROR(__xludf.DUMMYFUNCTION("IMPORTRANGE(""https://docs.google.com/spreadsheets/d/1eHaY18a8A9IcSdp1K8H6x8fbOy06t2VsZHhMHf-1x7Y/edit?usp=sharing"",""แผน!AX88"")"),0)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IFERROR(__xludf.DUMMYFUNCTION("IMPORTRANGE(""https://docs.google.com/spreadsheets/d/1eHaY18a8A9IcSdp1K8H6x8fbOy06t2VsZHhMHf-1x7Y/edit?usp=sharing"",""แผน!AY88"")"),0)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IFERROR(__xludf.DUMMYFUNCTION("IMPORTRANGE(""https://docs.google.com/spreadsheets/d/1eHaY18a8A9IcSdp1K8H6x8fbOy06t2VsZHhMHf-1x7Y/edit?usp=sharing"",""แผน!AZ88"")"),0)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IFERROR(__xludf.DUMMYFUNCTION("IMPORTRANGE(""https://docs.google.com/spreadsheets/d/1eHaY18a8A9IcSdp1K8H6x8fbOy06t2VsZHhMHf-1x7Y/edit?usp=sharing"",""แผน!BA88"")"),0)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IFERROR(__xludf.DUMMYFUNCTION("IMPORTRANGE(""https://docs.google.com/spreadsheets/d/1eHaY18a8A9IcSdp1K8H6x8fbOy06t2VsZHhMHf-1x7Y/edit?usp=sharing"",""แผน!BG88"")"),0)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IFERROR(__xludf.DUMMYFUNCTION("IMPORTRANGE(""https://docs.google.com/spreadsheets/d/1eHaY18a8A9IcSdp1K8H6x8fbOy06t2VsZHhMHf-1x7Y/edit?usp=sharing"",""แผน!BB88"")"),0)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IFERROR(__xludf.DUMMYFUNCTION("IMPORTRANGE(""https://docs.google.com/spreadsheets/d/1eHaY18a8A9IcSdp1K8H6x8fbOy06t2VsZHhMHf-1x7Y/edit?usp=sharing"",""แผน!BC88"")"),0)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IFERROR(__xludf.DUMMYFUNCTION("IMPORTRANGE(""https://docs.google.com/spreadsheets/d/1eHaY18a8A9IcSdp1K8H6x8fbOy06t2VsZHhMHf-1x7Y/edit?usp=sharing"",""แผน!BD88"")"),0)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IFERROR(__xludf.DUMMYFUNCTION("IMPORTRANGE(""https://docs.google.com/spreadsheets/d/1eHaY18a8A9IcSdp1K8H6x8fbOy06t2VsZHhMHf-1x7Y/edit?usp=sharing"",""แผน!BE88"")"),0)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IFERROR(__xludf.DUMMYFUNCTION("IMPORTRANGE(""https://docs.google.com/spreadsheets/d/1eHaY18a8A9IcSdp1K8H6x8fbOy06t2VsZHhMHf-1x7Y/edit?usp=sharing"",""แผน!BH88"")"),0)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50660</v>
      </c>
      <c r="R266" s="421">
        <f ca="1">R267+R268</f>
        <v>50660</v>
      </c>
      <c r="S266" s="421">
        <f ca="1">S267+S268</f>
        <v>43780</v>
      </c>
      <c r="T266" s="421">
        <f ca="1">IF(Q266&gt;0,S266*100/Q266,0)</f>
        <v>86.419265692854324</v>
      </c>
      <c r="U266" s="421">
        <f ca="1">IF(R266&gt;0,S266*100/R266,0)</f>
        <v>86.419265692854324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50660</v>
      </c>
      <c r="R268" s="331">
        <f ca="1">R271+R274</f>
        <v>50660</v>
      </c>
      <c r="S268" s="331">
        <f ca="1">S271+S274</f>
        <v>43780</v>
      </c>
      <c r="T268" s="331">
        <f ca="1">IF(Q268&gt;0,S268*100/Q268,0)</f>
        <v>86.419265692854324</v>
      </c>
      <c r="U268" s="331">
        <f ca="1">IF(R268&gt;0,S268*100/R268,0)</f>
        <v>86.419265692854324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50660</v>
      </c>
      <c r="R269" s="331">
        <f ca="1">R270+R271</f>
        <v>50660</v>
      </c>
      <c r="S269" s="331">
        <f ca="1">S270+S271</f>
        <v>43780</v>
      </c>
      <c r="T269" s="331">
        <f ca="1">IF(Q269&gt;0,S269*100/Q269,0)</f>
        <v>86.419265692854324</v>
      </c>
      <c r="U269" s="331">
        <f ca="1">IF(R269&gt;0,S269*100/R269,0)</f>
        <v>86.419265692854324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IFERROR(__xludf.DUMMYFUNCTION("IMPORTRANGE(""https://docs.google.com/spreadsheets/d/1-uDff_7J0KD5mKrp0Vvzr7lt3OU09vwQwhkpOPPYv2Y/edit?usp=sharing"",""งบพรบ!DE88"")"),5000)</f>
        <v>5000</v>
      </c>
      <c r="M271" s="331">
        <f ca="1">IFERROR(__xludf.DUMMYFUNCTION("IMPORTRANGE(""https://docs.google.com/spreadsheets/d/1-uDff_7J0KD5mKrp0Vvzr7lt3OU09vwQwhkpOPPYv2Y/edit?usp=sharing"",""งบพรบ!DJ88"")"),5000)</f>
        <v>5000</v>
      </c>
      <c r="N271" s="331">
        <f ca="1">IFERROR(__xludf.DUMMYFUNCTION("IMPORTRANGE(""https://docs.google.com/spreadsheets/d/1-uDff_7J0KD5mKrp0Vvzr7lt3OU09vwQwhkpOPPYv2Y/edit?usp=sharing"",""งบพรบ!DL88"")"),5000)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IFERROR(__xludf.DUMMYFUNCTION("IMPORTRANGE(""https://docs.google.com/spreadsheets/d/1ItG2mGa2ceCfYo0BwxsXqNm01IGEUdYcSSLTEv9YCik/edit?usp=sharing"",""เบิกจ่ายกองทุน!AP88"")"),50660)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IFERROR(__xludf.DUMMYFUNCTION("IMPORTRANGE(""https://docs.google.com/spreadsheets/d/1ItG2mGa2ceCfYo0BwxsXqNm01IGEUdYcSSLTEv9YCik/edit?usp=sharing"",""เบิกจ่ายกองทุน!AQ88"")"),50660)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IFERROR(__xludf.DUMMYFUNCTION("IMPORTRANGE(""https://docs.google.com/spreadsheets/d/1ItG2mGa2ceCfYo0BwxsXqNm01IGEUdYcSSLTEv9YCik/edit?usp=sharing"",""เบิกจ่ายกองทุน!AR88"")"),43780)</f>
        <v>43780</v>
      </c>
      <c r="T271" s="331">
        <f ca="1">IF(Q271&gt;0,S271*100/Q271,0)</f>
        <v>86.419265692854324</v>
      </c>
      <c r="U271" s="331">
        <f ca="1">IF(R271&gt;0,S271*100/R271,0)</f>
        <v>86.419265692854324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IFERROR(__xludf.DUMMYFUNCTION("IMPORTRANGE(""https://docs.google.com/spreadsheets/d/1-uDff_7J0KD5mKrp0Vvzr7lt3OU09vwQwhkpOPPYv2Y/edit?usp=sharing"",""งบพรบ!DH88"")"),0)</f>
        <v>0</v>
      </c>
      <c r="M274" s="331">
        <f ca="1">IFERROR(__xludf.DUMMYFUNCTION("IMPORTRANGE(""https://docs.google.com/spreadsheets/d/1-uDff_7J0KD5mKrp0Vvzr7lt3OU09vwQwhkpOPPYv2Y/edit?usp=sharing"",""งบพรบ!DK88"")"),0)</f>
        <v>0</v>
      </c>
      <c r="N274" s="331">
        <f ca="1">IFERROR(__xludf.DUMMYFUNCTION("IMPORTRANGE(""https://docs.google.com/spreadsheets/d/1-uDff_7J0KD5mKrp0Vvzr7lt3OU09vwQwhkpOPPYv2Y/edit?usp=sharing"",""งบพรบ!DM88"")"),0)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IFERROR(__xludf.DUMMYFUNCTION("IMPORTRANGE(""https://docs.google.com/spreadsheets/d/1eHaY18a8A9IcSdp1K8H6x8fbOy06t2VsZHhMHf-1x7Y/edit?usp=sharing"",""แผน!EC88"")"),22)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10</v>
      </c>
      <c r="J280" s="288">
        <f>J293</f>
        <v>10</v>
      </c>
      <c r="K280" s="289">
        <f ca="1">IF(I280&gt;0,J280*100/I280,0)</f>
        <v>100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100</v>
      </c>
      <c r="J281" s="288">
        <f>J292</f>
        <v>100</v>
      </c>
      <c r="K281" s="289">
        <f ca="1">IF(I281&gt;0,J281*100/I281,0)</f>
        <v>100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x14ac:dyDescent="0.3">
      <c r="A282" s="128"/>
      <c r="B282" s="41"/>
      <c r="C282" s="386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415220</v>
      </c>
      <c r="M282" s="132">
        <f ca="1">M283+M284</f>
        <v>415220</v>
      </c>
      <c r="N282" s="132">
        <f ca="1">N283+N284</f>
        <v>332373.83</v>
      </c>
      <c r="O282" s="132">
        <f ca="1">IF(L282&gt;0,N282*100/L282,0)</f>
        <v>80.047644622128033</v>
      </c>
      <c r="P282" s="132">
        <f ca="1">IF(M282&gt;0,N282*100/M282,0)</f>
        <v>80.047644622128033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415220</v>
      </c>
      <c r="M284" s="47">
        <f ca="1">M287+M290</f>
        <v>415220</v>
      </c>
      <c r="N284" s="47">
        <f ca="1">N287+N290</f>
        <v>332373.83</v>
      </c>
      <c r="O284" s="47">
        <f ca="1">IF(L284&gt;0,N284*100/L284,0)</f>
        <v>80.047644622128033</v>
      </c>
      <c r="P284" s="47">
        <f ca="1">IF(M284&gt;0,N284*100/M284,0)</f>
        <v>80.047644622128033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415220</v>
      </c>
      <c r="M285" s="47">
        <f ca="1">M286+M287</f>
        <v>415220</v>
      </c>
      <c r="N285" s="47">
        <f ca="1">N286+N287</f>
        <v>332373.83</v>
      </c>
      <c r="O285" s="47">
        <f ca="1">IF(L285&gt;0,N285*100/L285,0)</f>
        <v>80.047644622128033</v>
      </c>
      <c r="P285" s="47">
        <f ca="1">IF(M285&gt;0,N285*100/M285,0)</f>
        <v>80.047644622128033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IFERROR(__xludf.DUMMYFUNCTION("IMPORTRANGE(""https://docs.google.com/spreadsheets/d/1-uDff_7J0KD5mKrp0Vvzr7lt3OU09vwQwhkpOPPYv2Y/edit?usp=sharing"",""งบพรบ!DO88"")"),415220)</f>
        <v>415220</v>
      </c>
      <c r="M287" s="47">
        <f ca="1">IFERROR(__xludf.DUMMYFUNCTION("IMPORTRANGE(""https://docs.google.com/spreadsheets/d/1-uDff_7J0KD5mKrp0Vvzr7lt3OU09vwQwhkpOPPYv2Y/edit?usp=sharing"",""งบพรบ!DT88"")"),415220)</f>
        <v>415220</v>
      </c>
      <c r="N287" s="47">
        <f ca="1">IFERROR(__xludf.DUMMYFUNCTION("IMPORTRANGE(""https://docs.google.com/spreadsheets/d/1-uDff_7J0KD5mKrp0Vvzr7lt3OU09vwQwhkpOPPYv2Y/edit?usp=sharing"",""งบพรบ!DV88"")"),332373.83)</f>
        <v>332373.83</v>
      </c>
      <c r="O287" s="47">
        <f ca="1">IF(L287&gt;0,N287*100/L287,0)</f>
        <v>80.047644622128033</v>
      </c>
      <c r="P287" s="47">
        <f ca="1">IF(M287&gt;0,N287*100/M287,0)</f>
        <v>80.047644622128033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IFERROR(__xludf.DUMMYFUNCTION("IMPORTRANGE(""https://docs.google.com/spreadsheets/d/1-uDff_7J0KD5mKrp0Vvzr7lt3OU09vwQwhkpOPPYv2Y/edit?usp=sharing"",""งบพรบ!DR88"")"),0)</f>
        <v>0</v>
      </c>
      <c r="M290" s="47">
        <f ca="1">IFERROR(__xludf.DUMMYFUNCTION("IMPORTRANGE(""https://docs.google.com/spreadsheets/d/1-uDff_7J0KD5mKrp0Vvzr7lt3OU09vwQwhkpOPPYv2Y/edit?usp=sharing"",""งบพรบ!DU88"")"),0)</f>
        <v>0</v>
      </c>
      <c r="N290" s="47">
        <f ca="1">IFERROR(__xludf.DUMMYFUNCTION("IMPORTRANGE(""https://docs.google.com/spreadsheets/d/1-uDff_7J0KD5mKrp0Vvzr7lt3OU09vwQwhkpOPPYv2Y/edit?usp=sharing"",""งบพรบ!DW88"")"),0)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x14ac:dyDescent="0.3">
      <c r="A291" s="138"/>
      <c r="B291" s="139"/>
      <c r="C291" s="386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IFERROR(__xludf.DUMMYFUNCTION("IMPORTRANGE(""https://docs.google.com/spreadsheets/d/1eHaY18a8A9IcSdp1K8H6x8fbOy06t2VsZHhMHf-1x7Y/edit?usp=sharing"",""แผน!EE88"")"),100)</f>
        <v>100</v>
      </c>
      <c r="J292" s="167">
        <v>100</v>
      </c>
      <c r="K292" s="153">
        <f ca="1">IF(I292&gt;0,J292*100/I292,0)</f>
        <v>100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IFERROR(__xludf.DUMMYFUNCTION("IMPORTRANGE(""https://docs.google.com/spreadsheets/d/1eHaY18a8A9IcSdp1K8H6x8fbOy06t2VsZHhMHf-1x7Y/edit?usp=sharing"",""แผน!ED88"")"),10)</f>
        <v>10</v>
      </c>
      <c r="J293" s="147">
        <f>J296</f>
        <v>10</v>
      </c>
      <c r="K293" s="148">
        <f ca="1">IF(I293&gt;0,J293*100/I293,0)</f>
        <v>100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IFERROR(__xludf.DUMMYFUNCTION("IMPORTRANGE(""https://docs.google.com/spreadsheets/d/1eHaY18a8A9IcSdp1K8H6x8fbOy06t2VsZHhMHf-1x7Y/edit?usp=sharing"",""แผน!ED88"")"),10)</f>
        <v>10</v>
      </c>
      <c r="J295" s="167">
        <v>10</v>
      </c>
      <c r="K295" s="153">
        <f ca="1">IF(I295&gt;0,J295*100/I295,0)</f>
        <v>100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IFERROR(__xludf.DUMMYFUNCTION("IMPORTRANGE(""https://docs.google.com/spreadsheets/d/1eHaY18a8A9IcSdp1K8H6x8fbOy06t2VsZHhMHf-1x7Y/edit?usp=sharing"",""แผน!ED88"")"),10)</f>
        <v>10</v>
      </c>
      <c r="J296" s="167">
        <v>10</v>
      </c>
      <c r="K296" s="153">
        <f ca="1">IF(I296&gt;0,J296*100/I296,0)</f>
        <v>100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264500</v>
      </c>
      <c r="M303" s="132">
        <f ca="1">M304+M305</f>
        <v>264500</v>
      </c>
      <c r="N303" s="132">
        <f ca="1">N304+N305</f>
        <v>163633.32999999999</v>
      </c>
      <c r="O303" s="132">
        <f ca="1">IF(L303&gt;0,N303*100/L303,0)</f>
        <v>61.865153119092618</v>
      </c>
      <c r="P303" s="132">
        <f ca="1">IF(M303&gt;0,N303*100/M303,0)</f>
        <v>61.865153119092618</v>
      </c>
      <c r="Q303" s="132">
        <f ca="1">Q304+Q305</f>
        <v>144609.24</v>
      </c>
      <c r="R303" s="132">
        <f ca="1">R304+R305</f>
        <v>144609</v>
      </c>
      <c r="S303" s="132">
        <f ca="1">S304+S305</f>
        <v>114045</v>
      </c>
      <c r="T303" s="132">
        <f ca="1">IF(Q303&gt;0,S303*100/Q303,0)</f>
        <v>78.864255147181467</v>
      </c>
      <c r="U303" s="132">
        <f ca="1">IF(R303&gt;0,S303*100/R303,0)</f>
        <v>78.864386034064268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264500</v>
      </c>
      <c r="M305" s="47">
        <f ca="1">M308+M311</f>
        <v>264500</v>
      </c>
      <c r="N305" s="47">
        <f ca="1">N308+N311</f>
        <v>163633.32999999999</v>
      </c>
      <c r="O305" s="47">
        <f ca="1">IF(L305&gt;0,N305*100/L305,0)</f>
        <v>61.865153119092618</v>
      </c>
      <c r="P305" s="47">
        <f ca="1">IF(M305&gt;0,N305*100/M305,0)</f>
        <v>61.865153119092618</v>
      </c>
      <c r="Q305" s="47">
        <f ca="1">Q308+Q311</f>
        <v>144609.24</v>
      </c>
      <c r="R305" s="47">
        <f ca="1">R308+R311</f>
        <v>144609</v>
      </c>
      <c r="S305" s="47">
        <f ca="1">S308+S311</f>
        <v>114045</v>
      </c>
      <c r="T305" s="47">
        <f ca="1">IF(Q305&gt;0,S305*100/Q305,0)</f>
        <v>78.864255147181467</v>
      </c>
      <c r="U305" s="47">
        <f ca="1">IF(R305&gt;0,S305*100/R305,0)</f>
        <v>78.864386034064268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264500</v>
      </c>
      <c r="M306" s="47">
        <f ca="1">M307+M308</f>
        <v>264500</v>
      </c>
      <c r="N306" s="47">
        <f ca="1">N307+N308</f>
        <v>163633.32999999999</v>
      </c>
      <c r="O306" s="47">
        <f ca="1">IF(L306&gt;0,N306*100/L306,0)</f>
        <v>61.865153119092618</v>
      </c>
      <c r="P306" s="47">
        <f ca="1">IF(M306&gt;0,N306*100/M306,0)</f>
        <v>61.865153119092618</v>
      </c>
      <c r="Q306" s="47">
        <f ca="1">Q307+Q308</f>
        <v>144609.24</v>
      </c>
      <c r="R306" s="47">
        <f ca="1">R307+R308</f>
        <v>144609</v>
      </c>
      <c r="S306" s="47">
        <f ca="1">S307+S308</f>
        <v>114045</v>
      </c>
      <c r="T306" s="47">
        <f ca="1">IF(Q306&gt;0,S306*100/Q306,0)</f>
        <v>78.864255147181467</v>
      </c>
      <c r="U306" s="47">
        <f ca="1">IF(R306&gt;0,S306*100/R306,0)</f>
        <v>78.864386034064268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IFERROR(__xludf.DUMMYFUNCTION("IMPORTRANGE(""https://docs.google.com/spreadsheets/d/1-uDff_7J0KD5mKrp0Vvzr7lt3OU09vwQwhkpOPPYv2Y/edit?usp=sharing"",""งบพรบ!DY88"")"),264500)</f>
        <v>264500</v>
      </c>
      <c r="M308" s="47">
        <f ca="1">IFERROR(__xludf.DUMMYFUNCTION("IMPORTRANGE(""https://docs.google.com/spreadsheets/d/1-uDff_7J0KD5mKrp0Vvzr7lt3OU09vwQwhkpOPPYv2Y/edit?usp=sharing"",""งบพรบ!ED88"")"),264500)</f>
        <v>264500</v>
      </c>
      <c r="N308" s="47">
        <f ca="1">IFERROR(__xludf.DUMMYFUNCTION("IMPORTRANGE(""https://docs.google.com/spreadsheets/d/1-uDff_7J0KD5mKrp0Vvzr7lt3OU09vwQwhkpOPPYv2Y/edit?usp=sharing"",""งบพรบ!EF88"")"),163633.33)</f>
        <v>163633.32999999999</v>
      </c>
      <c r="O308" s="47">
        <f ca="1">IF(L308&gt;0,N308*100/L308,0)</f>
        <v>61.865153119092618</v>
      </c>
      <c r="P308" s="47">
        <f ca="1">IF(M308&gt;0,N308*100/M308,0)</f>
        <v>61.865153119092618</v>
      </c>
      <c r="Q308" s="47">
        <f ca="1">IFERROR(__xludf.DUMMYFUNCTION("IMPORTRANGE(""https://docs.google.com/spreadsheets/d/1ItG2mGa2ceCfYo0BwxsXqNm01IGEUdYcSSLTEv9YCik/edit?usp=sharing"",""เบิกจ่ายกองทุน!BB88"")"),144609.24)</f>
        <v>144609.24</v>
      </c>
      <c r="R308" s="47">
        <f ca="1">IFERROR(__xludf.DUMMYFUNCTION("IMPORTRANGE(""https://docs.google.com/spreadsheets/d/1ItG2mGa2ceCfYo0BwxsXqNm01IGEUdYcSSLTEv9YCik/edit?usp=sharing"",""เบิกจ่ายกองทุน!BC88"")"),144609)</f>
        <v>144609</v>
      </c>
      <c r="S308" s="47">
        <f ca="1">IFERROR(__xludf.DUMMYFUNCTION("IMPORTRANGE(""https://docs.google.com/spreadsheets/d/1ItG2mGa2ceCfYo0BwxsXqNm01IGEUdYcSSLTEv9YCik/edit?usp=sharing"",""เบิกจ่ายกองทุน!BD88"")"),114045)</f>
        <v>114045</v>
      </c>
      <c r="T308" s="47">
        <f ca="1">IF(Q308&gt;0,S308*100/Q308,0)</f>
        <v>78.864255147181467</v>
      </c>
      <c r="U308" s="47">
        <f ca="1">IF(R308&gt;0,S308*100/R308,0)</f>
        <v>78.864386034064268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IFERROR(__xludf.DUMMYFUNCTION("IMPORTRANGE(""https://docs.google.com/spreadsheets/d/1-uDff_7J0KD5mKrp0Vvzr7lt3OU09vwQwhkpOPPYv2Y/edit?usp=sharing"",""งบพรบ!EB88"")"),0)</f>
        <v>0</v>
      </c>
      <c r="M311" s="47">
        <f ca="1">IFERROR(__xludf.DUMMYFUNCTION("IMPORTRANGE(""https://docs.google.com/spreadsheets/d/1-uDff_7J0KD5mKrp0Vvzr7lt3OU09vwQwhkpOPPYv2Y/edit?usp=sharing"",""งบพรบ!EE88"")"),0)</f>
        <v>0</v>
      </c>
      <c r="N311" s="47">
        <f ca="1">IFERROR(__xludf.DUMMYFUNCTION("IMPORTRANGE(""https://docs.google.com/spreadsheets/d/1-uDff_7J0KD5mKrp0Vvzr7lt3OU09vwQwhkpOPPYv2Y/edit?usp=sharing"",""งบพรบ!EG88"")"),0)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IFERROR(__xludf.DUMMYFUNCTION("IMPORTRANGE(""https://docs.google.com/spreadsheets/d/1eHaY18a8A9IcSdp1K8H6x8fbOy06t2VsZHhMHf-1x7Y/edit?usp=sharing"",""แผน!EF88"")"),20)</f>
        <v>20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125000</v>
      </c>
      <c r="M320" s="132">
        <f ca="1">M321+M322</f>
        <v>125000</v>
      </c>
      <c r="N320" s="132">
        <f ca="1">N321+N322</f>
        <v>67100.990000000005</v>
      </c>
      <c r="O320" s="132">
        <f ca="1">IF(L320&gt;0,N320*100/L320,0)</f>
        <v>53.680792000000011</v>
      </c>
      <c r="P320" s="132">
        <f ca="1">IF(M320&gt;0,N320*100/M320,0)</f>
        <v>53.680792000000011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125000</v>
      </c>
      <c r="M322" s="47">
        <f ca="1">M325+M328</f>
        <v>125000</v>
      </c>
      <c r="N322" s="47">
        <f ca="1">N325+N328</f>
        <v>67100.990000000005</v>
      </c>
      <c r="O322" s="47">
        <f ca="1">IF(L322&gt;0,N322*100/L322,0)</f>
        <v>53.680792000000011</v>
      </c>
      <c r="P322" s="47">
        <f ca="1">IF(M322&gt;0,N322*100/M322,0)</f>
        <v>53.680792000000011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67100.990000000005</v>
      </c>
      <c r="O323" s="47">
        <f ca="1">IF(L323&gt;0,N323*100/L323,0)</f>
        <v>53.680792000000011</v>
      </c>
      <c r="P323" s="47">
        <f ca="1">IF(M323&gt;0,N323*100/M323,0)</f>
        <v>53.680792000000011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IFERROR(__xludf.DUMMYFUNCTION("IMPORTRANGE(""https://docs.google.com/spreadsheets/d/1-uDff_7J0KD5mKrp0Vvzr7lt3OU09vwQwhkpOPPYv2Y/edit?usp=sharing"",""งบพรบ!EI88"")"),125000)</f>
        <v>125000</v>
      </c>
      <c r="M325" s="47">
        <f ca="1">IFERROR(__xludf.DUMMYFUNCTION("IMPORTRANGE(""https://docs.google.com/spreadsheets/d/1-uDff_7J0KD5mKrp0Vvzr7lt3OU09vwQwhkpOPPYv2Y/edit?usp=sharing"",""งบพรบ!EN88"")"),125000)</f>
        <v>125000</v>
      </c>
      <c r="N325" s="47">
        <f ca="1">IFERROR(__xludf.DUMMYFUNCTION("IMPORTRANGE(""https://docs.google.com/spreadsheets/d/1-uDff_7J0KD5mKrp0Vvzr7lt3OU09vwQwhkpOPPYv2Y/edit?usp=sharing"",""งบพรบ!EP88"")"),67100.99)</f>
        <v>67100.990000000005</v>
      </c>
      <c r="O325" s="47">
        <f ca="1">IF(L325&gt;0,N325*100/L325,0)</f>
        <v>53.680792000000011</v>
      </c>
      <c r="P325" s="47">
        <f ca="1">IF(M325&gt;0,N325*100/M325,0)</f>
        <v>53.680792000000011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IFERROR(__xludf.DUMMYFUNCTION("IMPORTRANGE(""https://docs.google.com/spreadsheets/d/1-uDff_7J0KD5mKrp0Vvzr7lt3OU09vwQwhkpOPPYv2Y/edit?usp=sharing"",""งบพรบ!EL88"")"),0)</f>
        <v>0</v>
      </c>
      <c r="M328" s="47">
        <f ca="1">IFERROR(__xludf.DUMMYFUNCTION("IMPORTRANGE(""https://docs.google.com/spreadsheets/d/1-uDff_7J0KD5mKrp0Vvzr7lt3OU09vwQwhkpOPPYv2Y/edit?usp=sharing"",""งบพรบ!EO88"")"),0)</f>
        <v>0</v>
      </c>
      <c r="N328" s="47">
        <f ca="1">IFERROR(__xludf.DUMMYFUNCTION("IMPORTRANGE(""https://docs.google.com/spreadsheets/d/1-uDff_7J0KD5mKrp0Vvzr7lt3OU09vwQwhkpOPPYv2Y/edit?usp=sharing"",""งบพรบ!EQ88"")"),0)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IFERROR(__xludf.DUMMYFUNCTION("IMPORTRANGE(""https://docs.google.com/spreadsheets/d/1eHaY18a8A9IcSdp1K8H6x8fbOy06t2VsZHhMHf-1x7Y/edit?usp=sharing"",""แผน!EJ88"")"),1)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3200</v>
      </c>
      <c r="J332" s="697">
        <f ca="1">J344+J347+J348+J349+J353</f>
        <v>13868</v>
      </c>
      <c r="K332" s="696">
        <f ca="1">IF(I332&gt;0,J332*100/I332,0)</f>
        <v>433.375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194000</v>
      </c>
      <c r="M333" s="132">
        <f ca="1">M334+M335</f>
        <v>194000</v>
      </c>
      <c r="N333" s="132">
        <f ca="1">N334+N335</f>
        <v>117193.34</v>
      </c>
      <c r="O333" s="132">
        <f ca="1">IF(L333&gt;0,N333*100/L333,0)</f>
        <v>60.408938144329895</v>
      </c>
      <c r="P333" s="132">
        <f ca="1">IF(M333&gt;0,N333*100/M333,0)</f>
        <v>60.408938144329895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194000</v>
      </c>
      <c r="M335" s="47">
        <f ca="1">M338+M341</f>
        <v>194000</v>
      </c>
      <c r="N335" s="47">
        <f ca="1">N338+N341</f>
        <v>117193.34</v>
      </c>
      <c r="O335" s="47">
        <f ca="1">IF(L335&gt;0,N335*100/L335,0)</f>
        <v>60.408938144329895</v>
      </c>
      <c r="P335" s="47">
        <f ca="1">IF(M335&gt;0,N335*100/M335,0)</f>
        <v>60.408938144329895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194000</v>
      </c>
      <c r="M336" s="47">
        <f ca="1">M337+M338</f>
        <v>194000</v>
      </c>
      <c r="N336" s="47">
        <f ca="1">N337+N338</f>
        <v>117193.34</v>
      </c>
      <c r="O336" s="47">
        <f ca="1">IF(L336&gt;0,N336*100/L336,0)</f>
        <v>60.408938144329895</v>
      </c>
      <c r="P336" s="47">
        <f ca="1">IF(M336&gt;0,N336*100/M336,0)</f>
        <v>60.408938144329895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IFERROR(__xludf.DUMMYFUNCTION("IMPORTRANGE(""https://docs.google.com/spreadsheets/d/1-uDff_7J0KD5mKrp0Vvzr7lt3OU09vwQwhkpOPPYv2Y/edit?usp=sharing"",""งบพรบ!ES88"")"),194000)</f>
        <v>194000</v>
      </c>
      <c r="M338" s="47">
        <f ca="1">IFERROR(__xludf.DUMMYFUNCTION("IMPORTRANGE(""https://docs.google.com/spreadsheets/d/1-uDff_7J0KD5mKrp0Vvzr7lt3OU09vwQwhkpOPPYv2Y/edit?usp=sharing"",""งบพรบ!EX88"")"),194000)</f>
        <v>194000</v>
      </c>
      <c r="N338" s="47">
        <f ca="1">IFERROR(__xludf.DUMMYFUNCTION("IMPORTRANGE(""https://docs.google.com/spreadsheets/d/1-uDff_7J0KD5mKrp0Vvzr7lt3OU09vwQwhkpOPPYv2Y/edit?usp=sharing"",""งบพรบ!EZ88"")"),117193.34)</f>
        <v>117193.34</v>
      </c>
      <c r="O338" s="47">
        <f ca="1">IF(L338&gt;0,N338*100/L338,0)</f>
        <v>60.408938144329895</v>
      </c>
      <c r="P338" s="47">
        <f ca="1">IF(M338&gt;0,N338*100/M338,0)</f>
        <v>60.408938144329895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IFERROR(__xludf.DUMMYFUNCTION("IMPORTRANGE(""https://docs.google.com/spreadsheets/d/1-uDff_7J0KD5mKrp0Vvzr7lt3OU09vwQwhkpOPPYv2Y/edit?usp=sharing"",""งบพรบ!EV88"")"),0)</f>
        <v>0</v>
      </c>
      <c r="M341" s="47">
        <f ca="1">IFERROR(__xludf.DUMMYFUNCTION("IMPORTRANGE(""https://docs.google.com/spreadsheets/d/1-uDff_7J0KD5mKrp0Vvzr7lt3OU09vwQwhkpOPPYv2Y/edit?usp=sharing"",""งบพรบ!EY88"")"),0)</f>
        <v>0</v>
      </c>
      <c r="N341" s="47">
        <f ca="1">IFERROR(__xludf.DUMMYFUNCTION("IMPORTRANGE(""https://docs.google.com/spreadsheets/d/1-uDff_7J0KD5mKrp0Vvzr7lt3OU09vwQwhkpOPPYv2Y/edit?usp=sharing"",""งบพรบ!FA88"")"),0)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7030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IFERROR(__xludf.DUMMYFUNCTION("IMPORTRANGE(""https://docs.google.com/spreadsheets/d/1eHaY18a8A9IcSdp1K8H6x8fbOy06t2VsZHhMHf-1x7Y/edit?usp=sharing"",""แผน!EK88"")"),3200)</f>
        <v>3200</v>
      </c>
      <c r="J344" s="152">
        <f ca="1">IFERROR(__xludf.DUMMYFUNCTION("IMPORTRANGE(""https://docs.google.com/spreadsheets/d/1awYsYK3VOup2i3Pq_Yjnu8DRu_mYwSBnCR2QPthd0rU/edit?usp=sharing"",""ศูนย์ยกเว้นโฉนด!D88"")"),6896)</f>
        <v>6896</v>
      </c>
      <c r="K344" s="47">
        <f ca="1">IF(I344&gt;0,J344*100/I344,0)</f>
        <v>215.5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IFERROR(__xludf.DUMMYFUNCTION("IMPORTRANGE(""https://docs.google.com/spreadsheets/d/1eHaY18a8A9IcSdp1K8H6x8fbOy06t2VsZHhMHf-1x7Y/edit?usp=sharing"",""แผน!EL88"")"),5)</f>
        <v>5</v>
      </c>
      <c r="J346" s="152">
        <f ca="1">IFERROR(__xludf.DUMMYFUNCTION("IMPORTRANGE(""https://docs.google.com/spreadsheets/d/1awYsYK3VOup2i3Pq_Yjnu8DRu_mYwSBnCR2QPthd0rU/edit?usp=sharing"",""ศูนย์รวม!E88"")"),8)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IFERROR(__xludf.DUMMYFUNCTION("IMPORTRANGE(""https://docs.google.com/spreadsheets/d/1awYsYK3VOup2i3Pq_Yjnu8DRu_mYwSBnCR2QPthd0rU/edit?usp=sharing"",""ศูนย์ยกเว้นโฉนด!F88"")"),0)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IFERROR(__xludf.DUMMYFUNCTION("IMPORTRANGE(""https://docs.google.com/spreadsheets/d/1awYsYK3VOup2i3Pq_Yjnu8DRu_mYwSBnCR2QPthd0rU/edit?usp=sharing"",""ศูนย์ยกเว้นโฉนด!G88"")"),2)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IFERROR(__xludf.DUMMYFUNCTION("IMPORTRANGE(""https://docs.google.com/spreadsheets/d/1awYsYK3VOup2i3Pq_Yjnu8DRu_mYwSBnCR2QPthd0rU/edit?usp=sharing"",""ศูนย์ยกเว้นโฉนด!H88"")"),132)</f>
        <v>132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9245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IFERROR(__xludf.DUMMYFUNCTION("IMPORTRANGE(""https://docs.google.com/spreadsheets/d/1awYsYK3VOup2i3Pq_Yjnu8DRu_mYwSBnCR2QPthd0rU/edit?usp=sharing"",""โฉนดM3!G88"")"),2407)</f>
        <v>2407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IFERROR(__xludf.DUMMYFUNCTION("IMPORTRANGE(""https://docs.google.com/spreadsheets/d/1awYsYK3VOup2i3Pq_Yjnu8DRu_mYwSBnCR2QPthd0rU/edit?usp=sharing"",""โฉนดM3!H88"")"),6838)</f>
        <v>6838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1057580</v>
      </c>
      <c r="M356" s="132">
        <f ca="1">M357+M358</f>
        <v>1086280</v>
      </c>
      <c r="N356" s="132">
        <f ca="1">N357+N358</f>
        <v>741683.37</v>
      </c>
      <c r="O356" s="132">
        <f ca="1">IF(L356&gt;0,N356*100/L356,0)</f>
        <v>70.130237901624469</v>
      </c>
      <c r="P356" s="132">
        <f ca="1">IF(M356&gt;0,N356*100/M356,0)</f>
        <v>68.277365872519056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1057580</v>
      </c>
      <c r="M358" s="47">
        <f ca="1">M361+M364</f>
        <v>1086280</v>
      </c>
      <c r="N358" s="47">
        <f ca="1">N361+N364</f>
        <v>741683.37</v>
      </c>
      <c r="O358" s="47">
        <f ca="1">IF(L358&gt;0,N358*100/L358,0)</f>
        <v>70.130237901624469</v>
      </c>
      <c r="P358" s="47">
        <f ca="1">IF(M358&gt;0,N358*100/M358,0)</f>
        <v>68.277365872519056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1057580</v>
      </c>
      <c r="M359" s="47">
        <f ca="1">M360+M361</f>
        <v>1086280</v>
      </c>
      <c r="N359" s="47">
        <f ca="1">N360+N361</f>
        <v>741683.37</v>
      </c>
      <c r="O359" s="47">
        <f ca="1">IF(L359&gt;0,N359*100/L359,0)</f>
        <v>70.130237901624469</v>
      </c>
      <c r="P359" s="47">
        <f ca="1">IF(M359&gt;0,N359*100/M359,0)</f>
        <v>68.277365872519056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IFERROR(__xludf.DUMMYFUNCTION("IMPORTRANGE(""https://docs.google.com/spreadsheets/d/1-uDff_7J0KD5mKrp0Vvzr7lt3OU09vwQwhkpOPPYv2Y/edit?usp=sharing"",""งบพรบ!FC88"")"),1057580)</f>
        <v>1057580</v>
      </c>
      <c r="M361" s="47">
        <f ca="1">IFERROR(__xludf.DUMMYFUNCTION("IMPORTRANGE(""https://docs.google.com/spreadsheets/d/1-uDff_7J0KD5mKrp0Vvzr7lt3OU09vwQwhkpOPPYv2Y/edit?usp=sharing"",""งบพรบ!FH88"")"),1086280)</f>
        <v>1086280</v>
      </c>
      <c r="N361" s="47">
        <f ca="1">IFERROR(__xludf.DUMMYFUNCTION("IMPORTRANGE(""https://docs.google.com/spreadsheets/d/1-uDff_7J0KD5mKrp0Vvzr7lt3OU09vwQwhkpOPPYv2Y/edit?usp=sharing"",""งบพรบ!FJ88"")"),741683.37)</f>
        <v>741683.37</v>
      </c>
      <c r="O361" s="47">
        <f ca="1">IF(L361&gt;0,N361*100/L361,0)</f>
        <v>70.130237901624469</v>
      </c>
      <c r="P361" s="47">
        <f ca="1">IF(M361&gt;0,N361*100/M361,0)</f>
        <v>68.277365872519056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IFERROR(__xludf.DUMMYFUNCTION("IMPORTRANGE(""https://docs.google.com/spreadsheets/d/1-uDff_7J0KD5mKrp0Vvzr7lt3OU09vwQwhkpOPPYv2Y/edit?usp=sharing"",""งบพรบ!FF88"")"),0)</f>
        <v>0</v>
      </c>
      <c r="M364" s="47">
        <f ca="1">IFERROR(__xludf.DUMMYFUNCTION("IMPORTRANGE(""https://docs.google.com/spreadsheets/d/1-uDff_7J0KD5mKrp0Vvzr7lt3OU09vwQwhkpOPPYv2Y/edit?usp=sharing"",""งบพรบ!FI88"")"),0)</f>
        <v>0</v>
      </c>
      <c r="N364" s="47">
        <f ca="1">IFERROR(__xludf.DUMMYFUNCTION("IMPORTRANGE(""https://docs.google.com/spreadsheets/d/1-uDff_7J0KD5mKrp0Vvzr7lt3OU09vwQwhkpOPPYv2Y/edit?usp=sharing"",""งบพรบ!FK88"")"),0)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1286</v>
      </c>
      <c r="J365" s="228">
        <f ca="1">J371</f>
        <v>1027</v>
      </c>
      <c r="K365" s="229">
        <f ca="1">IF(I365&gt;0,J365*100/I365,0)</f>
        <v>79.860031104199066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IFERROR(__xludf.DUMMYFUNCTION("IMPORTRANGE(""https://docs.google.com/spreadsheets/d/1tdoBKaGub7dwA3U6UFTqxio9LNnvDCQjHKmttSEBsFQ/edit?usp=sharing"",""จัดที่ดิน!AB88"")"),413)</f>
        <v>413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IFERROR(__xludf.DUMMYFUNCTION("IMPORTRANGE(""https://docs.google.com/spreadsheets/d/1eHaY18a8A9IcSdp1K8H6x8fbOy06t2VsZHhMHf-1x7Y/edit?usp=sharing"",""แผน!EW88"")"),3600)</f>
        <v>3600</v>
      </c>
      <c r="J368" s="685">
        <f ca="1">IFERROR(__xludf.DUMMYFUNCTION("IMPORTRANGE(""https://docs.google.com/spreadsheets/d/1tdoBKaGub7dwA3U6UFTqxio9LNnvDCQjHKmttSEBsFQ/edit?usp=sharing"",""จัดที่ดิน!AC88"")"),4588.18)</f>
        <v>4588.18</v>
      </c>
      <c r="K368" s="47">
        <f ca="1">IF(I368&gt;0,J368*100/I368,0)</f>
        <v>127.44944444444444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IFERROR(__xludf.DUMMYFUNCTION("IMPORTRANGE(""https://docs.google.com/spreadsheets/d/1eHaY18a8A9IcSdp1K8H6x8fbOy06t2VsZHhMHf-1x7Y/edit?usp=sharing"",""แผน!EX88"")"),1286)</f>
        <v>1286</v>
      </c>
      <c r="J369" s="152">
        <f ca="1">IFERROR(__xludf.DUMMYFUNCTION("IMPORTRANGE(""https://docs.google.com/spreadsheets/d/1tdoBKaGub7dwA3U6UFTqxio9LNnvDCQjHKmttSEBsFQ/edit?usp=sharing"",""จัดที่ดิน!AD88"")"),1097)</f>
        <v>1097</v>
      </c>
      <c r="K369" s="47">
        <f ca="1">IF(I369&gt;0,J369*100/I369,0)</f>
        <v>85.303265940902023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IFERROR(__xludf.DUMMYFUNCTION("IMPORTRANGE(""https://docs.google.com/spreadsheets/d/1tdoBKaGub7dwA3U6UFTqxio9LNnvDCQjHKmttSEBsFQ/edit?usp=sharing"",""จัดที่ดิน!AE88"")"),15441.85)</f>
        <v>15441.85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IFERROR(__xludf.DUMMYFUNCTION("IMPORTRANGE(""https://docs.google.com/spreadsheets/d/1eHaY18a8A9IcSdp1K8H6x8fbOy06t2VsZHhMHf-1x7Y/edit?usp=sharing"",""แผน!EY88"")"),1286)</f>
        <v>1286</v>
      </c>
      <c r="J371" s="152">
        <f ca="1">IFERROR(__xludf.DUMMYFUNCTION("IMPORTRANGE(""https://docs.google.com/spreadsheets/d/1tdoBKaGub7dwA3U6UFTqxio9LNnvDCQjHKmttSEBsFQ/edit?usp=sharing"",""จัดที่ดิน!AF88"")"),1027)</f>
        <v>1027</v>
      </c>
      <c r="K371" s="47">
        <f ca="1">IF(I371&gt;0,J371*100/I371,0)</f>
        <v>79.860031104199066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IFERROR(__xludf.DUMMYFUNCTION("IMPORTRANGE(""https://docs.google.com/spreadsheets/d/1tdoBKaGub7dwA3U6UFTqxio9LNnvDCQjHKmttSEBsFQ/edit?usp=sharing"",""จัดที่ดิน!AG88"")"),14915.35)</f>
        <v>14915.35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41330</v>
      </c>
      <c r="T375" s="132">
        <f ca="1">IF(Q375&gt;0,S375*100/Q375,0)</f>
        <v>66.128</v>
      </c>
      <c r="U375" s="132">
        <f ca="1">IF(R375&gt;0,S375*100/R375,0)</f>
        <v>66.128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41330</v>
      </c>
      <c r="T377" s="47">
        <f ca="1">IF(Q377&gt;0,S377*100/Q377,0)</f>
        <v>66.128</v>
      </c>
      <c r="U377" s="47">
        <f ca="1">IF(R377&gt;0,S377*100/R377,0)</f>
        <v>66.128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41330</v>
      </c>
      <c r="T378" s="47">
        <f ca="1">IF(Q378&gt;0,S378*100/Q378,0)</f>
        <v>66.128</v>
      </c>
      <c r="U378" s="47">
        <f ca="1">IF(R378&gt;0,S378*100/R378,0)</f>
        <v>66.128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IFERROR(__xludf.DUMMYFUNCTION("IMPORTRANGE(""https://docs.google.com/spreadsheets/d/1-uDff_7J0KD5mKrp0Vvzr7lt3OU09vwQwhkpOPPYv2Y/edit?usp=sharing"",""งบพรบ!IE88"")"),0)</f>
        <v>0</v>
      </c>
      <c r="M380" s="47">
        <f ca="1">IFERROR(__xludf.DUMMYFUNCTION("IMPORTRANGE(""https://docs.google.com/spreadsheets/d/1-uDff_7J0KD5mKrp0Vvzr7lt3OU09vwQwhkpOPPYv2Y/edit?usp=sharing"",""งบพรบ!IJ88"")"),0)</f>
        <v>0</v>
      </c>
      <c r="N380" s="47">
        <f ca="1">IFERROR(__xludf.DUMMYFUNCTION("IMPORTRANGE(""https://docs.google.com/spreadsheets/d/1-uDff_7J0KD5mKrp0Vvzr7lt3OU09vwQwhkpOPPYv2Y/edit?usp=sharing"",""งบพรบ!IL88"")"),0)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IFERROR(__xludf.DUMMYFUNCTION("IMPORTRANGE(""https://docs.google.com/spreadsheets/d/1ItG2mGa2ceCfYo0BwxsXqNm01IGEUdYcSSLTEv9YCik/edit?usp=sharing"",""เบิกจ่ายกองทุน!BX88"")"),62500)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IFERROR(__xludf.DUMMYFUNCTION("IMPORTRANGE(""https://docs.google.com/spreadsheets/d/1ItG2mGa2ceCfYo0BwxsXqNm01IGEUdYcSSLTEv9YCik/edit?usp=sharing"",""เบิกจ่ายกองทุน!BY88"")"),41330)</f>
        <v>41330</v>
      </c>
      <c r="T380" s="47">
        <f ca="1">IF(Q380&gt;0,S380*100/Q380,0)</f>
        <v>66.128</v>
      </c>
      <c r="U380" s="47">
        <f ca="1">IF(R380&gt;0,S380*100/R380,0)</f>
        <v>66.128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IFERROR(__xludf.DUMMYFUNCTION("IMPORTRANGE(""https://docs.google.com/spreadsheets/d/1-uDff_7J0KD5mKrp0Vvzr7lt3OU09vwQwhkpOPPYv2Y/edit?usp=sharing"",""งบพรบ!IH88"")"),0)</f>
        <v>0</v>
      </c>
      <c r="M383" s="47">
        <f ca="1">IFERROR(__xludf.DUMMYFUNCTION("IMPORTRANGE(""https://docs.google.com/spreadsheets/d/1-uDff_7J0KD5mKrp0Vvzr7lt3OU09vwQwhkpOPPYv2Y/edit?usp=sharing"",""งบพรบ!IK88"")"),0)</f>
        <v>0</v>
      </c>
      <c r="N383" s="47">
        <f ca="1">IFERROR(__xludf.DUMMYFUNCTION("IMPORTRANGE(""https://docs.google.com/spreadsheets/d/1-uDff_7J0KD5mKrp0Vvzr7lt3OU09vwQwhkpOPPYv2Y/edit?usp=sharing"",""งบพรบ!IM88"")"),0)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IFERROR(__xludf.DUMMYFUNCTION("IMPORTRANGE(""https://docs.google.com/spreadsheets/d/1w5rwWK1o49a35cNtocGL0gxDwhFSTZUQu90BiH9_zqM/edit?usp=sharing"",""RTK!G88"")"),1000)</f>
        <v>1000</v>
      </c>
      <c r="J386" s="152">
        <f ca="1">IFERROR(__xludf.DUMMYFUNCTION("IMPORTRANGE(""https://docs.google.com/spreadsheets/d/1w5rwWK1o49a35cNtocGL0gxDwhFSTZUQu90BiH9_zqM/edit?usp=sharing"",""RTK!I88"")"),0)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IFERROR(__xludf.DUMMYFUNCTION("IMPORTRANGE(""https://docs.google.com/spreadsheets/d/1w5rwWK1o49a35cNtocGL0gxDwhFSTZUQu90BiH9_zqM/edit?usp=sharing"",""RTK!K88"")"),0)</f>
        <v>0</v>
      </c>
      <c r="J388" s="330">
        <f ca="1">IFERROR(__xludf.DUMMYFUNCTION("IMPORTRANGE(""https://docs.google.com/spreadsheets/d/1w5rwWK1o49a35cNtocGL0gxDwhFSTZUQu90BiH9_zqM/edit?usp=sharing"",""RTK!M88"")"),0)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161615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787830</v>
      </c>
      <c r="M413" s="132">
        <f ca="1">M414+M415</f>
        <v>866830</v>
      </c>
      <c r="N413" s="132">
        <f ca="1">N414+N415</f>
        <v>17032.259999999998</v>
      </c>
      <c r="O413" s="132">
        <f ca="1">IF(L413&gt;0,N413*100/L413,0)</f>
        <v>2.1619207189368264</v>
      </c>
      <c r="P413" s="132">
        <f ca="1">IF(M413&gt;0,N413*100/M413,0)</f>
        <v>1.9648904629512127</v>
      </c>
      <c r="Q413" s="132">
        <f ca="1">Q414+Q415</f>
        <v>77750</v>
      </c>
      <c r="R413" s="132">
        <f ca="1">R414+R415</f>
        <v>77750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787830</v>
      </c>
      <c r="M415" s="47">
        <f ca="1">M418+M421</f>
        <v>866830</v>
      </c>
      <c r="N415" s="47">
        <f ca="1">N418+N421</f>
        <v>17032.259999999998</v>
      </c>
      <c r="O415" s="47">
        <f ca="1">IF(L415&gt;0,N415*100/L415,0)</f>
        <v>2.1619207189368264</v>
      </c>
      <c r="P415" s="47">
        <f ca="1">IF(M415&gt;0,N415*100/M415,0)</f>
        <v>1.9648904629512127</v>
      </c>
      <c r="Q415" s="47">
        <f ca="1">Q418+Q421</f>
        <v>77750</v>
      </c>
      <c r="R415" s="47">
        <f ca="1">R418+R421</f>
        <v>77750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787830</v>
      </c>
      <c r="M416" s="47">
        <f ca="1">M417+M418</f>
        <v>866830</v>
      </c>
      <c r="N416" s="47">
        <f ca="1">N417+N418</f>
        <v>17032.259999999998</v>
      </c>
      <c r="O416" s="47">
        <f ca="1">IF(L416&gt;0,N416*100/L416,0)</f>
        <v>2.1619207189368264</v>
      </c>
      <c r="P416" s="47">
        <f ca="1">IF(M416&gt;0,N416*100/M416,0)</f>
        <v>1.9648904629512127</v>
      </c>
      <c r="Q416" s="47">
        <f ca="1">Q417+Q418</f>
        <v>77750</v>
      </c>
      <c r="R416" s="47">
        <f ca="1">R417+R418</f>
        <v>77750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IFERROR(__xludf.DUMMYFUNCTION("IMPORTRANGE(""https://docs.google.com/spreadsheets/d/1-uDff_7J0KD5mKrp0Vvzr7lt3OU09vwQwhkpOPPYv2Y/edit?usp=sharing"",""งบพรบ!IO88"")"),787830)</f>
        <v>787830</v>
      </c>
      <c r="M418" s="47">
        <f ca="1">IFERROR(__xludf.DUMMYFUNCTION("IMPORTRANGE(""https://docs.google.com/spreadsheets/d/1-uDff_7J0KD5mKrp0Vvzr7lt3OU09vwQwhkpOPPYv2Y/edit?usp=sharing"",""งบพรบ!IT88"")"),866830)</f>
        <v>866830</v>
      </c>
      <c r="N418" s="47">
        <f ca="1">IFERROR(__xludf.DUMMYFUNCTION("IMPORTRANGE(""https://docs.google.com/spreadsheets/d/1-uDff_7J0KD5mKrp0Vvzr7lt3OU09vwQwhkpOPPYv2Y/edit?usp=sharing"",""งบพรบ!IV88"")"),17032.26)</f>
        <v>17032.259999999998</v>
      </c>
      <c r="O418" s="47">
        <f ca="1">IF(L418&gt;0,N418*100/L418,0)</f>
        <v>2.1619207189368264</v>
      </c>
      <c r="P418" s="47">
        <f ca="1">IF(M418&gt;0,N418*100/M418,0)</f>
        <v>1.9648904629512127</v>
      </c>
      <c r="Q418" s="47">
        <f ca="1">IFERROR(__xludf.DUMMYFUNCTION("IMPORTRANGE(""https://docs.google.com/spreadsheets/d/1ItG2mGa2ceCfYo0BwxsXqNm01IGEUdYcSSLTEv9YCik/edit?usp=sharing"",""เบิกจ่ายกองทุน!BZ88"")"),77750)</f>
        <v>77750</v>
      </c>
      <c r="R418" s="47">
        <f ca="1">IFERROR(__xludf.DUMMYFUNCTION("IMPORTRANGE(""https://docs.google.com/spreadsheets/d/1ItG2mGa2ceCfYo0BwxsXqNm01IGEUdYcSSLTEv9YCik/edit?usp=sharing"",""เบิกจ่ายกองทุน!CA88"")"),77750)</f>
        <v>77750</v>
      </c>
      <c r="S418" s="47">
        <f ca="1">IFERROR(__xludf.DUMMYFUNCTION("IMPORTRANGE(""https://docs.google.com/spreadsheets/d/1ItG2mGa2ceCfYo0BwxsXqNm01IGEUdYcSSLTEv9YCik/edit?usp=sharing"",""เบิกจ่ายกองทุน!CB88"")"),0)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IFERROR(__xludf.DUMMYFUNCTION("IMPORTRANGE(""https://docs.google.com/spreadsheets/d/1-uDff_7J0KD5mKrp0Vvzr7lt3OU09vwQwhkpOPPYv2Y/edit?usp=sharing"",""งบพรบ!IR88"")"),0)</f>
        <v>0</v>
      </c>
      <c r="M421" s="47">
        <f ca="1">IFERROR(__xludf.DUMMYFUNCTION("IMPORTRANGE(""https://docs.google.com/spreadsheets/d/1-uDff_7J0KD5mKrp0Vvzr7lt3OU09vwQwhkpOPPYv2Y/edit?usp=sharing"",""งบพรบ!IU88"")"),0)</f>
        <v>0</v>
      </c>
      <c r="N421" s="47">
        <f ca="1">IFERROR(__xludf.DUMMYFUNCTION("IMPORTRANGE(""https://docs.google.com/spreadsheets/d/1-uDff_7J0KD5mKrp0Vvzr7lt3OU09vwQwhkpOPPYv2Y/edit?usp=sharing"",""งบพรบ!IW88"")"),0)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161615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IFERROR(__xludf.DUMMYFUNCTION("IMPORTRANGE(""https://docs.google.com/spreadsheets/d/1eHaY18a8A9IcSdp1K8H6x8fbOy06t2VsZHhMHf-1x7Y/edit?usp=sharing"",""แผน!HJ88"")"),161615)</f>
        <v>161615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IFERROR(__xludf.DUMMYFUNCTION("IMPORTRANGE(""https://docs.google.com/spreadsheets/d/1eHaY18a8A9IcSdp1K8H6x8fbOy06t2VsZHhMHf-1x7Y/edit?usp=sharing"",""แผน!HK88"")"),13644)</f>
        <v>13644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IFERROR(__xludf.DUMMYFUNCTION("IMPORTRANGE(""https://docs.google.com/spreadsheets/d/1eHaY18a8A9IcSdp1K8H6x8fbOy06t2VsZHhMHf-1x7Y/edit?usp=sharing"",""แผน!HJ88"")"),161615)</f>
        <v>161615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IFERROR(__xludf.DUMMYFUNCTION("IMPORTRANGE(""https://docs.google.com/spreadsheets/d/1eHaY18a8A9IcSdp1K8H6x8fbOy06t2VsZHhMHf-1x7Y/edit?usp=sharing"",""แผน!HK88"")"),13644)</f>
        <v>13644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IFERROR(__xludf.DUMMYFUNCTION("IMPORTRANGE(""https://docs.google.com/spreadsheets/d/1eHaY18a8A9IcSdp1K8H6x8fbOy06t2VsZHhMHf-1x7Y/edit?usp=sharing"",""แผน!HJ88"")"),161615)</f>
        <v>161615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IFERROR(__xludf.DUMMYFUNCTION("IMPORTRANGE(""https://docs.google.com/spreadsheets/d/1eHaY18a8A9IcSdp1K8H6x8fbOy06t2VsZHhMHf-1x7Y/edit?usp=sharing"",""แผน!HK88"")"),13644)</f>
        <v>13644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589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IFERROR(__xludf.DUMMYFUNCTION("IMPORTRANGE(""https://docs.google.com/spreadsheets/d/1eHaY18a8A9IcSdp1K8H6x8fbOy06t2VsZHhMHf-1x7Y/edit?usp=sharing"",""แผน!HL88"")"),589)</f>
        <v>589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30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24100</v>
      </c>
      <c r="M493" s="132">
        <f ca="1">M494+M495</f>
        <v>24100</v>
      </c>
      <c r="N493" s="132">
        <f ca="1">N494+N495</f>
        <v>24100</v>
      </c>
      <c r="O493" s="132">
        <f ca="1">IF(L493&gt;0,N493*100/L493,0)</f>
        <v>100</v>
      </c>
      <c r="P493" s="132">
        <f ca="1">IF(M493&gt;0,N493*100/M493,0)</f>
        <v>100</v>
      </c>
      <c r="Q493" s="132">
        <f ca="1">Q494+Q495</f>
        <v>460185</v>
      </c>
      <c r="R493" s="132">
        <f ca="1">R494+R495</f>
        <v>460185</v>
      </c>
      <c r="S493" s="132">
        <f ca="1">S494+S495</f>
        <v>136200</v>
      </c>
      <c r="T493" s="132">
        <f ca="1">IF(Q493&gt;0,S493*100/Q493,0)</f>
        <v>29.596792594282736</v>
      </c>
      <c r="U493" s="132">
        <f ca="1">IF(R493&gt;0,S493*100/R493,0)</f>
        <v>29.596792594282736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24100</v>
      </c>
      <c r="M495" s="47">
        <f ca="1">M498+M501</f>
        <v>24100</v>
      </c>
      <c r="N495" s="47">
        <f ca="1">N498+N501</f>
        <v>24100</v>
      </c>
      <c r="O495" s="47">
        <f ca="1">IF(L495&gt;0,N495*100/L495,0)</f>
        <v>100</v>
      </c>
      <c r="P495" s="47">
        <f ca="1">IF(M495&gt;0,N495*100/M495,0)</f>
        <v>100</v>
      </c>
      <c r="Q495" s="47">
        <f ca="1">Q498+Q501</f>
        <v>460185</v>
      </c>
      <c r="R495" s="47">
        <f ca="1">R498+R501</f>
        <v>460185</v>
      </c>
      <c r="S495" s="47">
        <f ca="1">S498+S501</f>
        <v>136200</v>
      </c>
      <c r="T495" s="47">
        <f ca="1">IF(Q495&gt;0,S495*100/Q495,0)</f>
        <v>29.596792594282736</v>
      </c>
      <c r="U495" s="47">
        <f ca="1">IF(R495&gt;0,S495*100/R495,0)</f>
        <v>29.596792594282736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24100</v>
      </c>
      <c r="M496" s="47">
        <f ca="1">M497+M498</f>
        <v>24100</v>
      </c>
      <c r="N496" s="47">
        <f ca="1">N497+N498</f>
        <v>24100</v>
      </c>
      <c r="O496" s="47">
        <f ca="1">IF(L496&gt;0,N496*100/L496,0)</f>
        <v>100</v>
      </c>
      <c r="P496" s="47">
        <f ca="1">IF(M496&gt;0,N496*100/M496,0)</f>
        <v>100</v>
      </c>
      <c r="Q496" s="47">
        <f ca="1">Q497+Q498</f>
        <v>460185</v>
      </c>
      <c r="R496" s="47">
        <f ca="1">R497+R498</f>
        <v>460185</v>
      </c>
      <c r="S496" s="47">
        <f ca="1">S497+S498</f>
        <v>136200</v>
      </c>
      <c r="T496" s="47">
        <f ca="1">IF(Q496&gt;0,S496*100/Q496,0)</f>
        <v>29.596792594282736</v>
      </c>
      <c r="U496" s="47">
        <f ca="1">IF(R496&gt;0,S496*100/R496,0)</f>
        <v>29.596792594282736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IFERROR(__xludf.DUMMYFUNCTION("IMPORTRANGE(""https://docs.google.com/spreadsheets/d/1-uDff_7J0KD5mKrp0Vvzr7lt3OU09vwQwhkpOPPYv2Y/edit?usp=sharing"",""งบพรบ!HU88"")"),24100)</f>
        <v>24100</v>
      </c>
      <c r="M498" s="47">
        <f ca="1">IFERROR(__xludf.DUMMYFUNCTION("IMPORTRANGE(""https://docs.google.com/spreadsheets/d/1-uDff_7J0KD5mKrp0Vvzr7lt3OU09vwQwhkpOPPYv2Y/edit?usp=sharing"",""งบพรบ!HZ88"")"),24100)</f>
        <v>24100</v>
      </c>
      <c r="N498" s="47">
        <f ca="1">IFERROR(__xludf.DUMMYFUNCTION("IMPORTRANGE(""https://docs.google.com/spreadsheets/d/1-uDff_7J0KD5mKrp0Vvzr7lt3OU09vwQwhkpOPPYv2Y/edit?usp=sharing"",""งบพรบ!IB88"")"),24100)</f>
        <v>24100</v>
      </c>
      <c r="O498" s="47">
        <f ca="1">IF(L498&gt;0,N498*100/L498,0)</f>
        <v>100</v>
      </c>
      <c r="P498" s="47">
        <f ca="1">IF(M498&gt;0,N498*100/M498,0)</f>
        <v>100</v>
      </c>
      <c r="Q498" s="47">
        <f ca="1">IFERROR(__xludf.DUMMYFUNCTION("IMPORTRANGE(""https://docs.google.com/spreadsheets/d/1ItG2mGa2ceCfYo0BwxsXqNm01IGEUdYcSSLTEv9YCik/edit?usp=sharing"",""เบิกจ่ายกองทุน!AD88"")"),460185)</f>
        <v>460185</v>
      </c>
      <c r="R498" s="47">
        <f ca="1">IFERROR(__xludf.DUMMYFUNCTION("IMPORTRANGE(""https://docs.google.com/spreadsheets/d/1ItG2mGa2ceCfYo0BwxsXqNm01IGEUdYcSSLTEv9YCik/edit?usp=sharing"",""เบิกจ่ายกองทุน!AE88"")"),460185)</f>
        <v>460185</v>
      </c>
      <c r="S498" s="47">
        <f ca="1">IFERROR(__xludf.DUMMYFUNCTION("IMPORTRANGE(""https://docs.google.com/spreadsheets/d/1ItG2mGa2ceCfYo0BwxsXqNm01IGEUdYcSSLTEv9YCik/edit?usp=sharing"",""เบิกจ่ายกองทุน!AF88"")"),136200)</f>
        <v>136200</v>
      </c>
      <c r="T498" s="47">
        <f ca="1">IF(Q498&gt;0,S498*100/Q498,0)</f>
        <v>29.596792594282736</v>
      </c>
      <c r="U498" s="47">
        <f ca="1">IF(R498&gt;0,S498*100/R498,0)</f>
        <v>29.596792594282736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IFERROR(__xludf.DUMMYFUNCTION("IMPORTRANGE(""https://docs.google.com/spreadsheets/d/1-uDff_7J0KD5mKrp0Vvzr7lt3OU09vwQwhkpOPPYv2Y/edit?usp=sharing"",""งบพรบ!HX88"")"),0)</f>
        <v>0</v>
      </c>
      <c r="M501" s="47">
        <f ca="1">IFERROR(__xludf.DUMMYFUNCTION("IMPORTRANGE(""https://docs.google.com/spreadsheets/d/1-uDff_7J0KD5mKrp0Vvzr7lt3OU09vwQwhkpOPPYv2Y/edit?usp=sharing"",""งบพรบ!IA88"")"),0)</f>
        <v>0</v>
      </c>
      <c r="N501" s="47">
        <f ca="1">IFERROR(__xludf.DUMMYFUNCTION("IMPORTRANGE(""https://docs.google.com/spreadsheets/d/1-uDff_7J0KD5mKrp0Vvzr7lt3OU09vwQwhkpOPPYv2Y/edit?usp=sharing"",""งบพรบ!IC88"")"),0)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IFERROR(__xludf.DUMMYFUNCTION("IMPORTRANGE(""https://docs.google.com/spreadsheets/d/1eHaY18a8A9IcSdp1K8H6x8fbOy06t2VsZHhMHf-1x7Y/edit?usp=sharing"",""แผน!GX88"")"),30)</f>
        <v>30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IFERROR(__xludf.DUMMYFUNCTION("IMPORTRANGE(""https://docs.google.com/spreadsheets/d/1eHaY18a8A9IcSdp1K8H6x8fbOy06t2VsZHhMHf-1x7Y/edit?usp=sharing"",""แผน!GY88"")"),0)</f>
        <v>0</v>
      </c>
      <c r="J504" s="167">
        <v>30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IFERROR(__xludf.DUMMYFUNCTION("IMPORTRANGE(""https://docs.google.com/spreadsheets/d/1eHaY18a8A9IcSdp1K8H6x8fbOy06t2VsZHhMHf-1x7Y/edit?usp=sharing"",""แผน!GZ88"")"),0)</f>
        <v>0</v>
      </c>
      <c r="J505" s="167">
        <v>30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6"/>
      <c r="M510" s="835"/>
      <c r="N510" s="835"/>
      <c r="O510" s="835"/>
      <c r="P510" s="835"/>
      <c r="Q510" s="835"/>
      <c r="R510" s="835"/>
      <c r="S510" s="835"/>
      <c r="T510" s="835"/>
      <c r="U510" s="835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IFERROR(__xludf.DUMMYFUNCTION("IMPORTRANGE(""https://docs.google.com/spreadsheets/d/1-uDff_7J0KD5mKrp0Vvzr7lt3OU09vwQwhkpOPPYv2Y/edit?usp=sharing"",""งบพรบ!FM88"")"),0)</f>
        <v>0</v>
      </c>
      <c r="M518" s="47">
        <f ca="1">IFERROR(__xludf.DUMMYFUNCTION("IMPORTRANGE(""https://docs.google.com/spreadsheets/d/1-uDff_7J0KD5mKrp0Vvzr7lt3OU09vwQwhkpOPPYv2Y/edit?usp=sharing"",""งบพรบ!FR88"")"),0)</f>
        <v>0</v>
      </c>
      <c r="N518" s="47">
        <f ca="1">IFERROR(__xludf.DUMMYFUNCTION("IMPORTRANGE(""https://docs.google.com/spreadsheets/d/1-uDff_7J0KD5mKrp0Vvzr7lt3OU09vwQwhkpOPPYv2Y/edit?usp=sharing"",""งบพรบ!FT88"")"),0)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IFERROR(__xludf.DUMMYFUNCTION("IMPORTRANGE(""https://docs.google.com/spreadsheets/d/1-uDff_7J0KD5mKrp0Vvzr7lt3OU09vwQwhkpOPPYv2Y/edit?usp=sharing"",""งบพรบ!FP88"")"),0)</f>
        <v>0</v>
      </c>
      <c r="M521" s="47">
        <f ca="1">IFERROR(__xludf.DUMMYFUNCTION("IMPORTRANGE(""https://docs.google.com/spreadsheets/d/1-uDff_7J0KD5mKrp0Vvzr7lt3OU09vwQwhkpOPPYv2Y/edit?usp=sharing"",""งบพรบ!FS88"")"),0)</f>
        <v>0</v>
      </c>
      <c r="N521" s="47">
        <f ca="1">IFERROR(__xludf.DUMMYFUNCTION("IMPORTRANGE(""https://docs.google.com/spreadsheets/d/1-uDff_7J0KD5mKrp0Vvzr7lt3OU09vwQwhkpOPPYv2Y/edit?usp=sharing"",""งบพรบ!FU88"")"),0)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IFERROR(__xludf.DUMMYFUNCTION("IMPORTRANGE(""https://docs.google.com/spreadsheets/d/1-uDff_7J0KD5mKrp0Vvzr7lt3OU09vwQwhkpOPPYv2Y/edit?usp=sharing"",""งบพรบ!FW88"")"),0)</f>
        <v>0</v>
      </c>
      <c r="M539" s="47">
        <f ca="1">IFERROR(__xludf.DUMMYFUNCTION("IMPORTRANGE(""https://docs.google.com/spreadsheets/d/1-uDff_7J0KD5mKrp0Vvzr7lt3OU09vwQwhkpOPPYv2Y/edit?usp=sharing"",""งบพรบ!GB88"")"),0)</f>
        <v>0</v>
      </c>
      <c r="N539" s="47">
        <f ca="1">IFERROR(__xludf.DUMMYFUNCTION("IMPORTRANGE(""https://docs.google.com/spreadsheets/d/1-uDff_7J0KD5mKrp0Vvzr7lt3OU09vwQwhkpOPPYv2Y/edit?usp=sharing"",""งบพรบ!GD88"")"),0)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IFERROR(__xludf.DUMMYFUNCTION("IMPORTRANGE(""https://docs.google.com/spreadsheets/d/1-uDff_7J0KD5mKrp0Vvzr7lt3OU09vwQwhkpOPPYv2Y/edit?usp=sharing"",""งบพรบ!FZ88"")"),0)</f>
        <v>0</v>
      </c>
      <c r="M542" s="47">
        <f ca="1">IFERROR(__xludf.DUMMYFUNCTION("IMPORTRANGE(""https://docs.google.com/spreadsheets/d/1-uDff_7J0KD5mKrp0Vvzr7lt3OU09vwQwhkpOPPYv2Y/edit?usp=sharing"",""งบพรบ!GC88"")"),0)</f>
        <v>0</v>
      </c>
      <c r="N542" s="47">
        <f ca="1">IFERROR(__xludf.DUMMYFUNCTION("IMPORTRANGE(""https://docs.google.com/spreadsheets/d/1-uDff_7J0KD5mKrp0Vvzr7lt3OU09vwQwhkpOPPYv2Y/edit?usp=sharing"",""งบพรบ!GE88"")"),0)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IFERROR(__xludf.DUMMYFUNCTION("IMPORTRANGE(""https://docs.google.com/spreadsheets/d/1-uDff_7J0KD5mKrp0Vvzr7lt3OU09vwQwhkpOPPYv2Y/edit?usp=sharing"",""งบพรบ!GG88"")"),0)</f>
        <v>0</v>
      </c>
      <c r="M560" s="47">
        <f ca="1">IFERROR(__xludf.DUMMYFUNCTION("IMPORTRANGE(""https://docs.google.com/spreadsheets/d/1-uDff_7J0KD5mKrp0Vvzr7lt3OU09vwQwhkpOPPYv2Y/edit?usp=sharing"",""งบพรบ!GL88"")"),0)</f>
        <v>0</v>
      </c>
      <c r="N560" s="47">
        <f ca="1">IFERROR(__xludf.DUMMYFUNCTION("IMPORTRANGE(""https://docs.google.com/spreadsheets/d/1-uDff_7J0KD5mKrp0Vvzr7lt3OU09vwQwhkpOPPYv2Y/edit?usp=sharing"",""งบพรบ!GN88"")"),0)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IFERROR(__xludf.DUMMYFUNCTION("IMPORTRANGE(""https://docs.google.com/spreadsheets/d/1-uDff_7J0KD5mKrp0Vvzr7lt3OU09vwQwhkpOPPYv2Y/edit?usp=sharing"",""งบพรบ!GJ88"")"),0)</f>
        <v>0</v>
      </c>
      <c r="M563" s="47">
        <f ca="1">IFERROR(__xludf.DUMMYFUNCTION("IMPORTRANGE(""https://docs.google.com/spreadsheets/d/1-uDff_7J0KD5mKrp0Vvzr7lt3OU09vwQwhkpOPPYv2Y/edit?usp=sharing"",""งบพรบ!GM88"")"),0)</f>
        <v>0</v>
      </c>
      <c r="N563" s="47">
        <f ca="1">IFERROR(__xludf.DUMMYFUNCTION("IMPORTRANGE(""https://docs.google.com/spreadsheets/d/1-uDff_7J0KD5mKrp0Vvzr7lt3OU09vwQwhkpOPPYv2Y/edit?usp=sharing"",""งบพรบ!GO88"")"),0)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807875</v>
      </c>
      <c r="M576" s="132">
        <f ca="1">M577+M578</f>
        <v>807875</v>
      </c>
      <c r="N576" s="132">
        <f ca="1">N577+N578</f>
        <v>7600</v>
      </c>
      <c r="O576" s="132">
        <f ca="1">IF(L576&gt;0,N576*100/L576,0)</f>
        <v>0.9407395946155036</v>
      </c>
      <c r="P576" s="132">
        <f ca="1">IF(M576&gt;0,N576*100/M576,0)</f>
        <v>0.9407395946155036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807875</v>
      </c>
      <c r="M578" s="47">
        <f ca="1">M581+M584</f>
        <v>807875</v>
      </c>
      <c r="N578" s="47">
        <f ca="1">N581+N584</f>
        <v>7600</v>
      </c>
      <c r="O578" s="47">
        <f ca="1">IF(L578&gt;0,N578*100/L578,0)</f>
        <v>0.9407395946155036</v>
      </c>
      <c r="P578" s="47">
        <f ca="1">IF(M578&gt;0,N578*100/M578,0)</f>
        <v>0.9407395946155036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807875</v>
      </c>
      <c r="M579" s="47">
        <f ca="1">M580+M581</f>
        <v>807875</v>
      </c>
      <c r="N579" s="47">
        <f ca="1">N580+N581</f>
        <v>7600</v>
      </c>
      <c r="O579" s="47">
        <f ca="1">IF(L579&gt;0,N579*100/L579,0)</f>
        <v>0.9407395946155036</v>
      </c>
      <c r="P579" s="47">
        <f ca="1">IF(M579&gt;0,N579*100/M579,0)</f>
        <v>0.9407395946155036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IFERROR(__xludf.DUMMYFUNCTION("IMPORTRANGE(""https://docs.google.com/spreadsheets/d/1-uDff_7J0KD5mKrp0Vvzr7lt3OU09vwQwhkpOPPYv2Y/edit?usp=sharing"",""งบพรบ!GQ88"")"),807875)</f>
        <v>807875</v>
      </c>
      <c r="M581" s="47">
        <f ca="1">IFERROR(__xludf.DUMMYFUNCTION("IMPORTRANGE(""https://docs.google.com/spreadsheets/d/1-uDff_7J0KD5mKrp0Vvzr7lt3OU09vwQwhkpOPPYv2Y/edit?usp=sharing"",""งบพรบ!GV88"")"),807875)</f>
        <v>807875</v>
      </c>
      <c r="N581" s="47">
        <f ca="1">IFERROR(__xludf.DUMMYFUNCTION("IMPORTRANGE(""https://docs.google.com/spreadsheets/d/1-uDff_7J0KD5mKrp0Vvzr7lt3OU09vwQwhkpOPPYv2Y/edit?usp=sharing"",""งบพรบ!GX88"")"),7600)</f>
        <v>7600</v>
      </c>
      <c r="O581" s="47">
        <f ca="1">IF(L581&gt;0,N581*100/L581,0)</f>
        <v>0.9407395946155036</v>
      </c>
      <c r="P581" s="47">
        <f ca="1">IF(M581&gt;0,N581*100/M581,0)</f>
        <v>0.9407395946155036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IFERROR(__xludf.DUMMYFUNCTION("IMPORTRANGE(""https://docs.google.com/spreadsheets/d/1-uDff_7J0KD5mKrp0Vvzr7lt3OU09vwQwhkpOPPYv2Y/edit?usp=sharing"",""งบพรบ!GT88"")"),0)</f>
        <v>0</v>
      </c>
      <c r="M584" s="47">
        <f ca="1">IFERROR(__xludf.DUMMYFUNCTION("IMPORTRANGE(""https://docs.google.com/spreadsheets/d/1-uDff_7J0KD5mKrp0Vvzr7lt3OU09vwQwhkpOPPYv2Y/edit?usp=sharing"",""งบพรบ!GW88"")"),0)</f>
        <v>0</v>
      </c>
      <c r="N584" s="47">
        <f ca="1">IFERROR(__xludf.DUMMYFUNCTION("IMPORTRANGE(""https://docs.google.com/spreadsheets/d/1-uDff_7J0KD5mKrp0Vvzr7lt3OU09vwQwhkpOPPYv2Y/edit?usp=sharing"",""งบพรบ!GY88"")"),0)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IFERROR(__xludf.DUMMYFUNCTION("IMPORTRANGE(""https://docs.google.com/spreadsheets/d/1-uDff_7J0KD5mKrp0Vvzr7lt3OU09vwQwhkpOPPYv2Y/edit?usp=sharing"",""งบพรบ!HK88"")"),0)</f>
        <v>0</v>
      </c>
      <c r="M604" s="47">
        <f ca="1">IFERROR(__xludf.DUMMYFUNCTION("IMPORTRANGE(""https://docs.google.com/spreadsheets/d/1-uDff_7J0KD5mKrp0Vvzr7lt3OU09vwQwhkpOPPYv2Y/edit?usp=sharing"",""งบพรบ!HP88"")"),0)</f>
        <v>0</v>
      </c>
      <c r="N604" s="47">
        <f ca="1">IFERROR(__xludf.DUMMYFUNCTION("IMPORTRANGE(""https://docs.google.com/spreadsheets/d/1-uDff_7J0KD5mKrp0Vvzr7lt3OU09vwQwhkpOPPYv2Y/edit?usp=sharing"",""งบพรบ!HR88"")"),0)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IFERROR(__xludf.DUMMYFUNCTION("IMPORTRANGE(""https://docs.google.com/spreadsheets/d/1ItG2mGa2ceCfYo0BwxsXqNm01IGEUdYcSSLTEv9YCik/edit?usp=sharing"",""เบิกจ่ายกองทุน!AV88"")"),0)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IFERROR(__xludf.DUMMYFUNCTION("IMPORTRANGE(""https://docs.google.com/spreadsheets/d/1ItG2mGa2ceCfYo0BwxsXqNm01IGEUdYcSSLTEv9YCik/edit?usp=sharing"",""เบิกจ่ายกองทุน!AW88"")"),0)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IFERROR(__xludf.DUMMYFUNCTION("IMPORTRANGE(""https://docs.google.com/spreadsheets/d/1ItG2mGa2ceCfYo0BwxsXqNm01IGEUdYcSSLTEv9YCik/edit?usp=sharing"",""เบิกจ่ายกองทุน!AX88"")"),0)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IFERROR(__xludf.DUMMYFUNCTION("IMPORTRANGE(""https://docs.google.com/spreadsheets/d/1-uDff_7J0KD5mKrp0Vvzr7lt3OU09vwQwhkpOPPYv2Y/edit?usp=sharing"",""งบพรบ!HN88"")"),0)</f>
        <v>0</v>
      </c>
      <c r="M607" s="47">
        <f ca="1">IFERROR(__xludf.DUMMYFUNCTION("IMPORTRANGE(""https://docs.google.com/spreadsheets/d/1-uDff_7J0KD5mKrp0Vvzr7lt3OU09vwQwhkpOPPYv2Y/edit?usp=sharing"",""งบพรบ!HQ88"")"),0)</f>
        <v>0</v>
      </c>
      <c r="N607" s="47">
        <f ca="1">IFERROR(__xludf.DUMMYFUNCTION("IMPORTRANGE(""https://docs.google.com/spreadsheets/d/1-uDff_7J0KD5mKrp0Vvzr7lt3OU09vwQwhkpOPPYv2Y/edit?usp=sharing"",""งบพรบ!HS88"")"),0)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IFERROR(__xludf.DUMMYFUNCTION("IMPORTRANGE(""https://docs.google.com/spreadsheets/d/1ItG2mGa2ceCfYo0BwxsXqNm01IGEUdYcSSLTEv9YCik/edit?usp=sharing"",""เบิกจ่ายกองทุน!AY88"")"),0)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IFERROR(__xludf.DUMMYFUNCTION("IMPORTRANGE(""https://docs.google.com/spreadsheets/d/1ItG2mGa2ceCfYo0BwxsXqNm01IGEUdYcSSLTEv9YCik/edit?usp=sharing"",""เบิกจ่ายกองทุน!AZ88"")"),0)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IFERROR(__xludf.DUMMYFUNCTION("IMPORTRANGE(""https://docs.google.com/spreadsheets/d/1ItG2mGa2ceCfYo0BwxsXqNm01IGEUdYcSSLTEv9YCik/edit?usp=sharing"",""เบิกจ่ายกองทุน!BA88"")"),0)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2075</v>
      </c>
      <c r="R616" s="132">
        <f ca="1">R617+R618</f>
        <v>2075</v>
      </c>
      <c r="S616" s="132">
        <f ca="1">S617+S618</f>
        <v>1271</v>
      </c>
      <c r="T616" s="132">
        <f ca="1">IF(Q616&gt;0,S616*100/Q616,0)</f>
        <v>61.253012048192772</v>
      </c>
      <c r="U616" s="132">
        <f ca="1">IF(R616&gt;0,S616*100/R616,0)</f>
        <v>61.253012048192772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2075</v>
      </c>
      <c r="R618" s="47">
        <f ca="1">R621+R624</f>
        <v>2075</v>
      </c>
      <c r="S618" s="47">
        <f ca="1">S621+S624</f>
        <v>1271</v>
      </c>
      <c r="T618" s="47">
        <f ca="1">IF(Q618&gt;0,S618*100/Q618,0)</f>
        <v>61.253012048192772</v>
      </c>
      <c r="U618" s="47">
        <f ca="1">IF(R618&gt;0,S618*100/R618,0)</f>
        <v>61.253012048192772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2075</v>
      </c>
      <c r="R619" s="47">
        <f ca="1">R620+R621</f>
        <v>2075</v>
      </c>
      <c r="S619" s="47">
        <f ca="1">S620+S621</f>
        <v>1271</v>
      </c>
      <c r="T619" s="47">
        <f ca="1">IF(Q619&gt;0,S619*100/Q619,0)</f>
        <v>61.253012048192772</v>
      </c>
      <c r="U619" s="47">
        <f ca="1">IF(R619&gt;0,S619*100/R619,0)</f>
        <v>61.253012048192772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IFERROR(__xludf.DUMMYFUNCTION("IMPORTRANGE(""https://docs.google.com/spreadsheets/d/1ItG2mGa2ceCfYo0BwxsXqNm01IGEUdYcSSLTEv9YCik/edit?usp=sharing"",""เบิกจ่ายกองทุน!F88"")"),2075)</f>
        <v>2075</v>
      </c>
      <c r="R621" s="47">
        <f ca="1">IFERROR(__xludf.DUMMYFUNCTION("IMPORTRANGE(""https://docs.google.com/spreadsheets/d/1ItG2mGa2ceCfYo0BwxsXqNm01IGEUdYcSSLTEv9YCik/edit?usp=sharing"",""เบิกจ่ายกองทุน!G88"")"),2075)</f>
        <v>2075</v>
      </c>
      <c r="S621" s="47">
        <f ca="1">IFERROR(__xludf.DUMMYFUNCTION("IMPORTRANGE(""https://docs.google.com/spreadsheets/d/1ItG2mGa2ceCfYo0BwxsXqNm01IGEUdYcSSLTEv9YCik/edit?usp=sharing"",""เบิกจ่ายกองทุน!H88"")"),1271)</f>
        <v>1271</v>
      </c>
      <c r="T621" s="47">
        <f ca="1">IF(Q621&gt;0,S621*100/Q621,0)</f>
        <v>61.253012048192772</v>
      </c>
      <c r="U621" s="47">
        <f ca="1">IF(R621&gt;0,S621*100/R621,0)</f>
        <v>61.253012048192772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IFERROR(__xludf.DUMMYFUNCTION("IMPORTRANGE(""https://docs.google.com/spreadsheets/d/1eHaY18a8A9IcSdp1K8H6x8fbOy06t2VsZHhMHf-1x7Y/edit?usp=sharing"",""แผน!ID88"")"),0)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IFERROR(__xludf.DUMMYFUNCTION("IMPORTRANGE(""https://docs.google.com/spreadsheets/d/1eHaY18a8A9IcSdp1K8H6x8fbOy06t2VsZHhMHf-1x7Y/edit?usp=sharing"",""แผน!IC88"")"),1)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IFERROR(__xludf.DUMMYFUNCTION("IMPORTRANGE(""https://docs.google.com/spreadsheets/d/1eHaY18a8A9IcSdp1K8H6x8fbOy06t2VsZHhMHf-1x7Y/edit?usp=sharing"",""แผน!IC88"")"),1)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IFERROR(__xludf.DUMMYFUNCTION("IMPORTRANGE(""https://docs.google.com/spreadsheets/d/1eHaY18a8A9IcSdp1K8H6x8fbOy06t2VsZHhMHf-1x7Y/edit?usp=sharing"",""แผน!IF88"")"),0)</f>
        <v>0</v>
      </c>
      <c r="J652" s="152">
        <f ca="1">IFERROR(__xludf.DUMMYFUNCTION("IMPORTRANGE(""https://docs.google.com/spreadsheets/d/1tdoBKaGub7dwA3U6UFTqxio9LNnvDCQjHKmttSEBsFQ/edit?usp=sharing"",""จัดที่ดิน!AU88"")"),0)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IFERROR(__xludf.DUMMYFUNCTION("IMPORTRANGE(""https://docs.google.com/spreadsheets/d/1eHaY18a8A9IcSdp1K8H6x8fbOy06t2VsZHhMHf-1x7Y/edit?usp=sharing"",""แผน!IG88"")"),0)</f>
        <v>0</v>
      </c>
      <c r="J653" s="152">
        <f ca="1">IFERROR(__xludf.DUMMYFUNCTION("IMPORTRANGE(""https://docs.google.com/spreadsheets/d/1tdoBKaGub7dwA3U6UFTqxio9LNnvDCQjHKmttSEBsFQ/edit?usp=sharing"",""จัดที่ดิน!AW88"")"),0)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IFERROR(__xludf.DUMMYFUNCTION("IMPORTRANGE(""https://docs.google.com/spreadsheets/d/1eHaY18a8A9IcSdp1K8H6x8fbOy06t2VsZHhMHf-1x7Y/edit?usp=sharing"",""แผน!IL88"")"),0)</f>
        <v>0</v>
      </c>
      <c r="J673" s="152">
        <f ca="1">IFERROR(__xludf.DUMMYFUNCTION("IMPORTRANGE(""https://docs.google.com/spreadsheets/d/1tdoBKaGub7dwA3U6UFTqxio9LNnvDCQjHKmttSEBsFQ/edit?usp=sharing"",""จัดที่ดิน!BA88"")"),0)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IFERROR(__xludf.DUMMYFUNCTION("IMPORTRANGE(""https://docs.google.com/spreadsheets/d/1eHaY18a8A9IcSdp1K8H6x8fbOy06t2VsZHhMHf-1x7Y/edit?usp=sharing"",""แผน!IO88"")"),0)</f>
        <v>0</v>
      </c>
      <c r="J676" s="152">
        <f ca="1">IFERROR(__xludf.DUMMYFUNCTION("IMPORTRANGE(""https://docs.google.com/spreadsheets/d/1tdoBKaGub7dwA3U6UFTqxio9LNnvDCQjHKmttSEBsFQ/edit?usp=sharing"",""จัดที่ดิน!BF88"")"),0)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IFERROR(__xludf.DUMMYFUNCTION("IMPORTRANGE(""https://docs.google.com/spreadsheets/d/1eHaY18a8A9IcSdp1K8H6x8fbOy06t2VsZHhMHf-1x7Y/edit?usp=sharing"",""แผน!IP88"")"),0)</f>
        <v>0</v>
      </c>
      <c r="J678" s="152">
        <f ca="1">IFERROR(__xludf.DUMMYFUNCTION("IMPORTRANGE(""https://docs.google.com/spreadsheets/d/1tdoBKaGub7dwA3U6UFTqxio9LNnvDCQjHKmttSEBsFQ/edit?usp=sharing"",""จัดที่ดิน!BH88"")"),0)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IFERROR(__xludf.DUMMYFUNCTION("IMPORTRANGE(""https://docs.google.com/spreadsheets/d/1eHaY18a8A9IcSdp1K8H6x8fbOy06t2VsZHhMHf-1x7Y/edit?usp=sharing"",""แผน!IQ88"")"),0)</f>
        <v>0</v>
      </c>
      <c r="J679" s="152">
        <f ca="1">IFERROR(__xludf.DUMMYFUNCTION("IMPORTRANGE(""https://docs.google.com/spreadsheets/d/1tdoBKaGub7dwA3U6UFTqxio9LNnvDCQjHKmttSEBsFQ/edit?usp=sharing"",""จัดที่ดิน!BK88"")"),0)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IFERROR(__xludf.DUMMYFUNCTION("IMPORTRANGE(""https://docs.google.com/spreadsheets/d/1eHaY18a8A9IcSdp1K8H6x8fbOy06t2VsZHhMHf-1x7Y/edit?usp=sharing"",""แผน!IR88"")"),0)</f>
        <v>0</v>
      </c>
      <c r="J681" s="152">
        <f ca="1">IFERROR(__xludf.DUMMYFUNCTION("IMPORTRANGE(""https://docs.google.com/spreadsheets/d/1tdoBKaGub7dwA3U6UFTqxio9LNnvDCQjHKmttSEBsFQ/edit?usp=sharing"",""จัดที่ดิน!BM88"")"),0)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76940</v>
      </c>
      <c r="R690" s="132">
        <f ca="1">R691+R692</f>
        <v>76940</v>
      </c>
      <c r="S690" s="132">
        <f ca="1">S691+S692</f>
        <v>74891.8</v>
      </c>
      <c r="T690" s="132">
        <f ca="1">IF(Q690&gt;0,S690*100/Q690,0)</f>
        <v>97.337925656355608</v>
      </c>
      <c r="U690" s="132">
        <f ca="1">IF(R690&gt;0,S690*100/R690,0)</f>
        <v>97.337925656355608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76940</v>
      </c>
      <c r="R692" s="47">
        <f ca="1">R695+R698</f>
        <v>76940</v>
      </c>
      <c r="S692" s="47">
        <f ca="1">S695+S698</f>
        <v>74891.8</v>
      </c>
      <c r="T692" s="47">
        <f ca="1">IF(Q692&gt;0,S692*100/Q692,0)</f>
        <v>97.337925656355608</v>
      </c>
      <c r="U692" s="47">
        <f ca="1">IF(R692&gt;0,S692*100/R692,0)</f>
        <v>97.337925656355608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76940</v>
      </c>
      <c r="R693" s="47">
        <f ca="1">R694+R695</f>
        <v>76940</v>
      </c>
      <c r="S693" s="47">
        <f ca="1">S694+S695</f>
        <v>74891.8</v>
      </c>
      <c r="T693" s="47">
        <f ca="1">IF(Q693&gt;0,S693*100/Q693,0)</f>
        <v>97.337925656355608</v>
      </c>
      <c r="U693" s="47">
        <f ca="1">IF(R693&gt;0,S693*100/R693,0)</f>
        <v>97.337925656355608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IFERROR(__xludf.DUMMYFUNCTION("IMPORTRANGE(""https://docs.google.com/spreadsheets/d/1ItG2mGa2ceCfYo0BwxsXqNm01IGEUdYcSSLTEv9YCik/edit?usp=sharing"",""เบิกจ่ายกองทุน!L88"")"),76940)</f>
        <v>76940</v>
      </c>
      <c r="R695" s="47">
        <f ca="1">IFERROR(__xludf.DUMMYFUNCTION("IMPORTRANGE(""https://docs.google.com/spreadsheets/d/1ItG2mGa2ceCfYo0BwxsXqNm01IGEUdYcSSLTEv9YCik/edit?usp=sharing"",""เบิกจ่ายกองทุน!M88"")"),76940)</f>
        <v>76940</v>
      </c>
      <c r="S695" s="47">
        <f ca="1">IFERROR(__xludf.DUMMYFUNCTION("IMPORTRANGE(""https://docs.google.com/spreadsheets/d/1ItG2mGa2ceCfYo0BwxsXqNm01IGEUdYcSSLTEv9YCik/edit?usp=sharing"",""เบิกจ่ายกองทุน!N88"")"),74891.8)</f>
        <v>74891.8</v>
      </c>
      <c r="T695" s="47">
        <f ca="1">IF(Q695&gt;0,S695*100/Q695,0)</f>
        <v>97.337925656355608</v>
      </c>
      <c r="U695" s="47">
        <f ca="1">IF(R695&gt;0,S695*100/R695,0)</f>
        <v>97.337925656355608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IFERROR(__xludf.DUMMYFUNCTION("IMPORTRANGE(""https://docs.google.com/spreadsheets/d/1eHaY18a8A9IcSdp1K8H6x8fbOy06t2VsZHhMHf-1x7Y/edit?usp=sharing"",""แผน!LJ88"")"),0)</f>
        <v>0</v>
      </c>
      <c r="J703" s="152">
        <f ca="1">IFERROR(__xludf.DUMMYFUNCTION("IMPORTRANGE(""https://docs.google.com/spreadsheets/d/1tdoBKaGub7dwA3U6UFTqxio9LNnvDCQjHKmttSEBsFQ/edit?usp=sharing"",""จัดที่ดิน!AP88"")"),0)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IFERROR(__xludf.DUMMYFUNCTION("IMPORTRANGE(""https://docs.google.com/spreadsheets/d/1eHaY18a8A9IcSdp1K8H6x8fbOy06t2VsZHhMHf-1x7Y/edit?usp=sharing"",""แผน!LK88"")"),5)</f>
        <v>5</v>
      </c>
      <c r="J705" s="152">
        <f ca="1">IFERROR(__xludf.DUMMYFUNCTION("IMPORTRANGE(""https://docs.google.com/spreadsheets/d/1tdoBKaGub7dwA3U6UFTqxio9LNnvDCQjHKmttSEBsFQ/edit?usp=sharing"",""จัดที่ดิน!AR88"")"),0)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IFERROR(__xludf.DUMMYFUNCTION("IMPORTRANGE(""https://docs.google.com/spreadsheets/d/1eHaY18a8A9IcSdp1K8H6x8fbOy06t2VsZHhMHf-1x7Y/edit?usp=sharing"",""แผน!LJ88"")"),0)</f>
        <v>0</v>
      </c>
      <c r="J707" s="152">
        <f ca="1">IFERROR(__xludf.DUMMYFUNCTION("IMPORTRANGE(""https://docs.google.com/spreadsheets/d/1tdoBKaGub7dwA3U6UFTqxio9LNnvDCQjHKmttSEBsFQ/edit?usp=sharing"",""จัดที่ดิน!BN88"")"),0)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IFERROR(__xludf.DUMMYFUNCTION("IMPORTRANGE(""https://docs.google.com/spreadsheets/d/1eHaY18a8A9IcSdp1K8H6x8fbOy06t2VsZHhMHf-1x7Y/edit?usp=sharing"",""แผน!LK88"")"),5)</f>
        <v>5</v>
      </c>
      <c r="J709" s="152">
        <f ca="1">IFERROR(__xludf.DUMMYFUNCTION("IMPORTRANGE(""https://docs.google.com/spreadsheets/d/1tdoBKaGub7dwA3U6UFTqxio9LNnvDCQjHKmttSEBsFQ/edit?usp=sharing"",""จัดที่ดิน!BP88"")"),0)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IFERROR(__xludf.DUMMYFUNCTION("IMPORTRANGE(""https://docs.google.com/spreadsheets/d/1eHaY18a8A9IcSdp1K8H6x8fbOy06t2VsZHhMHf-1x7Y/edit?usp=sharing"",""แผน!GA88"")"),51)</f>
        <v>51</v>
      </c>
      <c r="J726" s="483">
        <f>J742+J746+J749</f>
        <v>51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IFERROR(__xludf.DUMMYFUNCTION("IMPORTRANGE(""https://docs.google.com/spreadsheets/d/1eHaY18a8A9IcSdp1K8H6x8fbOy06t2VsZHhMHf-1x7Y/edit?usp=sharing"",""แผน!FZ88"")"),500)</f>
        <v>500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379090</v>
      </c>
      <c r="R728" s="132">
        <f ca="1">R729+R730</f>
        <v>379090</v>
      </c>
      <c r="S728" s="132">
        <f ca="1">S729+S730</f>
        <v>346174</v>
      </c>
      <c r="T728" s="132">
        <f ca="1">IF(Q728&gt;0,S728*100/Q728,0)</f>
        <v>91.317101479859659</v>
      </c>
      <c r="U728" s="132">
        <f ca="1">IF(R728&gt;0,S728*100/R728,0)</f>
        <v>91.317101479859659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379090</v>
      </c>
      <c r="R730" s="47">
        <f ca="1">R733+R736</f>
        <v>379090</v>
      </c>
      <c r="S730" s="47">
        <f ca="1">S733+S736</f>
        <v>346174</v>
      </c>
      <c r="T730" s="47">
        <f ca="1">IF(Q730&gt;0,S730*100/Q730,0)</f>
        <v>91.317101479859659</v>
      </c>
      <c r="U730" s="47">
        <f ca="1">IF(R730&gt;0,S730*100/R730,0)</f>
        <v>91.317101479859659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379090</v>
      </c>
      <c r="R731" s="47">
        <f ca="1">R732+R733</f>
        <v>379090</v>
      </c>
      <c r="S731" s="47">
        <f ca="1">S732+S733</f>
        <v>346174</v>
      </c>
      <c r="T731" s="47">
        <f ca="1">IF(Q731&gt;0,S731*100/Q731,0)</f>
        <v>91.317101479859659</v>
      </c>
      <c r="U731" s="47">
        <f ca="1">IF(R731&gt;0,S731*100/R731,0)</f>
        <v>91.317101479859659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IFERROR(__xludf.DUMMYFUNCTION("IMPORTRANGE(""https://docs.google.com/spreadsheets/d/1ItG2mGa2ceCfYo0BwxsXqNm01IGEUdYcSSLTEv9YCik/edit?usp=sharing"",""เบิกจ่ายกองทุน!O88"")"),379090)</f>
        <v>379090</v>
      </c>
      <c r="R733" s="47">
        <f ca="1">IFERROR(__xludf.DUMMYFUNCTION("IMPORTRANGE(""https://docs.google.com/spreadsheets/d/1ItG2mGa2ceCfYo0BwxsXqNm01IGEUdYcSSLTEv9YCik/edit?usp=sharing"",""เบิกจ่ายกองทุน!P88"")"),379090)</f>
        <v>379090</v>
      </c>
      <c r="S733" s="47">
        <f ca="1">IFERROR(__xludf.DUMMYFUNCTION("IMPORTRANGE(""https://docs.google.com/spreadsheets/d/1ItG2mGa2ceCfYo0BwxsXqNm01IGEUdYcSSLTEv9YCik/edit?usp=sharing"",""เบิกจ่ายกองทุน!Q88"")"),346174)</f>
        <v>346174</v>
      </c>
      <c r="T733" s="47">
        <f ca="1">IF(Q733&gt;0,S733*100/Q733,0)</f>
        <v>91.317101479859659</v>
      </c>
      <c r="U733" s="47">
        <f ca="1">IF(R733&gt;0,S733*100/R733,0)</f>
        <v>91.317101479859659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IFERROR(__xludf.DUMMYFUNCTION("IMPORTRANGE(""https://docs.google.com/spreadsheets/d/1eHaY18a8A9IcSdp1K8H6x8fbOy06t2VsZHhMHf-1x7Y/edit?usp=sharing"",""แผน!GB88"")"),400)</f>
        <v>400</v>
      </c>
      <c r="J740" s="554">
        <v>400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/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IFERROR(__xludf.DUMMYFUNCTION("IMPORTRANGE(""https://docs.google.com/spreadsheets/d/1eHaY18a8A9IcSdp1K8H6x8fbOy06t2VsZHhMHf-1x7Y/edit?usp=sharing"",""แผน!GC88"")"),40)</f>
        <v>40</v>
      </c>
      <c r="J742" s="554">
        <v>40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IFERROR(__xludf.DUMMYFUNCTION("IMPORTRANGE(""https://docs.google.com/spreadsheets/d/1eHaY18a8A9IcSdp1K8H6x8fbOy06t2VsZHhMHf-1x7Y/edit?usp=sharing"",""แผน!GD88"")"),100)</f>
        <v>100</v>
      </c>
      <c r="J744" s="554">
        <v>100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/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IFERROR(__xludf.DUMMYFUNCTION("IMPORTRANGE(""https://docs.google.com/spreadsheets/d/1eHaY18a8A9IcSdp1K8H6x8fbOy06t2VsZHhMHf-1x7Y/edit?usp=sharing"",""แผน!GE88"")"),10)</f>
        <v>10</v>
      </c>
      <c r="J746" s="554">
        <v>10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IFERROR(__xludf.DUMMYFUNCTION("IMPORTRANGE(""https://docs.google.com/spreadsheets/d/1eHaY18a8A9IcSdp1K8H6x8fbOy06t2VsZHhMHf-1x7Y/edit?usp=sharing"",""แผน!GF88"")"),1)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IFERROR(__xludf.DUMMYFUNCTION("IMPORTRANGE(""https://docs.google.com/spreadsheets/d/1eHaY18a8A9IcSdp1K8H6x8fbOy06t2VsZHhMHf-1x7Y/edit?usp=sharing"",""แผน!GB88"")"),400)</f>
        <v>400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IFERROR(__xludf.DUMMYFUNCTION("IMPORTRANGE(""https://docs.google.com/spreadsheets/d/1eHaY18a8A9IcSdp1K8H6x8fbOy06t2VsZHhMHf-1x7Y/edit?usp=sharing"",""แผน!GD88"")"),100)</f>
        <v>100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80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338980</v>
      </c>
      <c r="R760" s="132">
        <f ca="1">R761+R762</f>
        <v>338980</v>
      </c>
      <c r="S760" s="132">
        <f ca="1">S761+S762</f>
        <v>250080</v>
      </c>
      <c r="T760" s="132">
        <f ca="1">IF(Q760&gt;0,S760*100/Q760,0)</f>
        <v>73.77426396837572</v>
      </c>
      <c r="U760" s="132">
        <f ca="1">IF(R760&gt;0,S760*100/R760,0)</f>
        <v>73.77426396837572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338980</v>
      </c>
      <c r="R762" s="47">
        <f ca="1">R765+R768</f>
        <v>338980</v>
      </c>
      <c r="S762" s="47">
        <f ca="1">S765+S768</f>
        <v>250080</v>
      </c>
      <c r="T762" s="47">
        <f ca="1">IF(Q762&gt;0,S762*100/Q762,0)</f>
        <v>73.77426396837572</v>
      </c>
      <c r="U762" s="47">
        <f ca="1">IF(R762&gt;0,S762*100/R762,0)</f>
        <v>73.77426396837572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338980</v>
      </c>
      <c r="R763" s="47">
        <f ca="1">R764+R765</f>
        <v>338980</v>
      </c>
      <c r="S763" s="47">
        <f ca="1">S764+S765</f>
        <v>250080</v>
      </c>
      <c r="T763" s="47">
        <f ca="1">IF(Q763&gt;0,S763*100/Q763,0)</f>
        <v>73.77426396837572</v>
      </c>
      <c r="U763" s="47">
        <f ca="1">IF(R763&gt;0,S763*100/R763,0)</f>
        <v>73.77426396837572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IFERROR(__xludf.DUMMYFUNCTION("IMPORTRANGE(""https://docs.google.com/spreadsheets/d/1ItG2mGa2ceCfYo0BwxsXqNm01IGEUdYcSSLTEv9YCik/edit?usp=sharing"",""เบิกจ่ายกองทุน!AA88"")"),338980)</f>
        <v>338980</v>
      </c>
      <c r="R765" s="47">
        <f ca="1">IFERROR(__xludf.DUMMYFUNCTION("IMPORTRANGE(""https://docs.google.com/spreadsheets/d/1ItG2mGa2ceCfYo0BwxsXqNm01IGEUdYcSSLTEv9YCik/edit?usp=sharing"",""เบิกจ่ายกองทุน!AB88"")"),338980)</f>
        <v>338980</v>
      </c>
      <c r="S765" s="47">
        <f ca="1">IFERROR(__xludf.DUMMYFUNCTION("IMPORTRANGE(""https://docs.google.com/spreadsheets/d/1ItG2mGa2ceCfYo0BwxsXqNm01IGEUdYcSSLTEv9YCik/edit?usp=sharing"",""เบิกจ่ายกองทุน!AC88"")"),250080)</f>
        <v>250080</v>
      </c>
      <c r="T765" s="47">
        <f ca="1">IF(Q765&gt;0,S765*100/Q765,0)</f>
        <v>73.77426396837572</v>
      </c>
      <c r="U765" s="47">
        <f ca="1">IF(R765&gt;0,S765*100/R765,0)</f>
        <v>73.77426396837572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IFERROR(__xludf.DUMMYFUNCTION("IMPORTRANGE(""https://docs.google.com/spreadsheets/d/1eHaY18a8A9IcSdp1K8H6x8fbOy06t2VsZHhMHf-1x7Y/edit?usp=sharing"",""แผน!FQ88"")"),40)</f>
        <v>40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IFERROR(__xludf.DUMMYFUNCTION("IMPORTRANGE(""https://docs.google.com/spreadsheets/d/1eHaY18a8A9IcSdp1K8H6x8fbOy06t2VsZHhMHf-1x7Y/edit?usp=sharing"",""แผน!FR88"")"),80)</f>
        <v>80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IFERROR(__xludf.DUMMYFUNCTION("IMPORTRANGE(""https://docs.google.com/spreadsheets/d/1eHaY18a8A9IcSdp1K8H6x8fbOy06t2VsZHhMHf-1x7Y/edit?usp=sharing"",""แผน!FS88"")"),80)</f>
        <v>80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IFERROR(__xludf.DUMMYFUNCTION("IMPORTRANGE(""https://docs.google.com/spreadsheets/d/1eHaY18a8A9IcSdp1K8H6x8fbOy06t2VsZHhMHf-1x7Y/edit?usp=sharing"",""แผน!FT88"")"),40)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IFERROR(__xludf.DUMMYFUNCTION("IMPORTRANGE(""https://docs.google.com/spreadsheets/d/10OvvATaaLtwErnr3qtWFcTmtbfpFEt5Bsqel9sXx0uE/edit?usp=sharing"",""งานกองทุน!D88"")"),200743.15)</f>
        <v>200743.15</v>
      </c>
      <c r="J778" s="152">
        <f ca="1">IFERROR(__xludf.DUMMYFUNCTION("IMPORTRANGE(""https://docs.google.com/spreadsheets/d/10OvvATaaLtwErnr3qtWFcTmtbfpFEt5Bsqel9sXx0uE/edit?usp=sharing"",""งานกองทุน!F88"")"),147345.26)</f>
        <v>147345.26</v>
      </c>
      <c r="K778" s="47">
        <f ca="1">IF(I778&gt;0,J778*100/I778,0)</f>
        <v>73.399894342596497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IFERROR(__xludf.DUMMYFUNCTION("IMPORTRANGE(""https://docs.google.com/spreadsheets/d/10OvvATaaLtwErnr3qtWFcTmtbfpFEt5Bsqel9sXx0uE/edit?usp=sharing"",""งานกองทุน!C88"")"),12)</f>
        <v>12</v>
      </c>
      <c r="J779" s="152">
        <f ca="1">IFERROR(__xludf.DUMMYFUNCTION("IMPORTRANGE(""https://docs.google.com/spreadsheets/d/10OvvATaaLtwErnr3qtWFcTmtbfpFEt5Bsqel9sXx0uE/edit?usp=sharing"",""งานกองทุน!E88"")"),10)</f>
        <v>10</v>
      </c>
      <c r="K779" s="47">
        <f ca="1">IF(I779&gt;0,J779*100/I779,0)</f>
        <v>83.333333333333329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IFERROR(__xludf.DUMMYFUNCTION("IMPORTRANGE(""https://docs.google.com/spreadsheets/d/10OvvATaaLtwErnr3qtWFcTmtbfpFEt5Bsqel9sXx0uE/edit?usp=sharing"",""งานกองทุน!I88"")"),1599847.44)</f>
        <v>1599847.44</v>
      </c>
      <c r="J780" s="152">
        <f ca="1">IFERROR(__xludf.DUMMYFUNCTION("IMPORTRANGE(""https://docs.google.com/spreadsheets/d/10OvvATaaLtwErnr3qtWFcTmtbfpFEt5Bsqel9sXx0uE/edit?usp=sharing"",""งานกองทุน!K88"")"),173042.28)</f>
        <v>173042.28</v>
      </c>
      <c r="K780" s="47">
        <f ca="1">IF(I780&gt;0,J780*100/I780,0)</f>
        <v>10.816173822173944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IFERROR(__xludf.DUMMYFUNCTION("IMPORTRANGE(""https://docs.google.com/spreadsheets/d/10OvvATaaLtwErnr3qtWFcTmtbfpFEt5Bsqel9sXx0uE/edit?usp=sharing"",""งานกองทุน!H88"")"),59)</f>
        <v>59</v>
      </c>
      <c r="J781" s="152">
        <f ca="1">IFERROR(__xludf.DUMMYFUNCTION("IMPORTRANGE(""https://docs.google.com/spreadsheets/d/10OvvATaaLtwErnr3qtWFcTmtbfpFEt5Bsqel9sXx0uE/edit?usp=sharing"",""งานกองทุน!J88"")"),41)</f>
        <v>41</v>
      </c>
      <c r="K781" s="47">
        <f ca="1">IF(I781&gt;0,J781*100/I781,0)</f>
        <v>69.491525423728817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IFERROR(__xludf.DUMMYFUNCTION("IMPORTRANGE(""https://docs.google.com/spreadsheets/d/10OvvATaaLtwErnr3qtWFcTmtbfpFEt5Bsqel9sXx0uE/edit?usp=sharing"",""งานกองทุน!N88"")"),153556)</f>
        <v>153556</v>
      </c>
      <c r="J782" s="152">
        <f ca="1">IFERROR(__xludf.DUMMYFUNCTION("IMPORTRANGE(""https://docs.google.com/spreadsheets/d/10OvvATaaLtwErnr3qtWFcTmtbfpFEt5Bsqel9sXx0uE/edit?usp=sharing"",""งานกองทุน!P88"")"),82936)</f>
        <v>82936</v>
      </c>
      <c r="K782" s="47">
        <f ca="1">IF(I782&gt;0,J782*100/I782,0)</f>
        <v>54.010263356690722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IFERROR(__xludf.DUMMYFUNCTION("IMPORTRANGE(""https://docs.google.com/spreadsheets/d/10OvvATaaLtwErnr3qtWFcTmtbfpFEt5Bsqel9sXx0uE/edit?usp=sharing"",""งานกองทุน!M88"")"),114)</f>
        <v>114</v>
      </c>
      <c r="J783" s="152">
        <f ca="1">IFERROR(__xludf.DUMMYFUNCTION("IMPORTRANGE(""https://docs.google.com/spreadsheets/d/10OvvATaaLtwErnr3qtWFcTmtbfpFEt5Bsqel9sXx0uE/edit?usp=sharing"",""งานกองทุน!O88"")"),53)</f>
        <v>53</v>
      </c>
      <c r="K783" s="47">
        <f ca="1">IF(I783&gt;0,J783*100/I783,0)</f>
        <v>46.491228070175438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IFERROR(__xludf.DUMMYFUNCTION("IMPORTRANGE(""https://docs.google.com/spreadsheets/d/10OvvATaaLtwErnr3qtWFcTmtbfpFEt5Bsqel9sXx0uE/edit?usp=sharing"",""งานกองทุน!S88"")"),3724000)</f>
        <v>3724000</v>
      </c>
      <c r="J784" s="152">
        <f ca="1">IFERROR(__xludf.DUMMYFUNCTION("IMPORTRANGE(""https://docs.google.com/spreadsheets/d/10OvvATaaLtwErnr3qtWFcTmtbfpFEt5Bsqel9sXx0uE/edit?usp=sharing"",""งานกองทุน!U88"")"),2350000)</f>
        <v>2350000</v>
      </c>
      <c r="K784" s="47">
        <f ca="1">IF(I784&gt;0,J784*100/I784,0)</f>
        <v>63.104189044038669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IFERROR(__xludf.DUMMYFUNCTION("IMPORTRANGE(""https://docs.google.com/spreadsheets/d/10OvvATaaLtwErnr3qtWFcTmtbfpFEt5Bsqel9sXx0uE/edit?usp=sharing"",""งานกองทุน!R88"")"),133)</f>
        <v>133</v>
      </c>
      <c r="J785" s="197">
        <f ca="1">IFERROR(__xludf.DUMMYFUNCTION("IMPORTRANGE(""https://docs.google.com/spreadsheets/d/10OvvATaaLtwErnr3qtWFcTmtbfpFEt5Bsqel9sXx0uE/edit?usp=sharing"",""งานกองทุน!T88"")"),47)</f>
        <v>47</v>
      </c>
      <c r="K785" s="111">
        <f ca="1">IF(I785&gt;0,J785*100/I785,0)</f>
        <v>35.338345864661655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90:G690"/>
    <mergeCell ref="D714:G714"/>
    <mergeCell ref="D728:G728"/>
    <mergeCell ref="D760:G760"/>
    <mergeCell ref="D493:G493"/>
    <mergeCell ref="Q5:R5"/>
    <mergeCell ref="D599:G599"/>
    <mergeCell ref="D616:G616"/>
    <mergeCell ref="D642:G642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479B79-05A8-45BC-BFBF-095AEE153257}">
  <sheetPr codeName="Sheet2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3" width="23" bestFit="1" customWidth="1"/>
    <col min="14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313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42396794</v>
      </c>
      <c r="M18" s="35">
        <f ca="1">M19+M20</f>
        <v>42685024</v>
      </c>
      <c r="N18" s="35">
        <f ca="1">N19+N20</f>
        <v>2123346.06</v>
      </c>
      <c r="O18" s="35">
        <f ca="1">IF(L18&gt;0,N18*100/L18,0)</f>
        <v>5.0082703423282426</v>
      </c>
      <c r="P18" s="35">
        <f ca="1">IF(M18&gt;0,N18*100/M18,0)</f>
        <v>4.9744520701218304</v>
      </c>
      <c r="Q18" s="35">
        <f ca="1">Q19+Q20</f>
        <v>1891168</v>
      </c>
      <c r="R18" s="35">
        <f ca="1">R19+R20</f>
        <v>1923568</v>
      </c>
      <c r="S18" s="35">
        <f ca="1">S19+S20</f>
        <v>329335.26</v>
      </c>
      <c r="T18" s="35">
        <f ca="1">IF(Q18&gt;0,S18*100/Q18,0)</f>
        <v>17.414384126634967</v>
      </c>
      <c r="U18" s="35">
        <f ca="1">IF(R18&gt;0,S18*100/R18,0)</f>
        <v>17.121061485739002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42396794</v>
      </c>
      <c r="M20" s="39">
        <f ca="1">M23+M26</f>
        <v>42685024</v>
      </c>
      <c r="N20" s="39">
        <f ca="1">N23+N26</f>
        <v>2123346.06</v>
      </c>
      <c r="O20" s="39">
        <f ca="1">IF(L20&gt;0,N20*100/L20,0)</f>
        <v>5.0082703423282426</v>
      </c>
      <c r="P20" s="39">
        <f ca="1">IF(M20&gt;0,N20*100/M20,0)</f>
        <v>4.9744520701218304</v>
      </c>
      <c r="Q20" s="39">
        <f ca="1">Q23+Q26</f>
        <v>1891168</v>
      </c>
      <c r="R20" s="39">
        <f ca="1">R23+R26</f>
        <v>1923568</v>
      </c>
      <c r="S20" s="39">
        <f ca="1">S23+S26</f>
        <v>329335.26</v>
      </c>
      <c r="T20" s="39">
        <f ca="1">IF(Q20&gt;0,S20*100/Q20,0)</f>
        <v>17.414384126634967</v>
      </c>
      <c r="U20" s="39">
        <f ca="1">IF(R20&gt;0,S20*100/R20,0)</f>
        <v>17.121061485739002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3029294</v>
      </c>
      <c r="M21" s="47">
        <f ca="1">M22+M23</f>
        <v>3317524</v>
      </c>
      <c r="N21" s="47">
        <f ca="1">N22+N23</f>
        <v>2123346.06</v>
      </c>
      <c r="O21" s="47">
        <f ca="1">IF(L21&gt;0,N21*100/L21,0)</f>
        <v>70.093759800138244</v>
      </c>
      <c r="P21" s="47">
        <f ca="1">IF(M21&gt;0,N21*100/M21,0)</f>
        <v>64.003939685138675</v>
      </c>
      <c r="Q21" s="47">
        <f ca="1">Q22+Q23</f>
        <v>1891168</v>
      </c>
      <c r="R21" s="47">
        <f ca="1">R22+R23</f>
        <v>1923568</v>
      </c>
      <c r="S21" s="47">
        <f ca="1">S22+S23</f>
        <v>329335.26</v>
      </c>
      <c r="T21" s="47">
        <f ca="1">IF(Q21&gt;0,S21*100/Q21,0)</f>
        <v>17.414384126634967</v>
      </c>
      <c r="U21" s="47">
        <f ca="1">IF(R21&gt;0,S21*100/R21,0)</f>
        <v>17.121061485739002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3029294</v>
      </c>
      <c r="M23" s="47">
        <f ca="1">M49+M64+M77+M99+M122+M144+M162+M191+M178+M271+M287+M308+M325+M338+M361+M380+M418+M498+M518+M539+M560+M581+M604+M621+M647+M695+M719+M733+M765</f>
        <v>3317524</v>
      </c>
      <c r="N23" s="47">
        <f ca="1">N49+N64+N77+N99+N122+N144+N162+N191+N178+N271+N287+N308+N325+N338+N361+N380+N418+N498+N518+N539+N560+N581+N604+N621+N647+N695+N719+N733+N765</f>
        <v>2123346.06</v>
      </c>
      <c r="O23" s="47">
        <f ca="1">IF(L23&gt;0,N23*100/L23,0)</f>
        <v>70.093759800138244</v>
      </c>
      <c r="P23" s="47">
        <f ca="1">IF(M23&gt;0,N23*100/M23,0)</f>
        <v>64.003939685138675</v>
      </c>
      <c r="Q23" s="47">
        <f ca="1">Q77+Q99+Q122+Q144+Q162+Q178+Q191+Q271+Q287+Q308+Q338+Q380+Q397+Q418+Q498+Q604+Q621+Q647+Q695+Q719+Q733+Q765</f>
        <v>1891168</v>
      </c>
      <c r="R23" s="47">
        <f ca="1">R77+R99+R122+R144+R162+R178+R191+R271+R287+R308+R338+R380+R397+R418+R498+R604+R621+R647+R695+R719+R733+R765</f>
        <v>1923568</v>
      </c>
      <c r="S23" s="47">
        <f ca="1">S77+S99+S122+S144+S162+S178+S191+S271+S287+S308+S338+S380+S397+S418+S498+S604+S621+S647+S695+S719+S733+S765</f>
        <v>329335.26</v>
      </c>
      <c r="T23" s="47">
        <f ca="1">IF(Q23&gt;0,S23*100/Q23,0)</f>
        <v>17.414384126634967</v>
      </c>
      <c r="U23" s="47">
        <f ca="1">IF(R23&gt;0,S23*100/R23,0)</f>
        <v>17.121061485739002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39367500</v>
      </c>
      <c r="M24" s="47">
        <f ca="1">M25+M26</f>
        <v>39367500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39367500</v>
      </c>
      <c r="M26" s="47">
        <f ca="1">M52+M67+M80+M102+M125+M147+M165+M194+M181+M274+M290+M311+M328+M341+M364+M383+M421+M501+M521+M542+M563+M584+M607+M624+M650+M698+M722+M736+M768</f>
        <v>39367500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8538910</v>
      </c>
      <c r="M40" s="802">
        <f ca="1">M44+M59+M72+M94+M125+M139+M157+M173+M186+M266+M282+M303+M320+M333+M356</f>
        <v>8694640</v>
      </c>
      <c r="N40" s="802">
        <f ca="1">N44+N59+N72+N94+N125+N139+N157+N173+N186+N266+N282+N303+N320+N333+N356</f>
        <v>1987646.06</v>
      </c>
      <c r="O40" s="802">
        <f ca="1">IF(L40&gt;0,N40*100/L40,0)</f>
        <v>23.277515045831375</v>
      </c>
      <c r="P40" s="802">
        <f ca="1">IF(M40&gt;0,N40*100/M40,0)</f>
        <v>22.860590662753143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551520</v>
      </c>
      <c r="M44" s="79">
        <f ca="1">M45+M46</f>
        <v>588130</v>
      </c>
      <c r="N44" s="79">
        <f ca="1">N45+N46</f>
        <v>441292</v>
      </c>
      <c r="O44" s="79">
        <f ca="1">IF(L44&gt;0,N44*100/L44,0)</f>
        <v>80.013780098636502</v>
      </c>
      <c r="P44" s="79">
        <f ca="1">IF(M44&gt;0,N44*100/M44,0)</f>
        <v>75.033070919694623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551520</v>
      </c>
      <c r="M46" s="83">
        <f ca="1">M49+M52</f>
        <v>588130</v>
      </c>
      <c r="N46" s="83">
        <f ca="1">N49+N52</f>
        <v>441292</v>
      </c>
      <c r="O46" s="83">
        <f ca="1">IF(L46&gt;0,N46*100/L46,0)</f>
        <v>80.013780098636502</v>
      </c>
      <c r="P46" s="83">
        <f ca="1">IF(M46&gt;0,N46*100/M46,0)</f>
        <v>75.033070919694623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551520</v>
      </c>
      <c r="M47" s="47">
        <f ca="1">M48+M49</f>
        <v>588130</v>
      </c>
      <c r="N47" s="47">
        <f ca="1">N48+N49</f>
        <v>441292</v>
      </c>
      <c r="O47" s="47">
        <f ca="1">IF(L47&gt;0,N47*100/L47,0)</f>
        <v>80.013780098636502</v>
      </c>
      <c r="P47" s="47">
        <f ca="1">IF(M47&gt;0,N47*100/M47,0)</f>
        <v>75.033070919694623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IFERROR(__xludf.DUMMYFUNCTION("IMPORTRANGE(""https://docs.google.com/spreadsheets/d/1-uDff_7J0KD5mKrp0Vvzr7lt3OU09vwQwhkpOPPYv2Y/edit?usp=sharing"",""งบพรบ!P75"")"),551520)</f>
        <v>551520</v>
      </c>
      <c r="M49" s="47">
        <f ca="1">IFERROR(__xludf.DUMMYFUNCTION("IMPORTRANGE(""https://docs.google.com/spreadsheets/d/1-uDff_7J0KD5mKrp0Vvzr7lt3OU09vwQwhkpOPPYv2Y/edit?usp=sharing"",""งบพรบ!V75"")"),588130)</f>
        <v>588130</v>
      </c>
      <c r="N49" s="47">
        <f ca="1">IFERROR(__xludf.DUMMYFUNCTION("IMPORTRANGE(""https://docs.google.com/spreadsheets/d/1-uDff_7J0KD5mKrp0Vvzr7lt3OU09vwQwhkpOPPYv2Y/edit?usp=sharing"",""งบพรบ!Y75"")"),441292)</f>
        <v>441292</v>
      </c>
      <c r="O49" s="47">
        <f ca="1">IF(L49&gt;0,N49*100/L49,0)</f>
        <v>80.013780098636502</v>
      </c>
      <c r="P49" s="47">
        <f ca="1">IF(M49&gt;0,N49*100/M49,0)</f>
        <v>75.033070919694623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IFERROR(__xludf.DUMMYFUNCTION("IMPORTRANGE(""https://docs.google.com/spreadsheets/d/1-uDff_7J0KD5mKrp0Vvzr7lt3OU09vwQwhkpOPPYv2Y/edit?usp=sharing"",""งบพรบ!S75"")"),0)</f>
        <v>0</v>
      </c>
      <c r="M52" s="47">
        <f ca="1">IFERROR(__xludf.DUMMYFUNCTION("IMPORTRANGE(""https://docs.google.com/spreadsheets/d/1-uDff_7J0KD5mKrp0Vvzr7lt3OU09vwQwhkpOPPYv2Y/edit?usp=sharing"",""งบพรบ!W75"")"),0)</f>
        <v>0</v>
      </c>
      <c r="N52" s="47">
        <f ca="1">IFERROR(__xludf.DUMMYFUNCTION("IMPORTRANGE(""https://docs.google.com/spreadsheets/d/1-uDff_7J0KD5mKrp0Vvzr7lt3OU09vwQwhkpOPPYv2Y/edit?usp=sharing"",""งบพรบ!Z75"")"),0)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6607000</v>
      </c>
      <c r="M59" s="106">
        <f ca="1">M60+M61</f>
        <v>6638000</v>
      </c>
      <c r="N59" s="106">
        <f ca="1">N60+N61</f>
        <v>597499.56000000006</v>
      </c>
      <c r="O59" s="106">
        <f ca="1">IF(L59&gt;0,N59*100/L59,0)</f>
        <v>9.0434321174511894</v>
      </c>
      <c r="P59" s="106">
        <f ca="1">IF(M59&gt;0,N59*100/M59,0)</f>
        <v>9.0011985537812613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6607000</v>
      </c>
      <c r="M61" s="109">
        <f ca="1">M64+M67</f>
        <v>6638000</v>
      </c>
      <c r="N61" s="109">
        <f ca="1">N64+N67</f>
        <v>597499.56000000006</v>
      </c>
      <c r="O61" s="109">
        <f ca="1">IF(L61&gt;0,N61*100/L61,0)</f>
        <v>9.0434321174511894</v>
      </c>
      <c r="P61" s="109">
        <f ca="1">IF(M61&gt;0,N61*100/M61,0)</f>
        <v>9.0011985537812613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663000</v>
      </c>
      <c r="M62" s="47">
        <f ca="1">M63+M64</f>
        <v>694000</v>
      </c>
      <c r="N62" s="47">
        <f ca="1">N63+N64</f>
        <v>597499.56000000006</v>
      </c>
      <c r="O62" s="47">
        <f ca="1">IF(L62&gt;0,N62*100/L62,0)</f>
        <v>90.120597285067888</v>
      </c>
      <c r="P62" s="47">
        <f ca="1">IF(M62&gt;0,N62*100/M62,0)</f>
        <v>86.095037463976951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IFERROR(__xludf.DUMMYFUNCTION("IMPORTRANGE(""https://docs.google.com/spreadsheets/d/1-uDff_7J0KD5mKrp0Vvzr7lt3OU09vwQwhkpOPPYv2Y/edit?usp=sharing"",""งบพรบ!AC75"")"),663000)</f>
        <v>663000</v>
      </c>
      <c r="M64" s="47">
        <f ca="1">IFERROR(__xludf.DUMMYFUNCTION("IMPORTRANGE(""https://docs.google.com/spreadsheets/d/1-uDff_7J0KD5mKrp0Vvzr7lt3OU09vwQwhkpOPPYv2Y/edit?usp=sharing"",""งบพรบ!AH75"")"),694000)</f>
        <v>694000</v>
      </c>
      <c r="N64" s="47">
        <f ca="1">IFERROR(__xludf.DUMMYFUNCTION("IMPORTRANGE(""https://docs.google.com/spreadsheets/d/1-uDff_7J0KD5mKrp0Vvzr7lt3OU09vwQwhkpOPPYv2Y/edit?usp=sharing"",""งบพรบ!AJ75"")"),597499.56)</f>
        <v>597499.56000000006</v>
      </c>
      <c r="O64" s="47">
        <f ca="1">IF(L64&gt;0,N64*100/L64,0)</f>
        <v>90.120597285067888</v>
      </c>
      <c r="P64" s="47">
        <f ca="1">IF(M64&gt;0,N64*100/M64,0)</f>
        <v>86.095037463976951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5944000</v>
      </c>
      <c r="M65" s="47">
        <f ca="1">M66+M67</f>
        <v>5944000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IFERROR(__xludf.DUMMYFUNCTION("IMPORTRANGE(""https://docs.google.com/spreadsheets/d/1-uDff_7J0KD5mKrp0Vvzr7lt3OU09vwQwhkpOPPYv2Y/edit?usp=sharing"",""งบพรบ!AF75"")"),5944000)</f>
        <v>5944000</v>
      </c>
      <c r="M67" s="111">
        <f ca="1">IFERROR(__xludf.DUMMYFUNCTION("IMPORTRANGE(""https://docs.google.com/spreadsheets/d/1-uDff_7J0KD5mKrp0Vvzr7lt3OU09vwQwhkpOPPYv2Y/edit?usp=sharing"",""งบพรบ!AI75"")"),5944000)</f>
        <v>5944000</v>
      </c>
      <c r="N67" s="111">
        <f ca="1">IFERROR(__xludf.DUMMYFUNCTION("IMPORTRANGE(""https://docs.google.com/spreadsheets/d/1-uDff_7J0KD5mKrp0Vvzr7lt3OU09vwQwhkpOPPYv2Y/edit?usp=sharing"",""งบพรบ!AK75"")"),0)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IFERROR(__xludf.DUMMYFUNCTION("IMPORTRANGE(""https://docs.google.com/spreadsheets/d/1-uDff_7J0KD5mKrp0Vvzr7lt3OU09vwQwhkpOPPYv2Y/edit?usp=sharing"",""งบพรบ!AM75"")"),0)</f>
        <v>0</v>
      </c>
      <c r="M77" s="47">
        <f ca="1">IFERROR(__xludf.DUMMYFUNCTION("IMPORTRANGE(""https://docs.google.com/spreadsheets/d/1-uDff_7J0KD5mKrp0Vvzr7lt3OU09vwQwhkpOPPYv2Y/edit?usp=sharing"",""งบพรบ!AR75"")"),0)</f>
        <v>0</v>
      </c>
      <c r="N77" s="47">
        <f ca="1">IFERROR(__xludf.DUMMYFUNCTION("IMPORTRANGE(""https://docs.google.com/spreadsheets/d/1-uDff_7J0KD5mKrp0Vvzr7lt3OU09vwQwhkpOPPYv2Y/edit?usp=sharing"",""งบพรบ!AT75"")"),0)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IFERROR(__xludf.DUMMYFUNCTION("IMPORTRANGE(""https://docs.google.com/spreadsheets/d/1ItG2mGa2ceCfYo0BwxsXqNm01IGEUdYcSSLTEv9YCik/edit?usp=sharing"",""เบิกจ่ายกองทุน!BH75"")"),0)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IFERROR(__xludf.DUMMYFUNCTION("IMPORTRANGE(""https://docs.google.com/spreadsheets/d/1ItG2mGa2ceCfYo0BwxsXqNm01IGEUdYcSSLTEv9YCik/edit?usp=sharing"",""เบิกจ่ายกองทุน!BI75"")"),0)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IFERROR(__xludf.DUMMYFUNCTION("IMPORTRANGE(""https://docs.google.com/spreadsheets/d/1ItG2mGa2ceCfYo0BwxsXqNm01IGEUdYcSSLTEv9YCik/edit?usp=sharing"",""เบิกจ่ายกองทุน!BJ75"")"),0)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IFERROR(__xludf.DUMMYFUNCTION("IMPORTRANGE(""https://docs.google.com/spreadsheets/d/1-uDff_7J0KD5mKrp0Vvzr7lt3OU09vwQwhkpOPPYv2Y/edit?usp=sharing"",""งบพรบ!AP75"")"),0)</f>
        <v>0</v>
      </c>
      <c r="M80" s="47">
        <f ca="1">IFERROR(__xludf.DUMMYFUNCTION("IMPORTRANGE(""https://docs.google.com/spreadsheets/d/1-uDff_7J0KD5mKrp0Vvzr7lt3OU09vwQwhkpOPPYv2Y/edit?usp=sharing"",""งบพรบ!AS75"")"),0)</f>
        <v>0</v>
      </c>
      <c r="N80" s="47">
        <f ca="1">IFERROR(__xludf.DUMMYFUNCTION("IMPORTRANGE(""https://docs.google.com/spreadsheets/d/1-uDff_7J0KD5mKrp0Vvzr7lt3OU09vwQwhkpOPPYv2Y/edit?usp=sharing"",""งบพรบ!AU75"")"),0)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IFERROR(__xludf.DUMMYFUNCTION("IMPORTRANGE(""https://docs.google.com/spreadsheets/d/1ItG2mGa2ceCfYo0BwxsXqNm01IGEUdYcSSLTEv9YCik/edit?usp=sharing"",""เบิกจ่ายกองทุน!BK75"")"),0)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IFERROR(__xludf.DUMMYFUNCTION("IMPORTRANGE(""https://docs.google.com/spreadsheets/d/1ItG2mGa2ceCfYo0BwxsXqNm01IGEUdYcSSLTEv9YCik/edit?usp=sharing"",""เบิกจ่ายกองทุน!BL75"")"),0)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IFERROR(__xludf.DUMMYFUNCTION("IMPORTRANGE(""https://docs.google.com/spreadsheets/d/1ItG2mGa2ceCfYo0BwxsXqNm01IGEUdYcSSLTEv9YCik/edit?usp=sharing"",""เบิกจ่ายกองทุน!BM75"")"),0)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IFERROR(__xludf.DUMMYFUNCTION("IMPORTRANGE(""https://docs.google.com/spreadsheets/d/1eHaY18a8A9IcSdp1K8H6x8fbOy06t2VsZHhMHf-1x7Y/edit?usp=sharing"",""แผน!H75"")"),0)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IFERROR(__xludf.DUMMYFUNCTION("IMPORTRANGE(""https://docs.google.com/spreadsheets/d/1eHaY18a8A9IcSdp1K8H6x8fbOy06t2VsZHhMHf-1x7Y/edit?usp=sharing"",""แผน!I75"")"),0)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IFERROR(__xludf.DUMMYFUNCTION("IMPORTRANGE(""https://docs.google.com/spreadsheets/d/1eHaY18a8A9IcSdp1K8H6x8fbOy06t2VsZHhMHf-1x7Y/edit?usp=sharing"",""แผน!F75"")"),0)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IFERROR(__xludf.DUMMYFUNCTION("IMPORTRANGE(""https://docs.google.com/spreadsheets/d/1eHaY18a8A9IcSdp1K8H6x8fbOy06t2VsZHhMHf-1x7Y/edit?usp=sharing"",""แผน!G75"")"),0)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IFERROR(__xludf.DUMMYFUNCTION("IMPORTRANGE(""https://docs.google.com/spreadsheets/d/1eHaY18a8A9IcSdp1K8H6x8fbOy06t2VsZHhMHf-1x7Y/edit?usp=sharing"",""แผน!D75"")"),0)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IFERROR(__xludf.DUMMYFUNCTION("IMPORTRANGE(""https://docs.google.com/spreadsheets/d/1eHaY18a8A9IcSdp1K8H6x8fbOy06t2VsZHhMHf-1x7Y/edit?usp=sharing"",""แผน!E75"")"),0)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IFERROR(__xludf.DUMMYFUNCTION("IMPORTRANGE(""https://docs.google.com/spreadsheets/d/1eHaY18a8A9IcSdp1K8H6x8fbOy06t2VsZHhMHf-1x7Y/edit?usp=sharing"",""แผน!J75"")"),0)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IFERROR(__xludf.DUMMYFUNCTION("IMPORTRANGE(""https://docs.google.com/spreadsheets/d/1-uDff_7J0KD5mKrp0Vvzr7lt3OU09vwQwhkpOPPYv2Y/edit?usp=sharing"",""งบพรบ!AW75"")"),0)</f>
        <v>0</v>
      </c>
      <c r="M99" s="47">
        <f ca="1">IFERROR(__xludf.DUMMYFUNCTION("IMPORTRANGE(""https://docs.google.com/spreadsheets/d/1-uDff_7J0KD5mKrp0Vvzr7lt3OU09vwQwhkpOPPYv2Y/edit?usp=sharing"",""งบพรบ!BB75"")"),0)</f>
        <v>0</v>
      </c>
      <c r="N99" s="47">
        <f ca="1">IFERROR(__xludf.DUMMYFUNCTION("IMPORTRANGE(""https://docs.google.com/spreadsheets/d/1-uDff_7J0KD5mKrp0Vvzr7lt3OU09vwQwhkpOPPYv2Y/edit?usp=sharing"",""งบพรบ!BD75"")"),0)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IFERROR(__xludf.DUMMYFUNCTION("IMPORTRANGE(""https://docs.google.com/spreadsheets/d/1ItG2mGa2ceCfYo0BwxsXqNm01IGEUdYcSSLTEv9YCik/edit?usp=sharing"",""เบิกจ่ายกองทุน!AJ75"")"),0)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IFERROR(__xludf.DUMMYFUNCTION("IMPORTRANGE(""https://docs.google.com/spreadsheets/d/1ItG2mGa2ceCfYo0BwxsXqNm01IGEUdYcSSLTEv9YCik/edit?usp=sharing"",""เบิกจ่ายกองทุน!AK75"")"),0)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IFERROR(__xludf.DUMMYFUNCTION("IMPORTRANGE(""https://docs.google.com/spreadsheets/d/1ItG2mGa2ceCfYo0BwxsXqNm01IGEUdYcSSLTEv9YCik/edit?usp=sharing"",""เบิกจ่ายกองทุน!AL75"")"),0)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IFERROR(__xludf.DUMMYFUNCTION("IMPORTRANGE(""https://docs.google.com/spreadsheets/d/1-uDff_7J0KD5mKrp0Vvzr7lt3OU09vwQwhkpOPPYv2Y/edit?usp=sharing"",""งบพรบ!AZ75"")"),0)</f>
        <v>0</v>
      </c>
      <c r="M102" s="47">
        <f ca="1">IFERROR(__xludf.DUMMYFUNCTION("IMPORTRANGE(""https://docs.google.com/spreadsheets/d/1-uDff_7J0KD5mKrp0Vvzr7lt3OU09vwQwhkpOPPYv2Y/edit?usp=sharing"",""งบพรบ!BC75"")"),0)</f>
        <v>0</v>
      </c>
      <c r="N102" s="47">
        <f ca="1">IFERROR(__xludf.DUMMYFUNCTION("IMPORTRANGE(""https://docs.google.com/spreadsheets/d/1-uDff_7J0KD5mKrp0Vvzr7lt3OU09vwQwhkpOPPYv2Y/edit?usp=sharing"",""งบพรบ!BE75"")"),0)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IFERROR(__xludf.DUMMYFUNCTION("IMPORTRANGE(""https://docs.google.com/spreadsheets/d/1eHaY18a8A9IcSdp1K8H6x8fbOy06t2VsZHhMHf-1x7Y/edit?usp=sharing"",""แผน!N75"")"),0)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IFERROR(__xludf.DUMMYFUNCTION("IMPORTRANGE(""https://docs.google.com/spreadsheets/d/1eHaY18a8A9IcSdp1K8H6x8fbOy06t2VsZHhMHf-1x7Y/edit?usp=sharing"",""แผน!O75"")"),0)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IFERROR(__xludf.DUMMYFUNCTION("IMPORTRANGE(""https://docs.google.com/spreadsheets/d/1eHaY18a8A9IcSdp1K8H6x8fbOy06t2VsZHhMHf-1x7Y/edit?usp=sharing"",""แผน!R75"")"),0)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124181.67</v>
      </c>
      <c r="T117" s="132">
        <f ca="1">IF(Q117&gt;0,S117*100/Q117,0)</f>
        <v>64.860372923848317</v>
      </c>
      <c r="U117" s="132">
        <f ca="1">IF(R117&gt;0,S117*100/R117,0)</f>
        <v>64.860372923848317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124181.67</v>
      </c>
      <c r="T119" s="47">
        <f ca="1">IF(Q119&gt;0,S119*100/Q119,0)</f>
        <v>64.860372923848317</v>
      </c>
      <c r="U119" s="47">
        <f ca="1">IF(R119&gt;0,S119*100/R119,0)</f>
        <v>64.860372923848317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124181.67</v>
      </c>
      <c r="T120" s="47">
        <f ca="1">IF(Q120&gt;0,S120*100/Q120,0)</f>
        <v>64.860372923848317</v>
      </c>
      <c r="U120" s="47">
        <f ca="1">IF(R120&gt;0,S120*100/R120,0)</f>
        <v>64.860372923848317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IFERROR(__xludf.DUMMYFUNCTION("IMPORTRANGE(""https://docs.google.com/spreadsheets/d/1-uDff_7J0KD5mKrp0Vvzr7lt3OU09vwQwhkpOPPYv2Y/edit?usp=sharing"",""งบพรบ!BG75"")"),0)</f>
        <v>0</v>
      </c>
      <c r="M122" s="47">
        <f ca="1">IFERROR(__xludf.DUMMYFUNCTION("IMPORTRANGE(""https://docs.google.com/spreadsheets/d/1-uDff_7J0KD5mKrp0Vvzr7lt3OU09vwQwhkpOPPYv2Y/edit?usp=sharing"",""งบพรบ!BL75"")"),0)</f>
        <v>0</v>
      </c>
      <c r="N122" s="47">
        <f ca="1">IFERROR(__xludf.DUMMYFUNCTION("IMPORTRANGE(""https://docs.google.com/spreadsheets/d/1-uDff_7J0KD5mKrp0Vvzr7lt3OU09vwQwhkpOPPYv2Y/edit?usp=sharing"",""งบพรบ!BN75"")"),0)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IFERROR(__xludf.DUMMYFUNCTION("IMPORTRANGE(""https://docs.google.com/spreadsheets/d/1ItG2mGa2ceCfYo0BwxsXqNm01IGEUdYcSSLTEv9YCik/edit?usp=sharing"",""เบิกจ่ายกองทุน!U75"")"),191460)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IFERROR(__xludf.DUMMYFUNCTION("IMPORTRANGE(""https://docs.google.com/spreadsheets/d/1ItG2mGa2ceCfYo0BwxsXqNm01IGEUdYcSSLTEv9YCik/edit?usp=sharing"",""เบิกจ่ายกองทุน!V75"")"),191460)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IFERROR(__xludf.DUMMYFUNCTION("IMPORTRANGE(""https://docs.google.com/spreadsheets/d/1ItG2mGa2ceCfYo0BwxsXqNm01IGEUdYcSSLTEv9YCik/edit?usp=sharing"",""เบิกจ่ายกองทุน!W75"")"),124181.67)</f>
        <v>124181.67</v>
      </c>
      <c r="T122" s="47">
        <f ca="1">IF(Q122&gt;0,S122*100/Q122,0)</f>
        <v>64.860372923848317</v>
      </c>
      <c r="U122" s="47">
        <f ca="1">IF(R122&gt;0,S122*100/R122,0)</f>
        <v>64.860372923848317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IFERROR(__xludf.DUMMYFUNCTION("IMPORTRANGE(""https://docs.google.com/spreadsheets/d/1-uDff_7J0KD5mKrp0Vvzr7lt3OU09vwQwhkpOPPYv2Y/edit?usp=sharing"",""งบพรบ!BJ75"")"),0)</f>
        <v>0</v>
      </c>
      <c r="M125" s="47">
        <f ca="1">IFERROR(__xludf.DUMMYFUNCTION("IMPORTRANGE(""https://docs.google.com/spreadsheets/d/1-uDff_7J0KD5mKrp0Vvzr7lt3OU09vwQwhkpOPPYv2Y/edit?usp=sharing"",""งบพรบ!BM75"")"),0)</f>
        <v>0</v>
      </c>
      <c r="N125" s="47">
        <f ca="1">IFERROR(__xludf.DUMMYFUNCTION("IMPORTRANGE(""https://docs.google.com/spreadsheets/d/1-uDff_7J0KD5mKrp0Vvzr7lt3OU09vwQwhkpOPPYv2Y/edit?usp=sharing"",""งบพรบ!BO75"")"),0)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IFERROR(__xludf.DUMMYFUNCTION("IMPORTRANGE(""https://docs.google.com/spreadsheets/d/1ItG2mGa2ceCfYo0BwxsXqNm01IGEUdYcSSLTEv9YCik/edit?usp=sharing"",""เบิกจ่ายกองทุน!X75"")"),0)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IFERROR(__xludf.DUMMYFUNCTION("IMPORTRANGE(""https://docs.google.com/spreadsheets/d/1ItG2mGa2ceCfYo0BwxsXqNm01IGEUdYcSSLTEv9YCik/edit?usp=sharing"",""เบิกจ่ายกองทุน!Y75"")"),0)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IFERROR(__xludf.DUMMYFUNCTION("IMPORTRANGE(""https://docs.google.com/spreadsheets/d/1ItG2mGa2ceCfYo0BwxsXqNm01IGEUdYcSSLTEv9YCik/edit?usp=sharing"",""เบิกจ่ายกองทุน!Z75"")"),0)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IFERROR(__xludf.DUMMYFUNCTION("IMPORTRANGE(""https://docs.google.com/spreadsheets/d/1eHaY18a8A9IcSdp1K8H6x8fbOy06t2VsZHhMHf-1x7Y/edit?usp=sharing"",""แผน!FF75"")"),15)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IFERROR(__xludf.DUMMYFUNCTION("IMPORTRANGE(""https://docs.google.com/spreadsheets/d/1eHaY18a8A9IcSdp1K8H6x8fbOy06t2VsZHhMHf-1x7Y/edit?usp=sharing"",""แผน!FG75"")"),0)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IFERROR(__xludf.DUMMYFUNCTION("IMPORTRANGE(""https://docs.google.com/spreadsheets/d/1eHaY18a8A9IcSdp1K8H6x8fbOy06t2VsZHhMHf-1x7Y/edit?usp=sharing"",""แผน!FH75"")"),15)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IFERROR(__xludf.DUMMYFUNCTION("IMPORTRANGE(""https://docs.google.com/spreadsheets/d/1eHaY18a8A9IcSdp1K8H6x8fbOy06t2VsZHhMHf-1x7Y/edit?usp=sharing"",""แผน!FI75"")"),0)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IFERROR(__xludf.DUMMYFUNCTION("IMPORTRANGE(""https://docs.google.com/spreadsheets/d/1-uDff_7J0KD5mKrp0Vvzr7lt3OU09vwQwhkpOPPYv2Y/edit?usp=sharing"",""งบพรบ!BQ75"")"),0)</f>
        <v>0</v>
      </c>
      <c r="M144" s="47">
        <f ca="1">IFERROR(__xludf.DUMMYFUNCTION("IMPORTRANGE(""https://docs.google.com/spreadsheets/d/1-uDff_7J0KD5mKrp0Vvzr7lt3OU09vwQwhkpOPPYv2Y/edit?usp=sharing"",""งบพรบ!BV75"")"),0)</f>
        <v>0</v>
      </c>
      <c r="N144" s="47">
        <f ca="1">IFERROR(__xludf.DUMMYFUNCTION("IMPORTRANGE(""https://docs.google.com/spreadsheets/d/1-uDff_7J0KD5mKrp0Vvzr7lt3OU09vwQwhkpOPPYv2Y/edit?usp=sharing"",""งบพรบ!BX75"")"),0)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IFERROR(__xludf.DUMMYFUNCTION("IMPORTRANGE(""https://docs.google.com/spreadsheets/d/1ItG2mGa2ceCfYo0BwxsXqNm01IGEUdYcSSLTEv9YCik/edit?usp=sharing"",""เบิกจ่ายกองทุน!CF75"")"),0)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IFERROR(__xludf.DUMMYFUNCTION("IMPORTRANGE(""https://docs.google.com/spreadsheets/d/1ItG2mGa2ceCfYo0BwxsXqNm01IGEUdYcSSLTEv9YCik/edit?usp=sharing"",""เบิกจ่ายกองทุน!CG75"")"),0)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IFERROR(__xludf.DUMMYFUNCTION("IMPORTRANGE(""https://docs.google.com/spreadsheets/d/1ItG2mGa2ceCfYo0BwxsXqNm01IGEUdYcSSLTEv9YCik/edit?usp=sharing"",""เบิกจ่ายกองทุน!CH75"")"),0)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IFERROR(__xludf.DUMMYFUNCTION("IMPORTRANGE(""https://docs.google.com/spreadsheets/d/1-uDff_7J0KD5mKrp0Vvzr7lt3OU09vwQwhkpOPPYv2Y/edit?usp=sharing"",""งบพรบ!BT75"")"),0)</f>
        <v>0</v>
      </c>
      <c r="M147" s="47">
        <f ca="1">IFERROR(__xludf.DUMMYFUNCTION("IMPORTRANGE(""https://docs.google.com/spreadsheets/d/1-uDff_7J0KD5mKrp0Vvzr7lt3OU09vwQwhkpOPPYv2Y/edit?usp=sharing"",""งบพรบ!BW75"")"),0)</f>
        <v>0</v>
      </c>
      <c r="N147" s="47">
        <f ca="1">IFERROR(__xludf.DUMMYFUNCTION("IMPORTRANGE(""https://docs.google.com/spreadsheets/d/1-uDff_7J0KD5mKrp0Vvzr7lt3OU09vwQwhkpOPPYv2Y/edit?usp=sharing"",""งบพรบ!BY75"")"),0)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IFERROR(__xludf.DUMMYFUNCTION("IMPORTRANGE(""https://docs.google.com/spreadsheets/d/1ItG2mGa2ceCfYo0BwxsXqNm01IGEUdYcSSLTEv9YCik/edit?usp=sharing"",""เบิกจ่ายกองทุน!CI75"")"),0)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IFERROR(__xludf.DUMMYFUNCTION("IMPORTRANGE(""https://docs.google.com/spreadsheets/d/1ItG2mGa2ceCfYo0BwxsXqNm01IGEUdYcSSLTEv9YCik/edit?usp=sharing"",""เบิกจ่ายกองทุน!CJ75"")"),0)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IFERROR(__xludf.DUMMYFUNCTION("IMPORTRANGE(""https://docs.google.com/spreadsheets/d/1ItG2mGa2ceCfYo0BwxsXqNm01IGEUdYcSSLTEv9YCik/edit?usp=sharing"",""เบิกจ่ายกองทุน!CK75"")"),0)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IFERROR(__xludf.DUMMYFUNCTION("IMPORTRANGE(""https://docs.google.com/spreadsheets/d/1eHaY18a8A9IcSdp1K8H6x8fbOy06t2VsZHhMHf-1x7Y/edit?usp=sharing"",""แผน!U75"")"),0)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IFERROR(__xludf.DUMMYFUNCTION("IMPORTRANGE(""https://docs.google.com/spreadsheets/d/1eHaY18a8A9IcSdp1K8H6x8fbOy06t2VsZHhMHf-1x7Y/edit?usp=sharing"",""แผน!V75"")"),0)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IFERROR(__xludf.DUMMYFUNCTION("IMPORTRANGE(""https://docs.google.com/spreadsheets/d/1eHaY18a8A9IcSdp1K8H6x8fbOy06t2VsZHhMHf-1x7Y/edit?usp=sharing"",""แผน!W75"")"),0)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IFERROR(__xludf.DUMMYFUNCTION("IMPORTRANGE(""https://docs.google.com/spreadsheets/d/1eHaY18a8A9IcSdp1K8H6x8fbOy06t2VsZHhMHf-1x7Y/edit?usp=sharing"",""แผน!X75"")"),0)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IFERROR(__xludf.DUMMYFUNCTION("IMPORTRANGE(""https://docs.google.com/spreadsheets/d/1eHaY18a8A9IcSdp1K8H6x8fbOy06t2VsZHhMHf-1x7Y/edit?usp=sharing"",""แผน!Y75"")"),0)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IFERROR(__xludf.DUMMYFUNCTION("IMPORTRANGE(""https://docs.google.com/spreadsheets/d/1-uDff_7J0KD5mKrp0Vvzr7lt3OU09vwQwhkpOPPYv2Y/edit?usp=sharing"",""งบพรบ!CA75"")"),0)</f>
        <v>0</v>
      </c>
      <c r="M162" s="47">
        <f ca="1">IFERROR(__xludf.DUMMYFUNCTION("IMPORTRANGE(""https://docs.google.com/spreadsheets/d/1-uDff_7J0KD5mKrp0Vvzr7lt3OU09vwQwhkpOPPYv2Y/edit?usp=sharing"",""งบพรบ!CF75"")"),0)</f>
        <v>0</v>
      </c>
      <c r="N162" s="47">
        <f ca="1">IFERROR(__xludf.DUMMYFUNCTION("IMPORTRANGE(""https://docs.google.com/spreadsheets/d/1-uDff_7J0KD5mKrp0Vvzr7lt3OU09vwQwhkpOPPYv2Y/edit?usp=sharing"",""งบพรบ!CH75"")"),0)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IFERROR(__xludf.DUMMYFUNCTION("IMPORTRANGE(""https://docs.google.com/spreadsheets/d/1ItG2mGa2ceCfYo0BwxsXqNm01IGEUdYcSSLTEv9YCik/edit?usp=sharing"",""เบิกจ่ายกองทุน!AM75"")"),0)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IFERROR(__xludf.DUMMYFUNCTION("IMPORTRANGE(""https://docs.google.com/spreadsheets/d/1ItG2mGa2ceCfYo0BwxsXqNm01IGEUdYcSSLTEv9YCik/edit?usp=sharing"",""เบิกจ่ายกองทุน!AN75"")"),0)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IFERROR(__xludf.DUMMYFUNCTION("IMPORTRANGE(""https://docs.google.com/spreadsheets/d/1ItG2mGa2ceCfYo0BwxsXqNm01IGEUdYcSSLTEv9YCik/edit?usp=sharing"",""เบิกจ่ายกองทุน!AO75"")"),0)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IFERROR(__xludf.DUMMYFUNCTION("IMPORTRANGE(""https://docs.google.com/spreadsheets/d/1-uDff_7J0KD5mKrp0Vvzr7lt3OU09vwQwhkpOPPYv2Y/edit?usp=sharing"",""งบพรบ!CD75"")"),0)</f>
        <v>0</v>
      </c>
      <c r="M165" s="47">
        <f ca="1">IFERROR(__xludf.DUMMYFUNCTION("IMPORTRANGE(""https://docs.google.com/spreadsheets/d/1-uDff_7J0KD5mKrp0Vvzr7lt3OU09vwQwhkpOPPYv2Y/edit?usp=sharing"",""งบพรบ!CG75"")"),0)</f>
        <v>0</v>
      </c>
      <c r="N165" s="47">
        <f ca="1">IFERROR(__xludf.DUMMYFUNCTION("IMPORTRANGE(""https://docs.google.com/spreadsheets/d/1-uDff_7J0KD5mKrp0Vvzr7lt3OU09vwQwhkpOPPYv2Y/edit?usp=sharing"",""งบพรบ!CI75"")"),0)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IFERROR(__xludf.DUMMYFUNCTION("IMPORTRANGE(""https://docs.google.com/spreadsheets/d/1eHaY18a8A9IcSdp1K8H6x8fbOy06t2VsZHhMHf-1x7Y/edit?usp=sharing"",""แผน!Z75"")"),0)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IFERROR(__xludf.DUMMYFUNCTION("IMPORTRANGE(""https://docs.google.com/spreadsheets/d/1eHaY18a8A9IcSdp1K8H6x8fbOy06t2VsZHhMHf-1x7Y/edit?usp=sharing"",""แผน!Z75"")"),0)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IFERROR(__xludf.DUMMYFUNCTION("IMPORTRANGE(""https://docs.google.com/spreadsheets/d/1eHaY18a8A9IcSdp1K8H6x8fbOy06t2VsZHhMHf-1x7Y/edit?usp=sharing"",""แผน!Z75"")"),0)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36750</v>
      </c>
      <c r="N173" s="132">
        <f ca="1">N174+N175</f>
        <v>36750</v>
      </c>
      <c r="O173" s="132">
        <f ca="1">IF(L173&gt;0,N173*100/L173,0)</f>
        <v>187.59571209800919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36750</v>
      </c>
      <c r="N175" s="47">
        <f ca="1">N178+N181</f>
        <v>36750</v>
      </c>
      <c r="O175" s="47">
        <f ca="1">IF(L175&gt;0,N175*100/L175,0)</f>
        <v>187.59571209800919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36750</v>
      </c>
      <c r="N176" s="47">
        <f ca="1">N177+N178</f>
        <v>36750</v>
      </c>
      <c r="O176" s="47">
        <f ca="1">IF(L176&gt;0,N176*100/L176,0)</f>
        <v>187.59571209800919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IFERROR(__xludf.DUMMYFUNCTION("IMPORTRANGE(""https://docs.google.com/spreadsheets/d/1-uDff_7J0KD5mKrp0Vvzr7lt3OU09vwQwhkpOPPYv2Y/edit?usp=sharing"",""งบพรบ!CK75"")"),19590)</f>
        <v>19590</v>
      </c>
      <c r="M178" s="47">
        <f ca="1">IFERROR(__xludf.DUMMYFUNCTION("IMPORTRANGE(""https://docs.google.com/spreadsheets/d/1-uDff_7J0KD5mKrp0Vvzr7lt3OU09vwQwhkpOPPYv2Y/edit?usp=sharing"",""งบพรบ!CP75"")"),36750)</f>
        <v>36750</v>
      </c>
      <c r="N178" s="47">
        <f ca="1">IFERROR(__xludf.DUMMYFUNCTION("IMPORTRANGE(""https://docs.google.com/spreadsheets/d/1-uDff_7J0KD5mKrp0Vvzr7lt3OU09vwQwhkpOPPYv2Y/edit?usp=sharing"",""งบพรบ!CR75"")"),36750)</f>
        <v>36750</v>
      </c>
      <c r="O178" s="47">
        <f ca="1">IF(L178&gt;0,N178*100/L178,0)</f>
        <v>187.59571209800919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IFERROR(__xludf.DUMMYFUNCTION("IMPORTRANGE(""https://docs.google.com/spreadsheets/d/1ItG2mGa2ceCfYo0BwxsXqNm01IGEUdYcSSLTEv9YCik/edit?usp=sharing"",""เบิกจ่ายกองทุน!DG75"")"),0)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IFERROR(__xludf.DUMMYFUNCTION("IMPORTRANGE(""https://docs.google.com/spreadsheets/d/1ItG2mGa2ceCfYo0BwxsXqNm01IGEUdYcSSLTEv9YCik/edit?usp=sharing"",""เบิกจ่ายกองทุน!DH75"")"),0)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IFERROR(__xludf.DUMMYFUNCTION("IMPORTRANGE(""https://docs.google.com/spreadsheets/d/1ItG2mGa2ceCfYo0BwxsXqNm01IGEUdYcSSLTEv9YCik/edit?usp=sharing"",""เบิกจ่ายกองทุน!DI75"")"),0)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IFERROR(__xludf.DUMMYFUNCTION("IMPORTRANGE(""https://docs.google.com/spreadsheets/d/1-uDff_7J0KD5mKrp0Vvzr7lt3OU09vwQwhkpOPPYv2Y/edit?usp=sharing"",""งบพรบ!CN75"")"),0)</f>
        <v>0</v>
      </c>
      <c r="M181" s="47">
        <f ca="1">IFERROR(__xludf.DUMMYFUNCTION("IMPORTRANGE(""https://docs.google.com/spreadsheets/d/1-uDff_7J0KD5mKrp0Vvzr7lt3OU09vwQwhkpOPPYv2Y/edit?usp=sharing"",""งบพรบ!CQ75"")"),0)</f>
        <v>0</v>
      </c>
      <c r="N181" s="47">
        <f ca="1">IFERROR(__xludf.DUMMYFUNCTION("IMPORTRANGE(""https://docs.google.com/spreadsheets/d/1-uDff_7J0KD5mKrp0Vvzr7lt3OU09vwQwhkpOPPYv2Y/edit?usp=sharing"",""งบพรบ!CS75"")"),0)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IFERROR(__xludf.DUMMYFUNCTION("IMPORTRANGE(""https://docs.google.com/spreadsheets/d/1eHaY18a8A9IcSdp1K8H6x8fbOy06t2VsZHhMHf-1x7Y/edit?usp=sharing"",""แผน!AA75"")"),7)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112400</v>
      </c>
      <c r="M186" s="132">
        <f ca="1">M187+M188</f>
        <v>121100</v>
      </c>
      <c r="N186" s="132">
        <f ca="1">N187+N188</f>
        <v>102381</v>
      </c>
      <c r="O186" s="132">
        <f ca="1">IF(L186&gt;0,N186*100/L186,0)</f>
        <v>91.086298932384338</v>
      </c>
      <c r="P186" s="132">
        <f ca="1">IF(M186&gt;0,N186*100/M186,0)</f>
        <v>84.54252683732453</v>
      </c>
      <c r="Q186" s="132">
        <f ca="1">Q187+Q188</f>
        <v>42000</v>
      </c>
      <c r="R186" s="132">
        <f ca="1">R187+R188</f>
        <v>42000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112400</v>
      </c>
      <c r="M188" s="47">
        <f ca="1">M191+M194</f>
        <v>121100</v>
      </c>
      <c r="N188" s="47">
        <f ca="1">N191+N194</f>
        <v>102381</v>
      </c>
      <c r="O188" s="47">
        <f ca="1">IF(L188&gt;0,N188*100/L188,0)</f>
        <v>91.086298932384338</v>
      </c>
      <c r="P188" s="47">
        <f ca="1">IF(M188&gt;0,N188*100/M188,0)</f>
        <v>84.54252683732453</v>
      </c>
      <c r="Q188" s="47">
        <f ca="1">Q191+Q194</f>
        <v>42000</v>
      </c>
      <c r="R188" s="47">
        <f ca="1">R191+R194</f>
        <v>42000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112400</v>
      </c>
      <c r="M189" s="47">
        <f ca="1">M190+M191</f>
        <v>121100</v>
      </c>
      <c r="N189" s="47">
        <f ca="1">N190+N191</f>
        <v>102381</v>
      </c>
      <c r="O189" s="47">
        <f ca="1">IF(L189&gt;0,N189*100/L189,0)</f>
        <v>91.086298932384338</v>
      </c>
      <c r="P189" s="47">
        <f ca="1">IF(M189&gt;0,N189*100/M189,0)</f>
        <v>84.54252683732453</v>
      </c>
      <c r="Q189" s="47">
        <f ca="1">Q190+Q191</f>
        <v>42000</v>
      </c>
      <c r="R189" s="47">
        <f ca="1">R190+R191</f>
        <v>42000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IFERROR(__xludf.DUMMYFUNCTION("IMPORTRANGE(""https://docs.google.com/spreadsheets/d/1-uDff_7J0KD5mKrp0Vvzr7lt3OU09vwQwhkpOPPYv2Y/edit?usp=sharing"",""งบพรบ!CU75"")"),112400)</f>
        <v>112400</v>
      </c>
      <c r="M191" s="47">
        <f ca="1">IFERROR(__xludf.DUMMYFUNCTION("IMPORTRANGE(""https://docs.google.com/spreadsheets/d/1-uDff_7J0KD5mKrp0Vvzr7lt3OU09vwQwhkpOPPYv2Y/edit?usp=sharing"",""งบพรบ!CZ75"")"),121100)</f>
        <v>121100</v>
      </c>
      <c r="N191" s="47">
        <f ca="1">IFERROR(__xludf.DUMMYFUNCTION("IMPORTRANGE(""https://docs.google.com/spreadsheets/d/1-uDff_7J0KD5mKrp0Vvzr7lt3OU09vwQwhkpOPPYv2Y/edit?usp=sharing"",""งบพรบ!DB75"")"),102381)</f>
        <v>102381</v>
      </c>
      <c r="O191" s="47">
        <f ca="1">IF(L191&gt;0,N191*100/L191,0)</f>
        <v>91.086298932384338</v>
      </c>
      <c r="P191" s="47">
        <f ca="1">IF(M191&gt;0,N191*100/M191,0)</f>
        <v>84.54252683732453</v>
      </c>
      <c r="Q191" s="47">
        <f ca="1">IFERROR(__xludf.DUMMYFUNCTION("IMPORTRANGE(""https://docs.google.com/spreadsheets/d/1ItG2mGa2ceCfYo0BwxsXqNm01IGEUdYcSSLTEv9YCik/edit?usp=sharing"",""เบิกจ่ายกองทุน!BQ75"")"),42000)</f>
        <v>42000</v>
      </c>
      <c r="R191" s="47">
        <f ca="1">IFERROR(__xludf.DUMMYFUNCTION("IMPORTRANGE(""https://docs.google.com/spreadsheets/d/1ItG2mGa2ceCfYo0BwxsXqNm01IGEUdYcSSLTEv9YCik/edit?usp=sharing"",""เบิกจ่ายกองทุน!BR75"")"),42000)</f>
        <v>42000</v>
      </c>
      <c r="S191" s="47">
        <f ca="1">IFERROR(__xludf.DUMMYFUNCTION("IMPORTRANGE(""https://docs.google.com/spreadsheets/d/1ItG2mGa2ceCfYo0BwxsXqNm01IGEUdYcSSLTEv9YCik/edit?usp=sharing"",""เบิกจ่ายกองทุน!BS75"")"),0)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IFERROR(__xludf.DUMMYFUNCTION("IMPORTRANGE(""https://docs.google.com/spreadsheets/d/1-uDff_7J0KD5mKrp0Vvzr7lt3OU09vwQwhkpOPPYv2Y/edit?usp=sharing"",""งบพรบ!CX75"")"),0)</f>
        <v>0</v>
      </c>
      <c r="M194" s="47">
        <f ca="1">IFERROR(__xludf.DUMMYFUNCTION("IMPORTRANGE(""https://docs.google.com/spreadsheets/d/1-uDff_7J0KD5mKrp0Vvzr7lt3OU09vwQwhkpOPPYv2Y/edit?usp=sharing"",""งบพรบ!DA75"")"),0)</f>
        <v>0</v>
      </c>
      <c r="N194" s="47">
        <f ca="1">IFERROR(__xludf.DUMMYFUNCTION("IMPORTRANGE(""https://docs.google.com/spreadsheets/d/1-uDff_7J0KD5mKrp0Vvzr7lt3OU09vwQwhkpOPPYv2Y/edit?usp=sharing"",""งบพรบ!DC75"")"),0)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IFERROR(__xludf.DUMMYFUNCTION("IMPORTRANGE(""https://docs.google.com/spreadsheets/d/1ItG2mGa2ceCfYo0BwxsXqNm01IGEUdYcSSLTEv9YCik/edit?usp=sharing"",""เบิกจ่ายกองทุน!BT75"")"),0)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IFERROR(__xludf.DUMMYFUNCTION("IMPORTRANGE(""https://docs.google.com/spreadsheets/d/1ItG2mGa2ceCfYo0BwxsXqNm01IGEUdYcSSLTEv9YCik/edit?usp=sharing"",""เบิกจ่ายกองทุน!BU75"")"),0)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IFERROR(__xludf.DUMMYFUNCTION("IMPORTRANGE(""https://docs.google.com/spreadsheets/d/1ItG2mGa2ceCfYo0BwxsXqNm01IGEUdYcSSLTEv9YCik/edit?usp=sharing"",""เบิกจ่ายกองทุน!BV75"")"),0)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4</v>
      </c>
      <c r="K195" s="229">
        <f ca="1">IF(I195&gt;0,J195*100/I195,0)</f>
        <v>100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IFERROR(__xludf.DUMMYFUNCTION("IMPORTRANGE(""https://docs.google.com/spreadsheets/d/1eHaY18a8A9IcSdp1K8H6x8fbOy06t2VsZHhMHf-1x7Y/edit?usp=sharing"",""แผน!AB75"")"),6000)</f>
        <v>6000</v>
      </c>
      <c r="M196" s="46"/>
      <c r="N196" s="768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IFERROR(__xludf.DUMMYFUNCTION("IMPORTRANGE(""https://docs.google.com/spreadsheets/d/1eHaY18a8A9IcSdp1K8H6x8fbOy06t2VsZHhMHf-1x7Y/edit?usp=sharing"",""แผน!AE75"")"),4)</f>
        <v>4</v>
      </c>
      <c r="J198" s="167">
        <v>4</v>
      </c>
      <c r="K198" s="47">
        <f ca="1">IF(I198&gt;0,J198*100/I198,0)</f>
        <v>100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15000</v>
      </c>
      <c r="M203" s="46"/>
      <c r="N203" s="132">
        <f>N204+N205+N206+N207</f>
        <v>1000</v>
      </c>
      <c r="O203" s="132">
        <f ca="1">IF(L203&gt;0,N203*100/L203,0)</f>
        <v>6.666666666666667</v>
      </c>
      <c r="P203" s="132">
        <f>IF(M203&gt;0,N203*100/M203,0)</f>
        <v>0</v>
      </c>
      <c r="Q203" s="767">
        <f ca="1">Q204+Q205+Q206+Q207</f>
        <v>42000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IFERROR(__xludf.DUMMYFUNCTION("IMPORTRANGE(""https://docs.google.com/spreadsheets/d/1eHaY18a8A9IcSdp1K8H6x8fbOy06t2VsZHhMHf-1x7Y/edit?usp=sharing"",""แผน!AG75"")"),3000)</f>
        <v>3000</v>
      </c>
      <c r="M204" s="46"/>
      <c r="N204" s="742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IFERROR(__xludf.DUMMYFUNCTION("IMPORTRANGE(""https://docs.google.com/spreadsheets/d/1eHaY18a8A9IcSdp1K8H6x8fbOy06t2VsZHhMHf-1x7Y/edit?usp=sharing"",""แผน!AH75"")"),0)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IFERROR(__xludf.DUMMYFUNCTION("IMPORTRANGE(""https://docs.google.com/spreadsheets/d/1eHaY18a8A9IcSdp1K8H6x8fbOy06t2VsZHhMHf-1x7Y/edit?usp=sharing"",""แผน!AI75"")"),0)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IFERROR(__xludf.DUMMYFUNCTION("IMPORTRANGE(""https://docs.google.com/spreadsheets/d/1eHaY18a8A9IcSdp1K8H6x8fbOy06t2VsZHhMHf-1x7Y/edit?usp=sharing"",""แผน!LV75"")"),42000)</f>
        <v>42000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IFERROR(__xludf.DUMMYFUNCTION("IMPORTRANGE(""https://docs.google.com/spreadsheets/d/1eHaY18a8A9IcSdp1K8H6x8fbOy06t2VsZHhMHf-1x7Y/edit?usp=sharing"",""แผน!AJ75"")"),12000)</f>
        <v>12000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IFERROR(__xludf.DUMMYFUNCTION("IMPORTRANGE(""https://docs.google.com/spreadsheets/d/1eHaY18a8A9IcSdp1K8H6x8fbOy06t2VsZHhMHf-1x7Y/edit?usp=sharing"",""แผน!AK75"")"),3)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IFERROR(__xludf.DUMMYFUNCTION("IMPORTRANGE(""https://docs.google.com/spreadsheets/d/1eHaY18a8A9IcSdp1K8H6x8fbOy06t2VsZHhMHf-1x7Y/edit?usp=sharing"",""แผน!JX75"")"),3)</f>
        <v>3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IFERROR(__xludf.DUMMYFUNCTION("IMPORTRANGE(""https://docs.google.com/spreadsheets/d/1eHaY18a8A9IcSdp1K8H6x8fbOy06t2VsZHhMHf-1x7Y/edit?usp=sharing"",""แผน!JY75"")"),0)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IFERROR(__xludf.DUMMYFUNCTION("IMPORTRANGE(""https://docs.google.com/spreadsheets/d/1eHaY18a8A9IcSdp1K8H6x8fbOy06t2VsZHhMHf-1x7Y/edit?usp=sharing"",""แผน!AM75"")"),0)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IFERROR(__xludf.DUMMYFUNCTION("IMPORTRANGE(""https://docs.google.com/spreadsheets/d/1eHaY18a8A9IcSdp1K8H6x8fbOy06t2VsZHhMHf-1x7Y/edit?usp=sharing"",""แผน!AN75"")"),0)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IFERROR(__xludf.DUMMYFUNCTION("IMPORTRANGE(""https://docs.google.com/spreadsheets/d/1eHaY18a8A9IcSdp1K8H6x8fbOy06t2VsZHhMHf-1x7Y/edit?usp=sharing"",""แผน!AO75"")"),0)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IFERROR(__xludf.DUMMYFUNCTION("IMPORTRANGE(""https://docs.google.com/spreadsheets/d/1eHaY18a8A9IcSdp1K8H6x8fbOy06t2VsZHhMHf-1x7Y/edit?usp=sharing"",""แผน!LY75"")"),0)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IFERROR(__xludf.DUMMYFUNCTION("IMPORTRANGE(""https://docs.google.com/spreadsheets/d/1eHaY18a8A9IcSdp1K8H6x8fbOy06t2VsZHhMHf-1x7Y/edit?usp=sharing"",""แผน!AP75"")"),0)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IFERROR(__xludf.DUMMYFUNCTION("IMPORTRANGE(""https://docs.google.com/spreadsheets/d/1eHaY18a8A9IcSdp1K8H6x8fbOy06t2VsZHhMHf-1x7Y/edit?usp=sharing"",""แผน!AP75"")"),0)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IFERROR(__xludf.DUMMYFUNCTION("IMPORTRANGE(""https://docs.google.com/spreadsheets/d/1eHaY18a8A9IcSdp1K8H6x8fbOy06t2VsZHhMHf-1x7Y/edit?usp=sharing"",""แผน!AR75"")"),7000)</f>
        <v>7000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IFERROR(__xludf.DUMMYFUNCTION("IMPORTRANGE(""https://docs.google.com/spreadsheets/d/1eHaY18a8A9IcSdp1K8H6x8fbOy06t2VsZHhMHf-1x7Y/edit?usp=sharing"",""แผน!AS75"")"),1500)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IFERROR(__xludf.DUMMYFUNCTION("IMPORTRANGE(""https://docs.google.com/spreadsheets/d/1eHaY18a8A9IcSdp1K8H6x8fbOy06t2VsZHhMHf-1x7Y/edit?usp=sharing"",""แผน!AT75"")"),0)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IFERROR(__xludf.DUMMYFUNCTION("IMPORTRANGE(""https://docs.google.com/spreadsheets/d/1eHaY18a8A9IcSdp1K8H6x8fbOy06t2VsZHhMHf-1x7Y/edit?usp=sharing"",""แผน!AV75"")"),50000)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IFERROR(__xludf.DUMMYFUNCTION("IMPORTRANGE(""https://docs.google.com/spreadsheets/d/1eHaY18a8A9IcSdp1K8H6x8fbOy06t2VsZHhMHf-1x7Y/edit?usp=sharing"",""แผน!AV75"")"),50000)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IFERROR(__xludf.DUMMYFUNCTION("IMPORTRANGE(""https://docs.google.com/spreadsheets/d/1eHaY18a8A9IcSdp1K8H6x8fbOy06t2VsZHhMHf-1x7Y/edit?usp=sharing"",""แผน!AU75"")"),0)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IFERROR(__xludf.DUMMYFUNCTION("IMPORTRANGE(""https://docs.google.com/spreadsheets/d/1eHaY18a8A9IcSdp1K8H6x8fbOy06t2VsZHhMHf-1x7Y/edit?usp=sharing"",""แผน!AX75"")"),0)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IFERROR(__xludf.DUMMYFUNCTION("IMPORTRANGE(""https://docs.google.com/spreadsheets/d/1eHaY18a8A9IcSdp1K8H6x8fbOy06t2VsZHhMHf-1x7Y/edit?usp=sharing"",""แผน!AY75"")"),0)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IFERROR(__xludf.DUMMYFUNCTION("IMPORTRANGE(""https://docs.google.com/spreadsheets/d/1eHaY18a8A9IcSdp1K8H6x8fbOy06t2VsZHhMHf-1x7Y/edit?usp=sharing"",""แผน!AZ75"")"),0)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IFERROR(__xludf.DUMMYFUNCTION("IMPORTRANGE(""https://docs.google.com/spreadsheets/d/1eHaY18a8A9IcSdp1K8H6x8fbOy06t2VsZHhMHf-1x7Y/edit?usp=sharing"",""แผน!BA75"")"),0)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IFERROR(__xludf.DUMMYFUNCTION("IMPORTRANGE(""https://docs.google.com/spreadsheets/d/1eHaY18a8A9IcSdp1K8H6x8fbOy06t2VsZHhMHf-1x7Y/edit?usp=sharing"",""แผน!BG75"")"),0)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IFERROR(__xludf.DUMMYFUNCTION("IMPORTRANGE(""https://docs.google.com/spreadsheets/d/1eHaY18a8A9IcSdp1K8H6x8fbOy06t2VsZHhMHf-1x7Y/edit?usp=sharing"",""แผน!BB75"")"),0)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IFERROR(__xludf.DUMMYFUNCTION("IMPORTRANGE(""https://docs.google.com/spreadsheets/d/1eHaY18a8A9IcSdp1K8H6x8fbOy06t2VsZHhMHf-1x7Y/edit?usp=sharing"",""แผน!BC75"")"),0)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IFERROR(__xludf.DUMMYFUNCTION("IMPORTRANGE(""https://docs.google.com/spreadsheets/d/1eHaY18a8A9IcSdp1K8H6x8fbOy06t2VsZHhMHf-1x7Y/edit?usp=sharing"",""แผน!BD75"")"),0)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IFERROR(__xludf.DUMMYFUNCTION("IMPORTRANGE(""https://docs.google.com/spreadsheets/d/1eHaY18a8A9IcSdp1K8H6x8fbOy06t2VsZHhMHf-1x7Y/edit?usp=sharing"",""แผน!BE75"")"),0)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IFERROR(__xludf.DUMMYFUNCTION("IMPORTRANGE(""https://docs.google.com/spreadsheets/d/1eHaY18a8A9IcSdp1K8H6x8fbOy06t2VsZHhMHf-1x7Y/edit?usp=sharing"",""แผน!BH75"")"),0)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2140</v>
      </c>
      <c r="O266" s="421">
        <f ca="1">IF(L266&gt;0,N266*100/L266,0)</f>
        <v>42.8</v>
      </c>
      <c r="P266" s="421">
        <f ca="1">IF(M266&gt;0,N266*100/M266,0)</f>
        <v>42.8</v>
      </c>
      <c r="Q266" s="421">
        <f ca="1">Q267+Q268</f>
        <v>50660</v>
      </c>
      <c r="R266" s="421">
        <f ca="1">R267+R268</f>
        <v>50660</v>
      </c>
      <c r="S266" s="421">
        <f ca="1">S267+S268</f>
        <v>35430</v>
      </c>
      <c r="T266" s="421">
        <f ca="1">IF(Q266&gt;0,S266*100/Q266,0)</f>
        <v>69.936833793920258</v>
      </c>
      <c r="U266" s="421">
        <f ca="1">IF(R266&gt;0,S266*100/R266,0)</f>
        <v>69.936833793920258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2140</v>
      </c>
      <c r="O268" s="331">
        <f ca="1">IF(L268&gt;0,N268*100/L268,0)</f>
        <v>42.8</v>
      </c>
      <c r="P268" s="331">
        <f ca="1">IF(M268&gt;0,N268*100/M268,0)</f>
        <v>42.8</v>
      </c>
      <c r="Q268" s="331">
        <f ca="1">Q271+Q274</f>
        <v>50660</v>
      </c>
      <c r="R268" s="331">
        <f ca="1">R271+R274</f>
        <v>50660</v>
      </c>
      <c r="S268" s="331">
        <f ca="1">S271+S274</f>
        <v>35430</v>
      </c>
      <c r="T268" s="331">
        <f ca="1">IF(Q268&gt;0,S268*100/Q268,0)</f>
        <v>69.936833793920258</v>
      </c>
      <c r="U268" s="331">
        <f ca="1">IF(R268&gt;0,S268*100/R268,0)</f>
        <v>69.936833793920258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2140</v>
      </c>
      <c r="O269" s="331">
        <f ca="1">IF(L269&gt;0,N269*100/L269,0)</f>
        <v>42.8</v>
      </c>
      <c r="P269" s="331">
        <f ca="1">IF(M269&gt;0,N269*100/M269,0)</f>
        <v>42.8</v>
      </c>
      <c r="Q269" s="331">
        <f ca="1">Q270+Q271</f>
        <v>50660</v>
      </c>
      <c r="R269" s="331">
        <f ca="1">R270+R271</f>
        <v>50660</v>
      </c>
      <c r="S269" s="331">
        <f ca="1">S270+S271</f>
        <v>35430</v>
      </c>
      <c r="T269" s="331">
        <f ca="1">IF(Q269&gt;0,S269*100/Q269,0)</f>
        <v>69.936833793920258</v>
      </c>
      <c r="U269" s="331">
        <f ca="1">IF(R269&gt;0,S269*100/R269,0)</f>
        <v>69.936833793920258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IFERROR(__xludf.DUMMYFUNCTION("IMPORTRANGE(""https://docs.google.com/spreadsheets/d/1-uDff_7J0KD5mKrp0Vvzr7lt3OU09vwQwhkpOPPYv2Y/edit?usp=sharing"",""งบพรบ!DE75"")"),5000)</f>
        <v>5000</v>
      </c>
      <c r="M271" s="331">
        <f ca="1">IFERROR(__xludf.DUMMYFUNCTION("IMPORTRANGE(""https://docs.google.com/spreadsheets/d/1-uDff_7J0KD5mKrp0Vvzr7lt3OU09vwQwhkpOPPYv2Y/edit?usp=sharing"",""งบพรบ!DJ75"")"),5000)</f>
        <v>5000</v>
      </c>
      <c r="N271" s="331">
        <f ca="1">IFERROR(__xludf.DUMMYFUNCTION("IMPORTRANGE(""https://docs.google.com/spreadsheets/d/1-uDff_7J0KD5mKrp0Vvzr7lt3OU09vwQwhkpOPPYv2Y/edit?usp=sharing"",""งบพรบ!DL75"")"),2140)</f>
        <v>2140</v>
      </c>
      <c r="O271" s="331">
        <f ca="1">IF(L271&gt;0,N271*100/L271,0)</f>
        <v>42.8</v>
      </c>
      <c r="P271" s="331">
        <f ca="1">IF(M271&gt;0,N271*100/M271,0)</f>
        <v>42.8</v>
      </c>
      <c r="Q271" s="331">
        <f ca="1">IFERROR(__xludf.DUMMYFUNCTION("IMPORTRANGE(""https://docs.google.com/spreadsheets/d/1ItG2mGa2ceCfYo0BwxsXqNm01IGEUdYcSSLTEv9YCik/edit?usp=sharing"",""เบิกจ่ายกองทุน!AP75"")"),50660)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IFERROR(__xludf.DUMMYFUNCTION("IMPORTRANGE(""https://docs.google.com/spreadsheets/d/1ItG2mGa2ceCfYo0BwxsXqNm01IGEUdYcSSLTEv9YCik/edit?usp=sharing"",""เบิกจ่ายกองทุน!AQ75"")"),50660)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IFERROR(__xludf.DUMMYFUNCTION("IMPORTRANGE(""https://docs.google.com/spreadsheets/d/1ItG2mGa2ceCfYo0BwxsXqNm01IGEUdYcSSLTEv9YCik/edit?usp=sharing"",""เบิกจ่ายกองทุน!AR75"")"),35430)</f>
        <v>35430</v>
      </c>
      <c r="T271" s="331">
        <f ca="1">IF(Q271&gt;0,S271*100/Q271,0)</f>
        <v>69.936833793920258</v>
      </c>
      <c r="U271" s="331">
        <f ca="1">IF(R271&gt;0,S271*100/R271,0)</f>
        <v>69.936833793920258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IFERROR(__xludf.DUMMYFUNCTION("IMPORTRANGE(""https://docs.google.com/spreadsheets/d/1-uDff_7J0KD5mKrp0Vvzr7lt3OU09vwQwhkpOPPYv2Y/edit?usp=sharing"",""งบพรบ!DH75"")"),0)</f>
        <v>0</v>
      </c>
      <c r="M274" s="331">
        <f ca="1">IFERROR(__xludf.DUMMYFUNCTION("IMPORTRANGE(""https://docs.google.com/spreadsheets/d/1-uDff_7J0KD5mKrp0Vvzr7lt3OU09vwQwhkpOPPYv2Y/edit?usp=sharing"",""งบพรบ!DK75"")"),0)</f>
        <v>0</v>
      </c>
      <c r="N274" s="331">
        <f ca="1">IFERROR(__xludf.DUMMYFUNCTION("IMPORTRANGE(""https://docs.google.com/spreadsheets/d/1-uDff_7J0KD5mKrp0Vvzr7lt3OU09vwQwhkpOPPYv2Y/edit?usp=sharing"",""งบพรบ!DM75"")"),0)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IFERROR(__xludf.DUMMYFUNCTION("IMPORTRANGE(""https://docs.google.com/spreadsheets/d/1eHaY18a8A9IcSdp1K8H6x8fbOy06t2VsZHhMHf-1x7Y/edit?usp=sharing"",""แผน!EC75"")"),22)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IFERROR(__xludf.DUMMYFUNCTION("IMPORTRANGE(""https://docs.google.com/spreadsheets/d/1-uDff_7J0KD5mKrp0Vvzr7lt3OU09vwQwhkpOPPYv2Y/edit?usp=sharing"",""งบพรบ!DO75"")"),0)</f>
        <v>0</v>
      </c>
      <c r="M287" s="47">
        <f ca="1">IFERROR(__xludf.DUMMYFUNCTION("IMPORTRANGE(""https://docs.google.com/spreadsheets/d/1-uDff_7J0KD5mKrp0Vvzr7lt3OU09vwQwhkpOPPYv2Y/edit?usp=sharing"",""งบพรบ!DT75"")"),0)</f>
        <v>0</v>
      </c>
      <c r="N287" s="47">
        <f ca="1">IFERROR(__xludf.DUMMYFUNCTION("IMPORTRANGE(""https://docs.google.com/spreadsheets/d/1-uDff_7J0KD5mKrp0Vvzr7lt3OU09vwQwhkpOPPYv2Y/edit?usp=sharing"",""งบพรบ!DV75"")"),0)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IFERROR(__xludf.DUMMYFUNCTION("IMPORTRANGE(""https://docs.google.com/spreadsheets/d/1-uDff_7J0KD5mKrp0Vvzr7lt3OU09vwQwhkpOPPYv2Y/edit?usp=sharing"",""งบพรบ!DR75"")"),0)</f>
        <v>0</v>
      </c>
      <c r="M290" s="47">
        <f ca="1">IFERROR(__xludf.DUMMYFUNCTION("IMPORTRANGE(""https://docs.google.com/spreadsheets/d/1-uDff_7J0KD5mKrp0Vvzr7lt3OU09vwQwhkpOPPYv2Y/edit?usp=sharing"",""งบพรบ!DU75"")"),0)</f>
        <v>0</v>
      </c>
      <c r="N290" s="47">
        <f ca="1">IFERROR(__xludf.DUMMYFUNCTION("IMPORTRANGE(""https://docs.google.com/spreadsheets/d/1-uDff_7J0KD5mKrp0Vvzr7lt3OU09vwQwhkpOPPYv2Y/edit?usp=sharing"",""งบพรบ!DW75"")"),0)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IFERROR(__xludf.DUMMYFUNCTION("IMPORTRANGE(""https://docs.google.com/spreadsheets/d/1eHaY18a8A9IcSdp1K8H6x8fbOy06t2VsZHhMHf-1x7Y/edit?usp=sharing"",""แผน!EE75"")"),0)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IFERROR(__xludf.DUMMYFUNCTION("IMPORTRANGE(""https://docs.google.com/spreadsheets/d/1eHaY18a8A9IcSdp1K8H6x8fbOy06t2VsZHhMHf-1x7Y/edit?usp=sharing"",""แผน!ED75"")"),0)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IFERROR(__xludf.DUMMYFUNCTION("IMPORTRANGE(""https://docs.google.com/spreadsheets/d/1eHaY18a8A9IcSdp1K8H6x8fbOy06t2VsZHhMHf-1x7Y/edit?usp=sharing"",""แผน!ED75"")"),0)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IFERROR(__xludf.DUMMYFUNCTION("IMPORTRANGE(""https://docs.google.com/spreadsheets/d/1eHaY18a8A9IcSdp1K8H6x8fbOy06t2VsZHhMHf-1x7Y/edit?usp=sharing"",""แผน!ED75"")"),0)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IFERROR(__xludf.DUMMYFUNCTION("IMPORTRANGE(""https://docs.google.com/spreadsheets/d/1-uDff_7J0KD5mKrp0Vvzr7lt3OU09vwQwhkpOPPYv2Y/edit?usp=sharing"",""งบพรบ!DY75"")"),0)</f>
        <v>0</v>
      </c>
      <c r="M308" s="47">
        <f ca="1">IFERROR(__xludf.DUMMYFUNCTION("IMPORTRANGE(""https://docs.google.com/spreadsheets/d/1-uDff_7J0KD5mKrp0Vvzr7lt3OU09vwQwhkpOPPYv2Y/edit?usp=sharing"",""งบพรบ!ED75"")"),0)</f>
        <v>0</v>
      </c>
      <c r="N308" s="47">
        <f ca="1">IFERROR(__xludf.DUMMYFUNCTION("IMPORTRANGE(""https://docs.google.com/spreadsheets/d/1-uDff_7J0KD5mKrp0Vvzr7lt3OU09vwQwhkpOPPYv2Y/edit?usp=sharing"",""งบพรบ!EF75"")"),0)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IFERROR(__xludf.DUMMYFUNCTION("IMPORTRANGE(""https://docs.google.com/spreadsheets/d/1ItG2mGa2ceCfYo0BwxsXqNm01IGEUdYcSSLTEv9YCik/edit?usp=sharing"",""เบิกจ่ายกองทุน!BB75"")"),0)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IFERROR(__xludf.DUMMYFUNCTION("IMPORTRANGE(""https://docs.google.com/spreadsheets/d/1ItG2mGa2ceCfYo0BwxsXqNm01IGEUdYcSSLTEv9YCik/edit?usp=sharing"",""เบิกจ่ายกองทุน!BC75"")"),0)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IFERROR(__xludf.DUMMYFUNCTION("IMPORTRANGE(""https://docs.google.com/spreadsheets/d/1ItG2mGa2ceCfYo0BwxsXqNm01IGEUdYcSSLTEv9YCik/edit?usp=sharing"",""เบิกจ่ายกองทุน!BD75"")"),0)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IFERROR(__xludf.DUMMYFUNCTION("IMPORTRANGE(""https://docs.google.com/spreadsheets/d/1-uDff_7J0KD5mKrp0Vvzr7lt3OU09vwQwhkpOPPYv2Y/edit?usp=sharing"",""งบพรบ!EB75"")"),0)</f>
        <v>0</v>
      </c>
      <c r="M311" s="47">
        <f ca="1">IFERROR(__xludf.DUMMYFUNCTION("IMPORTRANGE(""https://docs.google.com/spreadsheets/d/1-uDff_7J0KD5mKrp0Vvzr7lt3OU09vwQwhkpOPPYv2Y/edit?usp=sharing"",""งบพรบ!EE75"")"),0)</f>
        <v>0</v>
      </c>
      <c r="N311" s="47">
        <f ca="1">IFERROR(__xludf.DUMMYFUNCTION("IMPORTRANGE(""https://docs.google.com/spreadsheets/d/1-uDff_7J0KD5mKrp0Vvzr7lt3OU09vwQwhkpOPPYv2Y/edit?usp=sharing"",""งบพรบ!EG75"")"),0)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IFERROR(__xludf.DUMMYFUNCTION("IMPORTRANGE(""https://docs.google.com/spreadsheets/d/1eHaY18a8A9IcSdp1K8H6x8fbOy06t2VsZHhMHf-1x7Y/edit?usp=sharing"",""แผน!EF75"")"),0)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235000</v>
      </c>
      <c r="M320" s="132">
        <f ca="1">M321+M322</f>
        <v>235000</v>
      </c>
      <c r="N320" s="132">
        <f ca="1">N321+N322</f>
        <v>87480</v>
      </c>
      <c r="O320" s="132">
        <f ca="1">IF(L320&gt;0,N320*100/L320,0)</f>
        <v>37.225531914893615</v>
      </c>
      <c r="P320" s="132">
        <f ca="1">IF(M320&gt;0,N320*100/M320,0)</f>
        <v>37.225531914893615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235000</v>
      </c>
      <c r="M322" s="47">
        <f ca="1">M325+M328</f>
        <v>235000</v>
      </c>
      <c r="N322" s="47">
        <f ca="1">N325+N328</f>
        <v>87480</v>
      </c>
      <c r="O322" s="47">
        <f ca="1">IF(L322&gt;0,N322*100/L322,0)</f>
        <v>37.225531914893615</v>
      </c>
      <c r="P322" s="47">
        <f ca="1">IF(M322&gt;0,N322*100/M322,0)</f>
        <v>37.225531914893615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235000</v>
      </c>
      <c r="M323" s="47">
        <f ca="1">M324+M325</f>
        <v>235000</v>
      </c>
      <c r="N323" s="47">
        <f ca="1">N324+N325</f>
        <v>87480</v>
      </c>
      <c r="O323" s="47">
        <f ca="1">IF(L323&gt;0,N323*100/L323,0)</f>
        <v>37.225531914893615</v>
      </c>
      <c r="P323" s="47">
        <f ca="1">IF(M323&gt;0,N323*100/M323,0)</f>
        <v>37.225531914893615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IFERROR(__xludf.DUMMYFUNCTION("IMPORTRANGE(""https://docs.google.com/spreadsheets/d/1-uDff_7J0KD5mKrp0Vvzr7lt3OU09vwQwhkpOPPYv2Y/edit?usp=sharing"",""งบพรบ!EI75"")"),235000)</f>
        <v>235000</v>
      </c>
      <c r="M325" s="47">
        <f ca="1">IFERROR(__xludf.DUMMYFUNCTION("IMPORTRANGE(""https://docs.google.com/spreadsheets/d/1-uDff_7J0KD5mKrp0Vvzr7lt3OU09vwQwhkpOPPYv2Y/edit?usp=sharing"",""งบพรบ!EN75"")"),235000)</f>
        <v>235000</v>
      </c>
      <c r="N325" s="47">
        <f ca="1">IFERROR(__xludf.DUMMYFUNCTION("IMPORTRANGE(""https://docs.google.com/spreadsheets/d/1-uDff_7J0KD5mKrp0Vvzr7lt3OU09vwQwhkpOPPYv2Y/edit?usp=sharing"",""งบพรบ!EP75"")"),87480)</f>
        <v>87480</v>
      </c>
      <c r="O325" s="47">
        <f ca="1">IF(L325&gt;0,N325*100/L325,0)</f>
        <v>37.225531914893615</v>
      </c>
      <c r="P325" s="47">
        <f ca="1">IF(M325&gt;0,N325*100/M325,0)</f>
        <v>37.225531914893615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IFERROR(__xludf.DUMMYFUNCTION("IMPORTRANGE(""https://docs.google.com/spreadsheets/d/1-uDff_7J0KD5mKrp0Vvzr7lt3OU09vwQwhkpOPPYv2Y/edit?usp=sharing"",""งบพรบ!EL75"")"),0)</f>
        <v>0</v>
      </c>
      <c r="M328" s="47">
        <f ca="1">IFERROR(__xludf.DUMMYFUNCTION("IMPORTRANGE(""https://docs.google.com/spreadsheets/d/1-uDff_7J0KD5mKrp0Vvzr7lt3OU09vwQwhkpOPPYv2Y/edit?usp=sharing"",""งบพรบ!EO75"")"),0)</f>
        <v>0</v>
      </c>
      <c r="N328" s="47">
        <f ca="1">IFERROR(__xludf.DUMMYFUNCTION("IMPORTRANGE(""https://docs.google.com/spreadsheets/d/1-uDff_7J0KD5mKrp0Vvzr7lt3OU09vwQwhkpOPPYv2Y/edit?usp=sharing"",""งบพรบ!EQ75"")"),0)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IFERROR(__xludf.DUMMYFUNCTION("IMPORTRANGE(""https://docs.google.com/spreadsheets/d/1eHaY18a8A9IcSdp1K8H6x8fbOy06t2VsZHhMHf-1x7Y/edit?usp=sharing"",""แผน!EJ75"")"),1)</f>
        <v>1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1340</v>
      </c>
      <c r="J332" s="697">
        <f ca="1">J344+J347+J348+J349+J353</f>
        <v>6559</v>
      </c>
      <c r="K332" s="696">
        <f ca="1">IF(I332&gt;0,J332*100/I332,0)</f>
        <v>489.47761194029852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183000</v>
      </c>
      <c r="M333" s="132">
        <f ca="1">M334+M335</f>
        <v>183000</v>
      </c>
      <c r="N333" s="132">
        <f ca="1">N334+N335</f>
        <v>118793.34</v>
      </c>
      <c r="O333" s="132">
        <f ca="1">IF(L333&gt;0,N333*100/L333,0)</f>
        <v>64.914393442622952</v>
      </c>
      <c r="P333" s="132">
        <f ca="1">IF(M333&gt;0,N333*100/M333,0)</f>
        <v>64.914393442622952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183000</v>
      </c>
      <c r="M335" s="47">
        <f ca="1">M338+M341</f>
        <v>183000</v>
      </c>
      <c r="N335" s="47">
        <f ca="1">N338+N341</f>
        <v>118793.34</v>
      </c>
      <c r="O335" s="47">
        <f ca="1">IF(L335&gt;0,N335*100/L335,0)</f>
        <v>64.914393442622952</v>
      </c>
      <c r="P335" s="47">
        <f ca="1">IF(M335&gt;0,N335*100/M335,0)</f>
        <v>64.914393442622952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183000</v>
      </c>
      <c r="M336" s="47">
        <f ca="1">M337+M338</f>
        <v>183000</v>
      </c>
      <c r="N336" s="47">
        <f ca="1">N337+N338</f>
        <v>118793.34</v>
      </c>
      <c r="O336" s="47">
        <f ca="1">IF(L336&gt;0,N336*100/L336,0)</f>
        <v>64.914393442622952</v>
      </c>
      <c r="P336" s="47">
        <f ca="1">IF(M336&gt;0,N336*100/M336,0)</f>
        <v>64.914393442622952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IFERROR(__xludf.DUMMYFUNCTION("IMPORTRANGE(""https://docs.google.com/spreadsheets/d/1-uDff_7J0KD5mKrp0Vvzr7lt3OU09vwQwhkpOPPYv2Y/edit?usp=sharing"",""งบพรบ!ES75"")"),183000)</f>
        <v>183000</v>
      </c>
      <c r="M338" s="47">
        <f ca="1">IFERROR(__xludf.DUMMYFUNCTION("IMPORTRANGE(""https://docs.google.com/spreadsheets/d/1-uDff_7J0KD5mKrp0Vvzr7lt3OU09vwQwhkpOPPYv2Y/edit?usp=sharing"",""งบพรบ!EX75"")"),183000)</f>
        <v>183000</v>
      </c>
      <c r="N338" s="47">
        <f ca="1">IFERROR(__xludf.DUMMYFUNCTION("IMPORTRANGE(""https://docs.google.com/spreadsheets/d/1-uDff_7J0KD5mKrp0Vvzr7lt3OU09vwQwhkpOPPYv2Y/edit?usp=sharing"",""งบพรบ!EZ75"")"),118793.34)</f>
        <v>118793.34</v>
      </c>
      <c r="O338" s="47">
        <f ca="1">IF(L338&gt;0,N338*100/L338,0)</f>
        <v>64.914393442622952</v>
      </c>
      <c r="P338" s="47">
        <f ca="1">IF(M338&gt;0,N338*100/M338,0)</f>
        <v>64.914393442622952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IFERROR(__xludf.DUMMYFUNCTION("IMPORTRANGE(""https://docs.google.com/spreadsheets/d/1-uDff_7J0KD5mKrp0Vvzr7lt3OU09vwQwhkpOPPYv2Y/edit?usp=sharing"",""งบพรบ!EV75"")"),0)</f>
        <v>0</v>
      </c>
      <c r="M341" s="47">
        <f ca="1">IFERROR(__xludf.DUMMYFUNCTION("IMPORTRANGE(""https://docs.google.com/spreadsheets/d/1-uDff_7J0KD5mKrp0Vvzr7lt3OU09vwQwhkpOPPYv2Y/edit?usp=sharing"",""งบพรบ!EY75"")"),0)</f>
        <v>0</v>
      </c>
      <c r="N341" s="47">
        <f ca="1">IFERROR(__xludf.DUMMYFUNCTION("IMPORTRANGE(""https://docs.google.com/spreadsheets/d/1-uDff_7J0KD5mKrp0Vvzr7lt3OU09vwQwhkpOPPYv2Y/edit?usp=sharing"",""งบพรบ!FA75"")"),0)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1853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IFERROR(__xludf.DUMMYFUNCTION("IMPORTRANGE(""https://docs.google.com/spreadsheets/d/1eHaY18a8A9IcSdp1K8H6x8fbOy06t2VsZHhMHf-1x7Y/edit?usp=sharing"",""แผน!EK75"")"),1340)</f>
        <v>1340</v>
      </c>
      <c r="J344" s="152">
        <f ca="1">IFERROR(__xludf.DUMMYFUNCTION("IMPORTRANGE(""https://docs.google.com/spreadsheets/d/1awYsYK3VOup2i3Pq_Yjnu8DRu_mYwSBnCR2QPthd0rU/edit?usp=sharing"",""ศูนย์ยกเว้นโฉนด!D75"")"),1776)</f>
        <v>1776</v>
      </c>
      <c r="K344" s="47">
        <f ca="1">IF(I344&gt;0,J344*100/I344,0)</f>
        <v>132.53731343283582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IFERROR(__xludf.DUMMYFUNCTION("IMPORTRANGE(""https://docs.google.com/spreadsheets/d/1eHaY18a8A9IcSdp1K8H6x8fbOy06t2VsZHhMHf-1x7Y/edit?usp=sharing"",""แผน!EL75"")"),3)</f>
        <v>3</v>
      </c>
      <c r="J346" s="152">
        <f ca="1">IFERROR(__xludf.DUMMYFUNCTION("IMPORTRANGE(""https://docs.google.com/spreadsheets/d/1awYsYK3VOup2i3Pq_Yjnu8DRu_mYwSBnCR2QPthd0rU/edit?usp=sharing"",""ศูนย์รวม!E75"")"),5)</f>
        <v>5</v>
      </c>
      <c r="K346" s="47">
        <f ca="1">IF(I346&gt;0,J346*100/I346,0)</f>
        <v>166.66666666666666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IFERROR(__xludf.DUMMYFUNCTION("IMPORTRANGE(""https://docs.google.com/spreadsheets/d/1awYsYK3VOup2i3Pq_Yjnu8DRu_mYwSBnCR2QPthd0rU/edit?usp=sharing"",""ศูนย์ยกเว้นโฉนด!F75"")"),27)</f>
        <v>27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IFERROR(__xludf.DUMMYFUNCTION("IMPORTRANGE(""https://docs.google.com/spreadsheets/d/1awYsYK3VOup2i3Pq_Yjnu8DRu_mYwSBnCR2QPthd0rU/edit?usp=sharing"",""ศูนย์ยกเว้นโฉนด!G75"")"),50)</f>
        <v>50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IFERROR(__xludf.DUMMYFUNCTION("IMPORTRANGE(""https://docs.google.com/spreadsheets/d/1awYsYK3VOup2i3Pq_Yjnu8DRu_mYwSBnCR2QPthd0rU/edit?usp=sharing"",""ศูนย์ยกเว้นโฉนด!H75"")"),0)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4731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IFERROR(__xludf.DUMMYFUNCTION("IMPORTRANGE(""https://docs.google.com/spreadsheets/d/1awYsYK3VOup2i3Pq_Yjnu8DRu_mYwSBnCR2QPthd0rU/edit?usp=sharing"",""โฉนดM3!G75"")"),25)</f>
        <v>25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IFERROR(__xludf.DUMMYFUNCTION("IMPORTRANGE(""https://docs.google.com/spreadsheets/d/1awYsYK3VOup2i3Pq_Yjnu8DRu_mYwSBnCR2QPthd0rU/edit?usp=sharing"",""โฉนดM3!H75"")"),4706)</f>
        <v>4706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825400</v>
      </c>
      <c r="M356" s="132">
        <f ca="1">M357+M358</f>
        <v>887660</v>
      </c>
      <c r="N356" s="132">
        <f ca="1">N357+N358</f>
        <v>601310.16</v>
      </c>
      <c r="O356" s="132">
        <f ca="1">IF(L356&gt;0,N356*100/L356,0)</f>
        <v>72.85075842015992</v>
      </c>
      <c r="P356" s="132">
        <f ca="1">IF(M356&gt;0,N356*100/M356,0)</f>
        <v>67.741044994705177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825400</v>
      </c>
      <c r="M358" s="47">
        <f ca="1">M361+M364</f>
        <v>887660</v>
      </c>
      <c r="N358" s="47">
        <f ca="1">N361+N364</f>
        <v>601310.16</v>
      </c>
      <c r="O358" s="47">
        <f ca="1">IF(L358&gt;0,N358*100/L358,0)</f>
        <v>72.85075842015992</v>
      </c>
      <c r="P358" s="47">
        <f ca="1">IF(M358&gt;0,N358*100/M358,0)</f>
        <v>67.741044994705177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825400</v>
      </c>
      <c r="M359" s="47">
        <f ca="1">M360+M361</f>
        <v>887660</v>
      </c>
      <c r="N359" s="47">
        <f ca="1">N360+N361</f>
        <v>601310.16</v>
      </c>
      <c r="O359" s="47">
        <f ca="1">IF(L359&gt;0,N359*100/L359,0)</f>
        <v>72.85075842015992</v>
      </c>
      <c r="P359" s="47">
        <f ca="1">IF(M359&gt;0,N359*100/M359,0)</f>
        <v>67.741044994705177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IFERROR(__xludf.DUMMYFUNCTION("IMPORTRANGE(""https://docs.google.com/spreadsheets/d/1-uDff_7J0KD5mKrp0Vvzr7lt3OU09vwQwhkpOPPYv2Y/edit?usp=sharing"",""งบพรบ!FC75"")"),825400)</f>
        <v>825400</v>
      </c>
      <c r="M361" s="47">
        <f ca="1">IFERROR(__xludf.DUMMYFUNCTION("IMPORTRANGE(""https://docs.google.com/spreadsheets/d/1-uDff_7J0KD5mKrp0Vvzr7lt3OU09vwQwhkpOPPYv2Y/edit?usp=sharing"",""งบพรบ!FH75"")"),887660)</f>
        <v>887660</v>
      </c>
      <c r="N361" s="47">
        <f ca="1">IFERROR(__xludf.DUMMYFUNCTION("IMPORTRANGE(""https://docs.google.com/spreadsheets/d/1-uDff_7J0KD5mKrp0Vvzr7lt3OU09vwQwhkpOPPYv2Y/edit?usp=sharing"",""งบพรบ!FJ75"")"),601310.16)</f>
        <v>601310.16</v>
      </c>
      <c r="O361" s="47">
        <f ca="1">IF(L361&gt;0,N361*100/L361,0)</f>
        <v>72.85075842015992</v>
      </c>
      <c r="P361" s="47">
        <f ca="1">IF(M361&gt;0,N361*100/M361,0)</f>
        <v>67.741044994705177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IFERROR(__xludf.DUMMYFUNCTION("IMPORTRANGE(""https://docs.google.com/spreadsheets/d/1-uDff_7J0KD5mKrp0Vvzr7lt3OU09vwQwhkpOPPYv2Y/edit?usp=sharing"",""งบพรบ!FF75"")"),0)</f>
        <v>0</v>
      </c>
      <c r="M364" s="47">
        <f ca="1">IFERROR(__xludf.DUMMYFUNCTION("IMPORTRANGE(""https://docs.google.com/spreadsheets/d/1-uDff_7J0KD5mKrp0Vvzr7lt3OU09vwQwhkpOPPYv2Y/edit?usp=sharing"",""งบพรบ!FI75"")"),0)</f>
        <v>0</v>
      </c>
      <c r="N364" s="47">
        <f ca="1">IFERROR(__xludf.DUMMYFUNCTION("IMPORTRANGE(""https://docs.google.com/spreadsheets/d/1-uDff_7J0KD5mKrp0Vvzr7lt3OU09vwQwhkpOPPYv2Y/edit?usp=sharing"",""งบพรบ!FK75"")"),0)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325</v>
      </c>
      <c r="J365" s="228">
        <f ca="1">J371</f>
        <v>253</v>
      </c>
      <c r="K365" s="229">
        <f ca="1">IF(I365&gt;0,J365*100/I365,0)</f>
        <v>77.84615384615384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IFERROR(__xludf.DUMMYFUNCTION("IMPORTRANGE(""https://docs.google.com/spreadsheets/d/1tdoBKaGub7dwA3U6UFTqxio9LNnvDCQjHKmttSEBsFQ/edit?usp=sharing"",""จัดที่ดิน!AB75"")"),276)</f>
        <v>276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IFERROR(__xludf.DUMMYFUNCTION("IMPORTRANGE(""https://docs.google.com/spreadsheets/d/1eHaY18a8A9IcSdp1K8H6x8fbOy06t2VsZHhMHf-1x7Y/edit?usp=sharing"",""แผน!EW75"")"),1350)</f>
        <v>1350</v>
      </c>
      <c r="J368" s="685">
        <f ca="1">IFERROR(__xludf.DUMMYFUNCTION("IMPORTRANGE(""https://docs.google.com/spreadsheets/d/1tdoBKaGub7dwA3U6UFTqxio9LNnvDCQjHKmttSEBsFQ/edit?usp=sharing"",""จัดที่ดิน!AC75"")"),2912.19)</f>
        <v>2912.19</v>
      </c>
      <c r="K368" s="47">
        <f ca="1">IF(I368&gt;0,J368*100/I368,0)</f>
        <v>215.71777777777777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IFERROR(__xludf.DUMMYFUNCTION("IMPORTRANGE(""https://docs.google.com/spreadsheets/d/1eHaY18a8A9IcSdp1K8H6x8fbOy06t2VsZHhMHf-1x7Y/edit?usp=sharing"",""แผน!EX75"")"),325)</f>
        <v>325</v>
      </c>
      <c r="J369" s="152">
        <f ca="1">IFERROR(__xludf.DUMMYFUNCTION("IMPORTRANGE(""https://docs.google.com/spreadsheets/d/1tdoBKaGub7dwA3U6UFTqxio9LNnvDCQjHKmttSEBsFQ/edit?usp=sharing"",""จัดที่ดิน!AD75"")"),524)</f>
        <v>524</v>
      </c>
      <c r="K369" s="47">
        <f ca="1">IF(I369&gt;0,J369*100/I369,0)</f>
        <v>161.23076923076923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IFERROR(__xludf.DUMMYFUNCTION("IMPORTRANGE(""https://docs.google.com/spreadsheets/d/1tdoBKaGub7dwA3U6UFTqxio9LNnvDCQjHKmttSEBsFQ/edit?usp=sharing"",""จัดที่ดิน!AE75"")"),7502.94)</f>
        <v>7502.94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IFERROR(__xludf.DUMMYFUNCTION("IMPORTRANGE(""https://docs.google.com/spreadsheets/d/1eHaY18a8A9IcSdp1K8H6x8fbOy06t2VsZHhMHf-1x7Y/edit?usp=sharing"",""แผน!EY75"")"),325)</f>
        <v>325</v>
      </c>
      <c r="J371" s="152">
        <f ca="1">IFERROR(__xludf.DUMMYFUNCTION("IMPORTRANGE(""https://docs.google.com/spreadsheets/d/1tdoBKaGub7dwA3U6UFTqxio9LNnvDCQjHKmttSEBsFQ/edit?usp=sharing"",""จัดที่ดิน!AF75"")"),253)</f>
        <v>253</v>
      </c>
      <c r="K371" s="47">
        <f ca="1">IF(I371&gt;0,J371*100/I371,0)</f>
        <v>77.84615384615384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IFERROR(__xludf.DUMMYFUNCTION("IMPORTRANGE(""https://docs.google.com/spreadsheets/d/1tdoBKaGub7dwA3U6UFTqxio9LNnvDCQjHKmttSEBsFQ/edit?usp=sharing"",""จัดที่ดิน!AG75"")"),3796.71)</f>
        <v>3796.71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45700</v>
      </c>
      <c r="M375" s="132">
        <f ca="1">M376+M377</f>
        <v>45700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45700</v>
      </c>
      <c r="M377" s="47">
        <f ca="1">M380+M383</f>
        <v>45700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45700</v>
      </c>
      <c r="M378" s="47">
        <f ca="1">M379+M380</f>
        <v>45700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IFERROR(__xludf.DUMMYFUNCTION("IMPORTRANGE(""https://docs.google.com/spreadsheets/d/1-uDff_7J0KD5mKrp0Vvzr7lt3OU09vwQwhkpOPPYv2Y/edit?usp=sharing"",""งบพรบ!IE75"")"),45700)</f>
        <v>45700</v>
      </c>
      <c r="M380" s="47">
        <f ca="1">IFERROR(__xludf.DUMMYFUNCTION("IMPORTRANGE(""https://docs.google.com/spreadsheets/d/1-uDff_7J0KD5mKrp0Vvzr7lt3OU09vwQwhkpOPPYv2Y/edit?usp=sharing"",""งบพรบ!IJ75"")"),45700)</f>
        <v>45700</v>
      </c>
      <c r="N380" s="47">
        <f ca="1">IFERROR(__xludf.DUMMYFUNCTION("IMPORTRANGE(""https://docs.google.com/spreadsheets/d/1-uDff_7J0KD5mKrp0Vvzr7lt3OU09vwQwhkpOPPYv2Y/edit?usp=sharing"",""งบพรบ!IL75"")"),0)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IFERROR(__xludf.DUMMYFUNCTION("IMPORTRANGE(""https://docs.google.com/spreadsheets/d/1ItG2mGa2ceCfYo0BwxsXqNm01IGEUdYcSSLTEv9YCik/edit?usp=sharing"",""เบิกจ่ายกองทุน!BW75"")"),62500)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IFERROR(__xludf.DUMMYFUNCTION("IMPORTRANGE(""https://docs.google.com/spreadsheets/d/1ItG2mGa2ceCfYo0BwxsXqNm01IGEUdYcSSLTEv9YCik/edit?usp=sharing"",""เบิกจ่ายกองทุน!BX75"")"),62500)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IFERROR(__xludf.DUMMYFUNCTION("IMPORTRANGE(""https://docs.google.com/spreadsheets/d/1ItG2mGa2ceCfYo0BwxsXqNm01IGEUdYcSSLTEv9YCik/edit?usp=sharing"",""เบิกจ่ายกองทุน!BY75"")"),0)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IFERROR(__xludf.DUMMYFUNCTION("IMPORTRANGE(""https://docs.google.com/spreadsheets/d/1-uDff_7J0KD5mKrp0Vvzr7lt3OU09vwQwhkpOPPYv2Y/edit?usp=sharing"",""งบพรบ!IH75"")"),0)</f>
        <v>0</v>
      </c>
      <c r="M383" s="47">
        <f ca="1">IFERROR(__xludf.DUMMYFUNCTION("IMPORTRANGE(""https://docs.google.com/spreadsheets/d/1-uDff_7J0KD5mKrp0Vvzr7lt3OU09vwQwhkpOPPYv2Y/edit?usp=sharing"",""งบพรบ!IK75"")"),0)</f>
        <v>0</v>
      </c>
      <c r="N383" s="47">
        <f ca="1">IFERROR(__xludf.DUMMYFUNCTION("IMPORTRANGE(""https://docs.google.com/spreadsheets/d/1-uDff_7J0KD5mKrp0Vvzr7lt3OU09vwQwhkpOPPYv2Y/edit?usp=sharing"",""งบพรบ!IM75"")"),0)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IFERROR(__xludf.DUMMYFUNCTION("IMPORTRANGE(""https://docs.google.com/spreadsheets/d/1w5rwWK1o49a35cNtocGL0gxDwhFSTZUQu90BiH9_zqM/edit?usp=sharing"",""RTK!H75"")"),0)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IFERROR(__xludf.DUMMYFUNCTION("IMPORTRANGE(""https://docs.google.com/spreadsheets/d/1w5rwWK1o49a35cNtocGL0gxDwhFSTZUQu90BiH9_zqM/edit?usp=sharing"",""RTK!G75"")"),1000)</f>
        <v>1000</v>
      </c>
      <c r="J386" s="152">
        <f ca="1">IFERROR(__xludf.DUMMYFUNCTION("IMPORTRANGE(""https://docs.google.com/spreadsheets/d/1w5rwWK1o49a35cNtocGL0gxDwhFSTZUQu90BiH9_zqM/edit?usp=sharing"",""RTK!I75"")"),0)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IFERROR(__xludf.DUMMYFUNCTION("IMPORTRANGE(""https://docs.google.com/spreadsheets/d/1w5rwWK1o49a35cNtocGL0gxDwhFSTZUQu90BiH9_zqM/edit?usp=sharing"",""RTK!L75"")"),0)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IFERROR(__xludf.DUMMYFUNCTION("IMPORTRANGE(""https://docs.google.com/spreadsheets/d/1w5rwWK1o49a35cNtocGL0gxDwhFSTZUQu90BiH9_zqM/edit?usp=sharing"",""RTK!K75"")"),0)</f>
        <v>0</v>
      </c>
      <c r="J388" s="330">
        <f ca="1">IFERROR(__xludf.DUMMYFUNCTION("IMPORTRANGE(""https://docs.google.com/spreadsheets/d/1w5rwWK1o49a35cNtocGL0gxDwhFSTZUQu90BiH9_zqM/edit?usp=sharing"",""RTK!M75"")"),0)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IFERROR(__xludf.DUMMYFUNCTION("IMPORTRANGE(""https://docs.google.com/spreadsheets/d/1ItG2mGa2ceCfYo0BwxsXqNm01IGEUdYcSSLTEv9YCik/edit?usp=sharing"",""เบิกจ่ายกองทุน!CL75"")"),0)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IFERROR(__xludf.DUMMYFUNCTION("IMPORTRANGE(""https://docs.google.com/spreadsheets/d/1ItG2mGa2ceCfYo0BwxsXqNm01IGEUdYcSSLTEv9YCik/edit?usp=sharing"",""เบิกจ่ายกองทุน!CM75"")"),0)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IFERROR(__xludf.DUMMYFUNCTION("IMPORTRANGE(""https://docs.google.com/spreadsheets/d/1ItG2mGa2ceCfYo0BwxsXqNm01IGEUdYcSSLTEv9YCik/edit?usp=sharing"",""เบิกจ่ายกองทุน!CN75"")"),0)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51370</v>
      </c>
      <c r="M413" s="132">
        <f ca="1">M414+M415</f>
        <v>183870</v>
      </c>
      <c r="N413" s="132">
        <f ca="1">N414+N415</f>
        <v>132500</v>
      </c>
      <c r="O413" s="132">
        <f ca="1">IF(L413&gt;0,N413*100/L413,0)</f>
        <v>257.93264551294527</v>
      </c>
      <c r="P413" s="132">
        <f ca="1">IF(M413&gt;0,N413*100/M413,0)</f>
        <v>72.061782781312886</v>
      </c>
      <c r="Q413" s="132">
        <f ca="1">Q414+Q415</f>
        <v>16200</v>
      </c>
      <c r="R413" s="132">
        <f ca="1">R414+R415</f>
        <v>16200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51370</v>
      </c>
      <c r="M415" s="47">
        <f ca="1">M418+M421</f>
        <v>183870</v>
      </c>
      <c r="N415" s="47">
        <f ca="1">N418+N421</f>
        <v>132500</v>
      </c>
      <c r="O415" s="47">
        <f ca="1">IF(L415&gt;0,N415*100/L415,0)</f>
        <v>257.93264551294527</v>
      </c>
      <c r="P415" s="47">
        <f ca="1">IF(M415&gt;0,N415*100/M415,0)</f>
        <v>72.061782781312886</v>
      </c>
      <c r="Q415" s="47">
        <f ca="1">Q418+Q421</f>
        <v>16200</v>
      </c>
      <c r="R415" s="47">
        <f ca="1">R418+R421</f>
        <v>16200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51370</v>
      </c>
      <c r="M416" s="47">
        <f ca="1">M417+M418</f>
        <v>183870</v>
      </c>
      <c r="N416" s="47">
        <f ca="1">N417+N418</f>
        <v>132500</v>
      </c>
      <c r="O416" s="47">
        <f ca="1">IF(L416&gt;0,N416*100/L416,0)</f>
        <v>257.93264551294527</v>
      </c>
      <c r="P416" s="47">
        <f ca="1">IF(M416&gt;0,N416*100/M416,0)</f>
        <v>72.061782781312886</v>
      </c>
      <c r="Q416" s="47">
        <f ca="1">Q417+Q418</f>
        <v>16200</v>
      </c>
      <c r="R416" s="47">
        <f ca="1">R417+R418</f>
        <v>16200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IFERROR(__xludf.DUMMYFUNCTION("IMPORTRANGE(""https://docs.google.com/spreadsheets/d/1-uDff_7J0KD5mKrp0Vvzr7lt3OU09vwQwhkpOPPYv2Y/edit?usp=sharing"",""งบพรบ!IO75"")"),51370)</f>
        <v>51370</v>
      </c>
      <c r="M418" s="47">
        <f ca="1">IFERROR(__xludf.DUMMYFUNCTION("IMPORTRANGE(""https://docs.google.com/spreadsheets/d/1-uDff_7J0KD5mKrp0Vvzr7lt3OU09vwQwhkpOPPYv2Y/edit?usp=sharing"",""งบพรบ!IT75"")"),183870)</f>
        <v>183870</v>
      </c>
      <c r="N418" s="47">
        <f ca="1">IFERROR(__xludf.DUMMYFUNCTION("IMPORTRANGE(""https://docs.google.com/spreadsheets/d/1-uDff_7J0KD5mKrp0Vvzr7lt3OU09vwQwhkpOPPYv2Y/edit?usp=sharing"",""งบพรบ!IV75"")"),132500)</f>
        <v>132500</v>
      </c>
      <c r="O418" s="47">
        <f ca="1">IF(L418&gt;0,N418*100/L418,0)</f>
        <v>257.93264551294527</v>
      </c>
      <c r="P418" s="47">
        <f ca="1">IF(M418&gt;0,N418*100/M418,0)</f>
        <v>72.061782781312886</v>
      </c>
      <c r="Q418" s="47">
        <f ca="1">IFERROR(__xludf.DUMMYFUNCTION("IMPORTRANGE(""https://docs.google.com/spreadsheets/d/1ItG2mGa2ceCfYo0BwxsXqNm01IGEUdYcSSLTEv9YCik/edit?usp=sharing"",""เบิกจ่ายกองทุน!BZ75"")"),16200)</f>
        <v>16200</v>
      </c>
      <c r="R418" s="47">
        <f ca="1">IFERROR(__xludf.DUMMYFUNCTION("IMPORTRANGE(""https://docs.google.com/spreadsheets/d/1ItG2mGa2ceCfYo0BwxsXqNm01IGEUdYcSSLTEv9YCik/edit?usp=sharing"",""เบิกจ่ายกองทุน!CA75"")"),16200)</f>
        <v>16200</v>
      </c>
      <c r="S418" s="47">
        <f ca="1">IFERROR(__xludf.DUMMYFUNCTION("IMPORTRANGE(""https://docs.google.com/spreadsheets/d/1ItG2mGa2ceCfYo0BwxsXqNm01IGEUdYcSSLTEv9YCik/edit?usp=sharing"",""เบิกจ่ายกองทุน!CB75"")"),0)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IFERROR(__xludf.DUMMYFUNCTION("IMPORTRANGE(""https://docs.google.com/spreadsheets/d/1-uDff_7J0KD5mKrp0Vvzr7lt3OU09vwQwhkpOPPYv2Y/edit?usp=sharing"",""งบพรบ!IR75"")"),0)</f>
        <v>0</v>
      </c>
      <c r="M421" s="47">
        <f ca="1">IFERROR(__xludf.DUMMYFUNCTION("IMPORTRANGE(""https://docs.google.com/spreadsheets/d/1-uDff_7J0KD5mKrp0Vvzr7lt3OU09vwQwhkpOPPYv2Y/edit?usp=sharing"",""งบพรบ!IU75"")"),0)</f>
        <v>0</v>
      </c>
      <c r="N421" s="47">
        <f ca="1">IFERROR(__xludf.DUMMYFUNCTION("IMPORTRANGE(""https://docs.google.com/spreadsheets/d/1-uDff_7J0KD5mKrp0Vvzr7lt3OU09vwQwhkpOPPYv2Y/edit?usp=sharing"",""งบพรบ!IW75"")"),0)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IFERROR(__xludf.DUMMYFUNCTION("IMPORTRANGE(""https://docs.google.com/spreadsheets/d/1eHaY18a8A9IcSdp1K8H6x8fbOy06t2VsZHhMHf-1x7Y/edit?usp=sharing"",""แผน!HJ75"")"),0)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IFERROR(__xludf.DUMMYFUNCTION("IMPORTRANGE(""https://docs.google.com/spreadsheets/d/1eHaY18a8A9IcSdp1K8H6x8fbOy06t2VsZHhMHf-1x7Y/edit?usp=sharing"",""แผน!HK75"")"),0)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IFERROR(__xludf.DUMMYFUNCTION("IMPORTRANGE(""https://docs.google.com/spreadsheets/d/1eHaY18a8A9IcSdp1K8H6x8fbOy06t2VsZHhMHf-1x7Y/edit?usp=sharing"",""แผน!HJ75"")"),0)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IFERROR(__xludf.DUMMYFUNCTION("IMPORTRANGE(""https://docs.google.com/spreadsheets/d/1eHaY18a8A9IcSdp1K8H6x8fbOy06t2VsZHhMHf-1x7Y/edit?usp=sharing"",""แผน!HK75"")"),0)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IFERROR(__xludf.DUMMYFUNCTION("IMPORTRANGE(""https://docs.google.com/spreadsheets/d/1eHaY18a8A9IcSdp1K8H6x8fbOy06t2VsZHhMHf-1x7Y/edit?usp=sharing"",""แผน!HJ75"")"),0)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IFERROR(__xludf.DUMMYFUNCTION("IMPORTRANGE(""https://docs.google.com/spreadsheets/d/1eHaY18a8A9IcSdp1K8H6x8fbOy06t2VsZHhMHf-1x7Y/edit?usp=sharing"",""แผน!HK75"")"),0)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167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IFERROR(__xludf.DUMMYFUNCTION("IMPORTRANGE(""https://docs.google.com/spreadsheets/d/1eHaY18a8A9IcSdp1K8H6x8fbOy06t2VsZHhMHf-1x7Y/edit?usp=sharing"",""แผน!HL75"")"),167)</f>
        <v>167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IFERROR(__xludf.DUMMYFUNCTION("IMPORTRANGE(""https://docs.google.com/spreadsheets/d/1eHaY18a8A9IcSdp1K8H6x8fbOy06t2VsZHhMHf-1x7Y/edit?usp=sharing"",""แผน!HM75"")"),0)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100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47800</v>
      </c>
      <c r="M493" s="132">
        <f ca="1">M494+M495</f>
        <v>47800</v>
      </c>
      <c r="N493" s="132">
        <f ca="1">N494+N495</f>
        <v>2700</v>
      </c>
      <c r="O493" s="132">
        <f ca="1">IF(L493&gt;0,N493*100/L493,0)</f>
        <v>5.6485355648535567</v>
      </c>
      <c r="P493" s="132">
        <f ca="1">IF(M493&gt;0,N493*100/M493,0)</f>
        <v>5.6485355648535567</v>
      </c>
      <c r="Q493" s="132">
        <f ca="1">Q494+Q495</f>
        <v>1169450</v>
      </c>
      <c r="R493" s="132">
        <f ca="1">R494+R495</f>
        <v>1169450</v>
      </c>
      <c r="S493" s="132">
        <f ca="1">S494+S495</f>
        <v>66166.59</v>
      </c>
      <c r="T493" s="132">
        <f ca="1">IF(Q493&gt;0,S493*100/Q493,0)</f>
        <v>5.6579238103381932</v>
      </c>
      <c r="U493" s="132">
        <f ca="1">IF(R493&gt;0,S493*100/R493,0)</f>
        <v>5.6579238103381932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47800</v>
      </c>
      <c r="M495" s="47">
        <f ca="1">M498+M501</f>
        <v>47800</v>
      </c>
      <c r="N495" s="47">
        <f ca="1">N498+N501</f>
        <v>2700</v>
      </c>
      <c r="O495" s="47">
        <f ca="1">IF(L495&gt;0,N495*100/L495,0)</f>
        <v>5.6485355648535567</v>
      </c>
      <c r="P495" s="47">
        <f ca="1">IF(M495&gt;0,N495*100/M495,0)</f>
        <v>5.6485355648535567</v>
      </c>
      <c r="Q495" s="47">
        <f ca="1">Q498+Q501</f>
        <v>1169450</v>
      </c>
      <c r="R495" s="47">
        <f ca="1">R498+R501</f>
        <v>1169450</v>
      </c>
      <c r="S495" s="47">
        <f ca="1">S498+S501</f>
        <v>66166.59</v>
      </c>
      <c r="T495" s="47">
        <f ca="1">IF(Q495&gt;0,S495*100/Q495,0)</f>
        <v>5.6579238103381932</v>
      </c>
      <c r="U495" s="47">
        <f ca="1">IF(R495&gt;0,S495*100/R495,0)</f>
        <v>5.6579238103381932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47800</v>
      </c>
      <c r="M496" s="47">
        <f ca="1">M497+M498</f>
        <v>47800</v>
      </c>
      <c r="N496" s="47">
        <f ca="1">N497+N498</f>
        <v>2700</v>
      </c>
      <c r="O496" s="47">
        <f ca="1">IF(L496&gt;0,N496*100/L496,0)</f>
        <v>5.6485355648535567</v>
      </c>
      <c r="P496" s="47">
        <f ca="1">IF(M496&gt;0,N496*100/M496,0)</f>
        <v>5.6485355648535567</v>
      </c>
      <c r="Q496" s="47">
        <f ca="1">Q497+Q498</f>
        <v>1169450</v>
      </c>
      <c r="R496" s="47">
        <f ca="1">R497+R498</f>
        <v>1169450</v>
      </c>
      <c r="S496" s="47">
        <f ca="1">S497+S498</f>
        <v>66166.59</v>
      </c>
      <c r="T496" s="47">
        <f ca="1">IF(Q496&gt;0,S496*100/Q496,0)</f>
        <v>5.6579238103381932</v>
      </c>
      <c r="U496" s="47">
        <f ca="1">IF(R496&gt;0,S496*100/R496,0)</f>
        <v>5.6579238103381932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IFERROR(__xludf.DUMMYFUNCTION("IMPORTRANGE(""https://docs.google.com/spreadsheets/d/1-uDff_7J0KD5mKrp0Vvzr7lt3OU09vwQwhkpOPPYv2Y/edit?usp=sharing"",""งบพรบ!HU75"")"),47800)</f>
        <v>47800</v>
      </c>
      <c r="M498" s="47">
        <f ca="1">IFERROR(__xludf.DUMMYFUNCTION("IMPORTRANGE(""https://docs.google.com/spreadsheets/d/1-uDff_7J0KD5mKrp0Vvzr7lt3OU09vwQwhkpOPPYv2Y/edit?usp=sharing"",""งบพรบ!HZ75"")"),47800)</f>
        <v>47800</v>
      </c>
      <c r="N498" s="47">
        <f ca="1">IFERROR(__xludf.DUMMYFUNCTION("IMPORTRANGE(""https://docs.google.com/spreadsheets/d/1-uDff_7J0KD5mKrp0Vvzr7lt3OU09vwQwhkpOPPYv2Y/edit?usp=sharing"",""งบพรบ!IB75"")"),2700)</f>
        <v>2700</v>
      </c>
      <c r="O498" s="47">
        <f ca="1">IF(L498&gt;0,N498*100/L498,0)</f>
        <v>5.6485355648535567</v>
      </c>
      <c r="P498" s="47">
        <f ca="1">IF(M498&gt;0,N498*100/M498,0)</f>
        <v>5.6485355648535567</v>
      </c>
      <c r="Q498" s="47">
        <f ca="1">IFERROR(__xludf.DUMMYFUNCTION("IMPORTRANGE(""https://docs.google.com/spreadsheets/d/1ItG2mGa2ceCfYo0BwxsXqNm01IGEUdYcSSLTEv9YCik/edit?usp=sharing"",""เบิกจ่ายกองทุน!AD75"")"),1169450)</f>
        <v>1169450</v>
      </c>
      <c r="R498" s="47">
        <f ca="1">IFERROR(__xludf.DUMMYFUNCTION("IMPORTRANGE(""https://docs.google.com/spreadsheets/d/1ItG2mGa2ceCfYo0BwxsXqNm01IGEUdYcSSLTEv9YCik/edit?usp=sharing"",""เบิกจ่ายกองทุน!AE75"")"),1169450)</f>
        <v>1169450</v>
      </c>
      <c r="S498" s="47">
        <f ca="1">IFERROR(__xludf.DUMMYFUNCTION("IMPORTRANGE(""https://docs.google.com/spreadsheets/d/1ItG2mGa2ceCfYo0BwxsXqNm01IGEUdYcSSLTEv9YCik/edit?usp=sharing"",""เบิกจ่ายกองทุน!AF75"")"),66166.59)</f>
        <v>66166.59</v>
      </c>
      <c r="T498" s="47">
        <f ca="1">IF(Q498&gt;0,S498*100/Q498,0)</f>
        <v>5.6579238103381932</v>
      </c>
      <c r="U498" s="47">
        <f ca="1">IF(R498&gt;0,S498*100/R498,0)</f>
        <v>5.6579238103381932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IFERROR(__xludf.DUMMYFUNCTION("IMPORTRANGE(""https://docs.google.com/spreadsheets/d/1-uDff_7J0KD5mKrp0Vvzr7lt3OU09vwQwhkpOPPYv2Y/edit?usp=sharing"",""งบพรบ!HX75"")"),0)</f>
        <v>0</v>
      </c>
      <c r="M501" s="47">
        <f ca="1">IFERROR(__xludf.DUMMYFUNCTION("IMPORTRANGE(""https://docs.google.com/spreadsheets/d/1-uDff_7J0KD5mKrp0Vvzr7lt3OU09vwQwhkpOPPYv2Y/edit?usp=sharing"",""งบพรบ!IA75"")"),0)</f>
        <v>0</v>
      </c>
      <c r="N501" s="47">
        <f ca="1">IFERROR(__xludf.DUMMYFUNCTION("IMPORTRANGE(""https://docs.google.com/spreadsheets/d/1-uDff_7J0KD5mKrp0Vvzr7lt3OU09vwQwhkpOPPYv2Y/edit?usp=sharing"",""งบพรบ!IC75"")"),0)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IFERROR(__xludf.DUMMYFUNCTION("IMPORTRANGE(""https://docs.google.com/spreadsheets/d/1eHaY18a8A9IcSdp1K8H6x8fbOy06t2VsZHhMHf-1x7Y/edit?usp=sharing"",""แผน!GX75"")"),100)</f>
        <v>100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IFERROR(__xludf.DUMMYFUNCTION("IMPORTRANGE(""https://docs.google.com/spreadsheets/d/1eHaY18a8A9IcSdp1K8H6x8fbOy06t2VsZHhMHf-1x7Y/edit?usp=sharing"",""แผน!GY75"")"),0)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IFERROR(__xludf.DUMMYFUNCTION("IMPORTRANGE(""https://docs.google.com/spreadsheets/d/1eHaY18a8A9IcSdp1K8H6x8fbOy06t2VsZHhMHf-1x7Y/edit?usp=sharing"",""แผน!GZ75"")"),0)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IFERROR(__xludf.DUMMYFUNCTION("IMPORTRANGE(""https://docs.google.com/spreadsheets/d/1eHaY18a8A9IcSdp1K8H6x8fbOy06t2VsZHhMHf-1x7Y/edit?usp=sharing"",""แผน!HA75"")"),0)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IFERROR(__xludf.DUMMYFUNCTION("IMPORTRANGE(""https://docs.google.com/spreadsheets/d/1eHaY18a8A9IcSdp1K8H6x8fbOy06t2VsZHhMHf-1x7Y/edit?usp=sharing"",""แผน!HB75"")"),0)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IFERROR(__xludf.DUMMYFUNCTION("IMPORTRANGE(""https://docs.google.com/spreadsheets/d/1eHaY18a8A9IcSdp1K8H6x8fbOy06t2VsZHhMHf-1x7Y/edit?usp=sharing"",""แผน!HC75"")"),0)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x14ac:dyDescent="0.3">
      <c r="A511" s="642" t="s">
        <v>206</v>
      </c>
      <c r="B511" s="640"/>
      <c r="C511" s="640"/>
      <c r="D511" s="641"/>
      <c r="E511" s="640"/>
      <c r="F511" s="640"/>
      <c r="G511" s="640"/>
      <c r="H511" s="639"/>
      <c r="I511" s="638"/>
      <c r="J511" s="638"/>
      <c r="K511" s="637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x14ac:dyDescent="0.3">
      <c r="A512" s="635"/>
      <c r="B512" s="634" t="s">
        <v>207</v>
      </c>
      <c r="C512" s="633"/>
      <c r="D512" s="632"/>
      <c r="E512" s="632"/>
      <c r="F512" s="632"/>
      <c r="G512" s="631"/>
      <c r="H512" s="630" t="s">
        <v>61</v>
      </c>
      <c r="I512" s="629">
        <f>I524</f>
        <v>1</v>
      </c>
      <c r="J512" s="629">
        <f>J524</f>
        <v>0</v>
      </c>
      <c r="K512" s="628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x14ac:dyDescent="0.3">
      <c r="A513" s="416"/>
      <c r="B513" s="424"/>
      <c r="C513" s="386" t="s">
        <v>18</v>
      </c>
      <c r="D513" s="418" t="s">
        <v>19</v>
      </c>
      <c r="E513" s="424"/>
      <c r="F513" s="424"/>
      <c r="G513" s="425"/>
      <c r="H513" s="627" t="s">
        <v>14</v>
      </c>
      <c r="I513" s="420"/>
      <c r="J513" s="420"/>
      <c r="K513" s="332"/>
      <c r="L513" s="550">
        <f ca="1">L514+L515</f>
        <v>33423500</v>
      </c>
      <c r="M513" s="132">
        <f ca="1">M514+M515</f>
        <v>33423500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623"/>
      <c r="B514" s="622"/>
      <c r="C514" s="622"/>
      <c r="D514" s="622"/>
      <c r="E514" s="157" t="s">
        <v>20</v>
      </c>
      <c r="F514" s="622"/>
      <c r="G514" s="621"/>
      <c r="H514" s="158" t="s">
        <v>14</v>
      </c>
      <c r="I514" s="626"/>
      <c r="J514" s="626"/>
      <c r="K514" s="625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416"/>
      <c r="B515" s="424"/>
      <c r="C515" s="424"/>
      <c r="D515" s="424"/>
      <c r="E515" s="423" t="s">
        <v>21</v>
      </c>
      <c r="F515" s="424"/>
      <c r="G515" s="425"/>
      <c r="H515" s="329" t="s">
        <v>14</v>
      </c>
      <c r="I515" s="420"/>
      <c r="J515" s="420"/>
      <c r="K515" s="332"/>
      <c r="L515" s="548">
        <f ca="1">L518+L521</f>
        <v>33423500</v>
      </c>
      <c r="M515" s="47">
        <f ca="1">M518+M521</f>
        <v>33423500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x14ac:dyDescent="0.25">
      <c r="A516" s="416"/>
      <c r="B516" s="424"/>
      <c r="C516" s="424"/>
      <c r="D516" s="624" t="s">
        <v>22</v>
      </c>
      <c r="E516" s="424"/>
      <c r="F516" s="424"/>
      <c r="G516" s="425"/>
      <c r="H516" s="426" t="s">
        <v>14</v>
      </c>
      <c r="I516" s="428"/>
      <c r="J516" s="428"/>
      <c r="K516" s="429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623"/>
      <c r="B517" s="622"/>
      <c r="C517" s="622"/>
      <c r="D517" s="622"/>
      <c r="E517" s="157" t="s">
        <v>36</v>
      </c>
      <c r="F517" s="622"/>
      <c r="G517" s="621"/>
      <c r="H517" s="160" t="s">
        <v>14</v>
      </c>
      <c r="I517" s="620"/>
      <c r="J517" s="620"/>
      <c r="K517" s="619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416"/>
      <c r="B518" s="424"/>
      <c r="C518" s="424"/>
      <c r="D518" s="424"/>
      <c r="E518" s="423" t="s">
        <v>37</v>
      </c>
      <c r="F518" s="424"/>
      <c r="G518" s="425"/>
      <c r="H518" s="426" t="s">
        <v>14</v>
      </c>
      <c r="I518" s="428"/>
      <c r="J518" s="428"/>
      <c r="K518" s="429"/>
      <c r="L518" s="548">
        <f ca="1">IFERROR(__xludf.DUMMYFUNCTION("IMPORTRANGE(""https://docs.google.com/spreadsheets/d/1-uDff_7J0KD5mKrp0Vvzr7lt3OU09vwQwhkpOPPYv2Y/edit?usp=sharing"",""งบพรบ!FM75"")"),0)</f>
        <v>0</v>
      </c>
      <c r="M518" s="47">
        <f ca="1">IFERROR(__xludf.DUMMYFUNCTION("IMPORTRANGE(""https://docs.google.com/spreadsheets/d/1-uDff_7J0KD5mKrp0Vvzr7lt3OU09vwQwhkpOPPYv2Y/edit?usp=sharing"",""งบพรบ!FR75"")"),0)</f>
        <v>0</v>
      </c>
      <c r="N518" s="47">
        <f ca="1">IFERROR(__xludf.DUMMYFUNCTION("IMPORTRANGE(""https://docs.google.com/spreadsheets/d/1-uDff_7J0KD5mKrp0Vvzr7lt3OU09vwQwhkpOPPYv2Y/edit?usp=sharing"",""งบพรบ!FT75"")"),0)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x14ac:dyDescent="0.25">
      <c r="A519" s="416"/>
      <c r="B519" s="424"/>
      <c r="C519" s="424"/>
      <c r="D519" s="624" t="s">
        <v>23</v>
      </c>
      <c r="E519" s="424"/>
      <c r="F519" s="424"/>
      <c r="G519" s="425"/>
      <c r="H519" s="431" t="s">
        <v>14</v>
      </c>
      <c r="I519" s="428"/>
      <c r="J519" s="428"/>
      <c r="K519" s="429"/>
      <c r="L519" s="548">
        <f ca="1">L520+L521</f>
        <v>33423500</v>
      </c>
      <c r="M519" s="47">
        <f ca="1">M520+M521</f>
        <v>33423500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623"/>
      <c r="B520" s="622"/>
      <c r="C520" s="622"/>
      <c r="D520" s="622"/>
      <c r="E520" s="157" t="s">
        <v>20</v>
      </c>
      <c r="F520" s="622"/>
      <c r="G520" s="621"/>
      <c r="H520" s="160" t="s">
        <v>14</v>
      </c>
      <c r="I520" s="620"/>
      <c r="J520" s="620"/>
      <c r="K520" s="619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416"/>
      <c r="B521" s="424"/>
      <c r="C521" s="424"/>
      <c r="D521" s="424"/>
      <c r="E521" s="423" t="s">
        <v>21</v>
      </c>
      <c r="F521" s="424"/>
      <c r="G521" s="425"/>
      <c r="H521" s="431" t="s">
        <v>14</v>
      </c>
      <c r="I521" s="428"/>
      <c r="J521" s="428"/>
      <c r="K521" s="429"/>
      <c r="L521" s="548">
        <f ca="1">IFERROR(__xludf.DUMMYFUNCTION("IMPORTRANGE(""https://docs.google.com/spreadsheets/d/1-uDff_7J0KD5mKrp0Vvzr7lt3OU09vwQwhkpOPPYv2Y/edit?usp=sharing"",""งบพรบ!FP75"")"),33423500)</f>
        <v>33423500</v>
      </c>
      <c r="M521" s="47">
        <f ca="1">IFERROR(__xludf.DUMMYFUNCTION("IMPORTRANGE(""https://docs.google.com/spreadsheets/d/1-uDff_7J0KD5mKrp0Vvzr7lt3OU09vwQwhkpOPPYv2Y/edit?usp=sharing"",""งบพรบ!FS75"")"),33423500)</f>
        <v>33423500</v>
      </c>
      <c r="N521" s="47">
        <f ca="1">IFERROR(__xludf.DUMMYFUNCTION("IMPORTRANGE(""https://docs.google.com/spreadsheets/d/1-uDff_7J0KD5mKrp0Vvzr7lt3OU09vwQwhkpOPPYv2Y/edit?usp=sharing"",""งบพรบ!FU75"")"),0)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x14ac:dyDescent="0.3">
      <c r="A522" s="432"/>
      <c r="B522" s="433"/>
      <c r="C522" s="386" t="s">
        <v>18</v>
      </c>
      <c r="D522" s="618" t="s">
        <v>38</v>
      </c>
      <c r="E522" s="435"/>
      <c r="F522" s="435"/>
      <c r="G522" s="436"/>
      <c r="H522" s="439"/>
      <c r="I522" s="428"/>
      <c r="J522" s="420"/>
      <c r="K522" s="332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x14ac:dyDescent="0.25">
      <c r="A523" s="617"/>
      <c r="B523" s="424"/>
      <c r="C523" s="326"/>
      <c r="D523" s="555" t="s">
        <v>208</v>
      </c>
      <c r="E523" s="433"/>
      <c r="F523" s="424"/>
      <c r="G523" s="425"/>
      <c r="H523" s="616" t="s">
        <v>11</v>
      </c>
      <c r="I523" s="330">
        <v>0</v>
      </c>
      <c r="J523" s="554">
        <v>0</v>
      </c>
      <c r="K523" s="331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x14ac:dyDescent="0.25">
      <c r="A524" s="617"/>
      <c r="B524" s="424"/>
      <c r="C524" s="326"/>
      <c r="D524" s="555" t="s">
        <v>209</v>
      </c>
      <c r="E524" s="433"/>
      <c r="F524" s="424"/>
      <c r="G524" s="425"/>
      <c r="H524" s="616" t="s">
        <v>61</v>
      </c>
      <c r="I524" s="330">
        <v>1</v>
      </c>
      <c r="J524" s="554">
        <v>0</v>
      </c>
      <c r="K524" s="331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608"/>
      <c r="B532" s="607"/>
      <c r="C532" s="607"/>
      <c r="D532" s="606"/>
      <c r="E532" s="606"/>
      <c r="F532" s="606"/>
      <c r="G532" s="605"/>
      <c r="H532" s="604"/>
      <c r="I532" s="603"/>
      <c r="J532" s="603"/>
      <c r="K532" s="602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601"/>
      <c r="B533" s="600" t="s">
        <v>210</v>
      </c>
      <c r="C533" s="599"/>
      <c r="D533" s="598"/>
      <c r="E533" s="598"/>
      <c r="F533" s="598"/>
      <c r="G533" s="597"/>
      <c r="H533" s="596" t="s">
        <v>61</v>
      </c>
      <c r="I533" s="595">
        <f>I545</f>
        <v>0</v>
      </c>
      <c r="J533" s="595">
        <f>J545</f>
        <v>0</v>
      </c>
      <c r="K533" s="594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386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IFERROR(__xludf.DUMMYFUNCTION("IMPORTRANGE(""https://docs.google.com/spreadsheets/d/1-uDff_7J0KD5mKrp0Vvzr7lt3OU09vwQwhkpOPPYv2Y/edit?usp=sharing"",""งบพรบ!FW75"")"),0)</f>
        <v>0</v>
      </c>
      <c r="M539" s="47">
        <f ca="1">IFERROR(__xludf.DUMMYFUNCTION("IMPORTRANGE(""https://docs.google.com/spreadsheets/d/1-uDff_7J0KD5mKrp0Vvzr7lt3OU09vwQwhkpOPPYv2Y/edit?usp=sharing"",""งบพรบ!GB75"")"),0)</f>
        <v>0</v>
      </c>
      <c r="N539" s="47">
        <f ca="1">IFERROR(__xludf.DUMMYFUNCTION("IMPORTRANGE(""https://docs.google.com/spreadsheets/d/1-uDff_7J0KD5mKrp0Vvzr7lt3OU09vwQwhkpOPPYv2Y/edit?usp=sharing"",""งบพรบ!GD75"")"),0)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IFERROR(__xludf.DUMMYFUNCTION("IMPORTRANGE(""https://docs.google.com/spreadsheets/d/1-uDff_7J0KD5mKrp0Vvzr7lt3OU09vwQwhkpOPPYv2Y/edit?usp=sharing"",""งบพรบ!FZ75"")"),0)</f>
        <v>0</v>
      </c>
      <c r="M542" s="47">
        <f ca="1">IFERROR(__xludf.DUMMYFUNCTION("IMPORTRANGE(""https://docs.google.com/spreadsheets/d/1-uDff_7J0KD5mKrp0Vvzr7lt3OU09vwQwhkpOPPYv2Y/edit?usp=sharing"",""งบพรบ!GC75"")"),0)</f>
        <v>0</v>
      </c>
      <c r="N542" s="47">
        <f ca="1">IFERROR(__xludf.DUMMYFUNCTION("IMPORTRANGE(""https://docs.google.com/spreadsheets/d/1-uDff_7J0KD5mKrp0Vvzr7lt3OU09vwQwhkpOPPYv2Y/edit?usp=sharing"",""งบพรบ!GE75"")"),0)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IFERROR(__xludf.DUMMYFUNCTION("IMPORTRANGE(""https://docs.google.com/spreadsheets/d/1-uDff_7J0KD5mKrp0Vvzr7lt3OU09vwQwhkpOPPYv2Y/edit?usp=sharing"",""งบพรบ!GG75"")"),0)</f>
        <v>0</v>
      </c>
      <c r="M560" s="47">
        <f ca="1">IFERROR(__xludf.DUMMYFUNCTION("IMPORTRANGE(""https://docs.google.com/spreadsheets/d/1-uDff_7J0KD5mKrp0Vvzr7lt3OU09vwQwhkpOPPYv2Y/edit?usp=sharing"",""งบพรบ!GL75"")"),0)</f>
        <v>0</v>
      </c>
      <c r="N560" s="47">
        <f ca="1">IFERROR(__xludf.DUMMYFUNCTION("IMPORTRANGE(""https://docs.google.com/spreadsheets/d/1-uDff_7J0KD5mKrp0Vvzr7lt3OU09vwQwhkpOPPYv2Y/edit?usp=sharing"",""งบพรบ!GN75"")"),0)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IFERROR(__xludf.DUMMYFUNCTION("IMPORTRANGE(""https://docs.google.com/spreadsheets/d/1-uDff_7J0KD5mKrp0Vvzr7lt3OU09vwQwhkpOPPYv2Y/edit?usp=sharing"",""งบพรบ!GJ75"")"),0)</f>
        <v>0</v>
      </c>
      <c r="M563" s="47">
        <f ca="1">IFERROR(__xludf.DUMMYFUNCTION("IMPORTRANGE(""https://docs.google.com/spreadsheets/d/1-uDff_7J0KD5mKrp0Vvzr7lt3OU09vwQwhkpOPPYv2Y/edit?usp=sharing"",""งบพรบ!GM75"")"),0)</f>
        <v>0</v>
      </c>
      <c r="N563" s="47">
        <f ca="1">IFERROR(__xludf.DUMMYFUNCTION("IMPORTRANGE(""https://docs.google.com/spreadsheets/d/1-uDff_7J0KD5mKrp0Vvzr7lt3OU09vwQwhkpOPPYv2Y/edit?usp=sharing"",""งบพรบ!GO75"")"),0)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289514</v>
      </c>
      <c r="M576" s="132">
        <f ca="1">M577+M578</f>
        <v>289514</v>
      </c>
      <c r="N576" s="132">
        <f ca="1">N577+N578</f>
        <v>500</v>
      </c>
      <c r="O576" s="132">
        <f ca="1">IF(L576&gt;0,N576*100/L576,0)</f>
        <v>0.17270321987883142</v>
      </c>
      <c r="P576" s="132">
        <f ca="1">IF(M576&gt;0,N576*100/M576,0)</f>
        <v>0.17270321987883142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289514</v>
      </c>
      <c r="M578" s="47">
        <f ca="1">M581+M584</f>
        <v>289514</v>
      </c>
      <c r="N578" s="47">
        <f ca="1">N581+N584</f>
        <v>500</v>
      </c>
      <c r="O578" s="47">
        <f ca="1">IF(L578&gt;0,N578*100/L578,0)</f>
        <v>0.17270321987883142</v>
      </c>
      <c r="P578" s="47">
        <f ca="1">IF(M578&gt;0,N578*100/M578,0)</f>
        <v>0.17270321987883142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289514</v>
      </c>
      <c r="M579" s="47">
        <f ca="1">M580+M581</f>
        <v>289514</v>
      </c>
      <c r="N579" s="47">
        <f ca="1">N580+N581</f>
        <v>500</v>
      </c>
      <c r="O579" s="47">
        <f ca="1">IF(L579&gt;0,N579*100/L579,0)</f>
        <v>0.17270321987883142</v>
      </c>
      <c r="P579" s="47">
        <f ca="1">IF(M579&gt;0,N579*100/M579,0)</f>
        <v>0.17270321987883142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IFERROR(__xludf.DUMMYFUNCTION("IMPORTRANGE(""https://docs.google.com/spreadsheets/d/1-uDff_7J0KD5mKrp0Vvzr7lt3OU09vwQwhkpOPPYv2Y/edit?usp=sharing"",""งบพรบ!GQ75"")"),289514)</f>
        <v>289514</v>
      </c>
      <c r="M581" s="47">
        <f ca="1">IFERROR(__xludf.DUMMYFUNCTION("IMPORTRANGE(""https://docs.google.com/spreadsheets/d/1-uDff_7J0KD5mKrp0Vvzr7lt3OU09vwQwhkpOPPYv2Y/edit?usp=sharing"",""งบพรบ!GV75"")"),289514)</f>
        <v>289514</v>
      </c>
      <c r="N581" s="47">
        <f ca="1">IFERROR(__xludf.DUMMYFUNCTION("IMPORTRANGE(""https://docs.google.com/spreadsheets/d/1-uDff_7J0KD5mKrp0Vvzr7lt3OU09vwQwhkpOPPYv2Y/edit?usp=sharing"",""งบพรบ!GX75"")"),500)</f>
        <v>500</v>
      </c>
      <c r="O581" s="47">
        <f ca="1">IF(L581&gt;0,N581*100/L581,0)</f>
        <v>0.17270321987883142</v>
      </c>
      <c r="P581" s="47">
        <f ca="1">IF(M581&gt;0,N581*100/M581,0)</f>
        <v>0.17270321987883142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IFERROR(__xludf.DUMMYFUNCTION("IMPORTRANGE(""https://docs.google.com/spreadsheets/d/1-uDff_7J0KD5mKrp0Vvzr7lt3OU09vwQwhkpOPPYv2Y/edit?usp=sharing"",""งบพรบ!GT75"")"),0)</f>
        <v>0</v>
      </c>
      <c r="M584" s="47">
        <f ca="1">IFERROR(__xludf.DUMMYFUNCTION("IMPORTRANGE(""https://docs.google.com/spreadsheets/d/1-uDff_7J0KD5mKrp0Vvzr7lt3OU09vwQwhkpOPPYv2Y/edit?usp=sharing"",""งบพรบ!GW75"")"),0)</f>
        <v>0</v>
      </c>
      <c r="N584" s="47">
        <f ca="1">IFERROR(__xludf.DUMMYFUNCTION("IMPORTRANGE(""https://docs.google.com/spreadsheets/d/1-uDff_7J0KD5mKrp0Vvzr7lt3OU09vwQwhkpOPPYv2Y/edit?usp=sharing"",""งบพรบ!GY75"")"),0)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IFERROR(__xludf.DUMMYFUNCTION("IMPORTRANGE(""https://docs.google.com/spreadsheets/d/1-uDff_7J0KD5mKrp0Vvzr7lt3OU09vwQwhkpOPPYv2Y/edit?usp=sharing"",""งบพรบ!HK75"")"),0)</f>
        <v>0</v>
      </c>
      <c r="M604" s="47">
        <f ca="1">IFERROR(__xludf.DUMMYFUNCTION("IMPORTRANGE(""https://docs.google.com/spreadsheets/d/1-uDff_7J0KD5mKrp0Vvzr7lt3OU09vwQwhkpOPPYv2Y/edit?usp=sharing"",""งบพรบ!HP75"")"),0)</f>
        <v>0</v>
      </c>
      <c r="N604" s="47">
        <f ca="1">IFERROR(__xludf.DUMMYFUNCTION("IMPORTRANGE(""https://docs.google.com/spreadsheets/d/1-uDff_7J0KD5mKrp0Vvzr7lt3OU09vwQwhkpOPPYv2Y/edit?usp=sharing"",""งบพรบ!HR75"")"),0)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IFERROR(__xludf.DUMMYFUNCTION("IMPORTRANGE(""https://docs.google.com/spreadsheets/d/1ItG2mGa2ceCfYo0BwxsXqNm01IGEUdYcSSLTEv9YCik/edit?usp=sharing"",""เบิกจ่ายกองทุน!AV75"")"),0)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IFERROR(__xludf.DUMMYFUNCTION("IMPORTRANGE(""https://docs.google.com/spreadsheets/d/1ItG2mGa2ceCfYo0BwxsXqNm01IGEUdYcSSLTEv9YCik/edit?usp=sharing"",""เบิกจ่ายกองทุน!AW75"")"),0)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IFERROR(__xludf.DUMMYFUNCTION("IMPORTRANGE(""https://docs.google.com/spreadsheets/d/1ItG2mGa2ceCfYo0BwxsXqNm01IGEUdYcSSLTEv9YCik/edit?usp=sharing"",""เบิกจ่ายกองทุน!AX75"")"),0)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IFERROR(__xludf.DUMMYFUNCTION("IMPORTRANGE(""https://docs.google.com/spreadsheets/d/1-uDff_7J0KD5mKrp0Vvzr7lt3OU09vwQwhkpOPPYv2Y/edit?usp=sharing"",""งบพรบ!HN75"")"),0)</f>
        <v>0</v>
      </c>
      <c r="M607" s="47">
        <f ca="1">IFERROR(__xludf.DUMMYFUNCTION("IMPORTRANGE(""https://docs.google.com/spreadsheets/d/1-uDff_7J0KD5mKrp0Vvzr7lt3OU09vwQwhkpOPPYv2Y/edit?usp=sharing"",""งบพรบ!HQ75"")"),0)</f>
        <v>0</v>
      </c>
      <c r="N607" s="47">
        <f ca="1">IFERROR(__xludf.DUMMYFUNCTION("IMPORTRANGE(""https://docs.google.com/spreadsheets/d/1-uDff_7J0KD5mKrp0Vvzr7lt3OU09vwQwhkpOPPYv2Y/edit?usp=sharing"",""งบพรบ!HS75"")"),0)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IFERROR(__xludf.DUMMYFUNCTION("IMPORTRANGE(""https://docs.google.com/spreadsheets/d/1ItG2mGa2ceCfYo0BwxsXqNm01IGEUdYcSSLTEv9YCik/edit?usp=sharing"",""เบิกจ่ายกองทุน!AY75"")"),0)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IFERROR(__xludf.DUMMYFUNCTION("IMPORTRANGE(""https://docs.google.com/spreadsheets/d/1ItG2mGa2ceCfYo0BwxsXqNm01IGEUdYcSSLTEv9YCik/edit?usp=sharing"",""เบิกจ่ายกองทุน!AZ75"")"),0)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IFERROR(__xludf.DUMMYFUNCTION("IMPORTRANGE(""https://docs.google.com/spreadsheets/d/1ItG2mGa2ceCfYo0BwxsXqNm01IGEUdYcSSLTEv9YCik/edit?usp=sharing"",""เบิกจ่ายกองทุน!BA75"")"),0)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1800</v>
      </c>
      <c r="R616" s="132">
        <f ca="1">R617+R618</f>
        <v>1800</v>
      </c>
      <c r="S616" s="132">
        <f ca="1">S617+S618</f>
        <v>945</v>
      </c>
      <c r="T616" s="132">
        <f ca="1">IF(Q616&gt;0,S616*100/Q616,0)</f>
        <v>52.5</v>
      </c>
      <c r="U616" s="132">
        <f ca="1">IF(R616&gt;0,S616*100/R616,0)</f>
        <v>52.5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1800</v>
      </c>
      <c r="R618" s="47">
        <f ca="1">R621+R624</f>
        <v>1800</v>
      </c>
      <c r="S618" s="47">
        <f ca="1">S621+S624</f>
        <v>945</v>
      </c>
      <c r="T618" s="47">
        <f ca="1">IF(Q618&gt;0,S618*100/Q618,0)</f>
        <v>52.5</v>
      </c>
      <c r="U618" s="47">
        <f ca="1">IF(R618&gt;0,S618*100/R618,0)</f>
        <v>52.5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1800</v>
      </c>
      <c r="R619" s="47">
        <f ca="1">R620+R621</f>
        <v>1800</v>
      </c>
      <c r="S619" s="47">
        <f ca="1">S620+S621</f>
        <v>945</v>
      </c>
      <c r="T619" s="47">
        <f ca="1">IF(Q619&gt;0,S619*100/Q619,0)</f>
        <v>52.5</v>
      </c>
      <c r="U619" s="47">
        <f ca="1">IF(R619&gt;0,S619*100/R619,0)</f>
        <v>52.5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IFERROR(__xludf.DUMMYFUNCTION("IMPORTRANGE(""https://docs.google.com/spreadsheets/d/1ItG2mGa2ceCfYo0BwxsXqNm01IGEUdYcSSLTEv9YCik/edit?usp=sharing"",""เบิกจ่ายกองทุน!F75"")"),1800)</f>
        <v>1800</v>
      </c>
      <c r="R621" s="47">
        <f ca="1">IFERROR(__xludf.DUMMYFUNCTION("IMPORTRANGE(""https://docs.google.com/spreadsheets/d/1ItG2mGa2ceCfYo0BwxsXqNm01IGEUdYcSSLTEv9YCik/edit?usp=sharing"",""เบิกจ่ายกองทุน!G75"")"),1800)</f>
        <v>1800</v>
      </c>
      <c r="S621" s="47">
        <f ca="1">IFERROR(__xludf.DUMMYFUNCTION("IMPORTRANGE(""https://docs.google.com/spreadsheets/d/1ItG2mGa2ceCfYo0BwxsXqNm01IGEUdYcSSLTEv9YCik/edit?usp=sharing"",""เบิกจ่ายกองทุน!H75"")"),945)</f>
        <v>945</v>
      </c>
      <c r="T621" s="47">
        <f ca="1">IF(Q621&gt;0,S621*100/Q621,0)</f>
        <v>52.5</v>
      </c>
      <c r="U621" s="47">
        <f ca="1">IF(R621&gt;0,S621*100/R621,0)</f>
        <v>52.5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IFERROR(__xludf.DUMMYFUNCTION("IMPORTRANGE(""https://docs.google.com/spreadsheets/d/1eHaY18a8A9IcSdp1K8H6x8fbOy06t2VsZHhMHf-1x7Y/edit?usp=sharing"",""แผน!ID75"")"),0)</f>
        <v>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IFERROR(__xludf.DUMMYFUNCTION("IMPORTRANGE(""https://docs.google.com/spreadsheets/d/1eHaY18a8A9IcSdp1K8H6x8fbOy06t2VsZHhMHf-1x7Y/edit?usp=sharing"",""แผน!IC75"")"),1)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IFERROR(__xludf.DUMMYFUNCTION("IMPORTRANGE(""https://docs.google.com/spreadsheets/d/1eHaY18a8A9IcSdp1K8H6x8fbOy06t2VsZHhMHf-1x7Y/edit?usp=sharing"",""แผน!IC75"")"),1)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IFERROR(__xludf.DUMMYFUNCTION("IMPORTRANGE(""https://docs.google.com/spreadsheets/d/1eHaY18a8A9IcSdp1K8H6x8fbOy06t2VsZHhMHf-1x7Y/edit?usp=sharing"",""แผน!IE75"")"),0)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IFERROR(__xludf.DUMMYFUNCTION("IMPORTRANGE(""https://docs.google.com/spreadsheets/d/1ItG2mGa2ceCfYo0BwxsXqNm01IGEUdYcSSLTEv9YCik/edit?usp=sharing"",""เบิกจ่ายกองทุน!I75"")"),0)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IFERROR(__xludf.DUMMYFUNCTION("IMPORTRANGE(""https://docs.google.com/spreadsheets/d/1ItG2mGa2ceCfYo0BwxsXqNm01IGEUdYcSSLTEv9YCik/edit?usp=sharing"",""เบิกจ่ายกองทุน!J75"")"),0)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IFERROR(__xludf.DUMMYFUNCTION("IMPORTRANGE(""https://docs.google.com/spreadsheets/d/1ItG2mGa2ceCfYo0BwxsXqNm01IGEUdYcSSLTEv9YCik/edit?usp=sharing"",""เบิกจ่ายกองทุน!K75"")"),0)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IFERROR(__xludf.DUMMYFUNCTION("IMPORTRANGE(""https://docs.google.com/spreadsheets/d/1eHaY18a8A9IcSdp1K8H6x8fbOy06t2VsZHhMHf-1x7Y/edit?usp=sharing"",""แผน!IF75"")"),0)</f>
        <v>0</v>
      </c>
      <c r="J652" s="152">
        <f ca="1">IFERROR(__xludf.DUMMYFUNCTION("IMPORTRANGE(""https://docs.google.com/spreadsheets/d/1tdoBKaGub7dwA3U6UFTqxio9LNnvDCQjHKmttSEBsFQ/edit?usp=sharing"",""จัดที่ดิน!AU75"")"),0)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IFERROR(__xludf.DUMMYFUNCTION("IMPORTRANGE(""https://docs.google.com/spreadsheets/d/1eHaY18a8A9IcSdp1K8H6x8fbOy06t2VsZHhMHf-1x7Y/edit?usp=sharing"",""แผน!IG75"")"),0)</f>
        <v>0</v>
      </c>
      <c r="J653" s="152">
        <f ca="1">IFERROR(__xludf.DUMMYFUNCTION("IMPORTRANGE(""https://docs.google.com/spreadsheets/d/1tdoBKaGub7dwA3U6UFTqxio9LNnvDCQjHKmttSEBsFQ/edit?usp=sharing"",""จัดที่ดิน!AW75"")"),0)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IFERROR(__xludf.DUMMYFUNCTION("IMPORTRANGE(""https://docs.google.com/spreadsheets/d/1eHaY18a8A9IcSdp1K8H6x8fbOy06t2VsZHhMHf-1x7Y/edit?usp=sharing"",""แผน!IH75"")"),0)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IFERROR(__xludf.DUMMYFUNCTION("IMPORTRANGE(""https://docs.google.com/spreadsheets/d/1eHaY18a8A9IcSdp1K8H6x8fbOy06t2VsZHhMHf-1x7Y/edit?usp=sharing"",""แผน!II75"")"),0)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IFERROR(__xludf.DUMMYFUNCTION("IMPORTRANGE(""https://docs.google.com/spreadsheets/d/1eHaY18a8A9IcSdp1K8H6x8fbOy06t2VsZHhMHf-1x7Y/edit?usp=sharing"",""แผน!IJ75"")"),0)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IFERROR(__xludf.DUMMYFUNCTION("IMPORTRANGE(""https://docs.google.com/spreadsheets/d/1eHaY18a8A9IcSdp1K8H6x8fbOy06t2VsZHhMHf-1x7Y/edit?usp=sharing"",""แผน!IK75"")"),0)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IFERROR(__xludf.DUMMYFUNCTION("IMPORTRANGE(""https://docs.google.com/spreadsheets/d/1tdoBKaGub7dwA3U6UFTqxio9LNnvDCQjHKmttSEBsFQ/edit?usp=sharing"",""จัดที่ดิน!AY75"")"),0)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IFERROR(__xludf.DUMMYFUNCTION("IMPORTRANGE(""https://docs.google.com/spreadsheets/d/1tdoBKaGub7dwA3U6UFTqxio9LNnvDCQjHKmttSEBsFQ/edit?usp=sharing"",""จัดที่ดิน!AZ75"")"),0)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IFERROR(__xludf.DUMMYFUNCTION("IMPORTRANGE(""https://docs.google.com/spreadsheets/d/1eHaY18a8A9IcSdp1K8H6x8fbOy06t2VsZHhMHf-1x7Y/edit?usp=sharing"",""แผน!IL75"")"),0)</f>
        <v>0</v>
      </c>
      <c r="J673" s="152">
        <f ca="1">IFERROR(__xludf.DUMMYFUNCTION("IMPORTRANGE(""https://docs.google.com/spreadsheets/d/1tdoBKaGub7dwA3U6UFTqxio9LNnvDCQjHKmttSEBsFQ/edit?usp=sharing"",""จัดที่ดิน!BA75"")"),0)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IFERROR(__xludf.DUMMYFUNCTION("IMPORTRANGE(""https://docs.google.com/spreadsheets/d/1eHaY18a8A9IcSdp1K8H6x8fbOy06t2VsZHhMHf-1x7Y/edit?usp=sharing"",""แผน!IM75"")"),0)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IFERROR(__xludf.DUMMYFUNCTION("IMPORTRANGE(""https://docs.google.com/spreadsheets/d/1eHaY18a8A9IcSdp1K8H6x8fbOy06t2VsZHhMHf-1x7Y/edit?usp=sharing"",""แผน!IN75"")"),0)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IFERROR(__xludf.DUMMYFUNCTION("IMPORTRANGE(""https://docs.google.com/spreadsheets/d/1eHaY18a8A9IcSdp1K8H6x8fbOy06t2VsZHhMHf-1x7Y/edit?usp=sharing"",""แผน!IO75"")"),0)</f>
        <v>0</v>
      </c>
      <c r="J676" s="152">
        <f ca="1">IFERROR(__xludf.DUMMYFUNCTION("IMPORTRANGE(""https://docs.google.com/spreadsheets/d/1tdoBKaGub7dwA3U6UFTqxio9LNnvDCQjHKmttSEBsFQ/edit?usp=sharing"",""จัดที่ดิน!BF75"")"),0)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IFERROR(__xludf.DUMMYFUNCTION("IMPORTRANGE(""https://docs.google.com/spreadsheets/d/1tdoBKaGub7dwA3U6UFTqxio9LNnvDCQjHKmttSEBsFQ/edit?usp=sharing"",""จัดที่ดิน!BG75"")"),0)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IFERROR(__xludf.DUMMYFUNCTION("IMPORTRANGE(""https://docs.google.com/spreadsheets/d/1eHaY18a8A9IcSdp1K8H6x8fbOy06t2VsZHhMHf-1x7Y/edit?usp=sharing"",""แผน!IP75"")"),0)</f>
        <v>0</v>
      </c>
      <c r="J678" s="152">
        <f ca="1">IFERROR(__xludf.DUMMYFUNCTION("IMPORTRANGE(""https://docs.google.com/spreadsheets/d/1tdoBKaGub7dwA3U6UFTqxio9LNnvDCQjHKmttSEBsFQ/edit?usp=sharing"",""จัดที่ดิน!BH75"")"),0)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IFERROR(__xludf.DUMMYFUNCTION("IMPORTRANGE(""https://docs.google.com/spreadsheets/d/1eHaY18a8A9IcSdp1K8H6x8fbOy06t2VsZHhMHf-1x7Y/edit?usp=sharing"",""แผน!IQ75"")"),0)</f>
        <v>0</v>
      </c>
      <c r="J679" s="152">
        <f ca="1">IFERROR(__xludf.DUMMYFUNCTION("IMPORTRANGE(""https://docs.google.com/spreadsheets/d/1tdoBKaGub7dwA3U6UFTqxio9LNnvDCQjHKmttSEBsFQ/edit?usp=sharing"",""จัดที่ดิน!BK75"")"),0)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IFERROR(__xludf.DUMMYFUNCTION("IMPORTRANGE(""https://docs.google.com/spreadsheets/d/1tdoBKaGub7dwA3U6UFTqxio9LNnvDCQjHKmttSEBsFQ/edit?usp=sharing"",""จัดที่ดิน!BL75"")"),0)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IFERROR(__xludf.DUMMYFUNCTION("IMPORTRANGE(""https://docs.google.com/spreadsheets/d/1eHaY18a8A9IcSdp1K8H6x8fbOy06t2VsZHhMHf-1x7Y/edit?usp=sharing"",""แผน!IR75"")"),0)</f>
        <v>0</v>
      </c>
      <c r="J681" s="152">
        <f ca="1">IFERROR(__xludf.DUMMYFUNCTION("IMPORTRANGE(""https://docs.google.com/spreadsheets/d/1tdoBKaGub7dwA3U6UFTqxio9LNnvDCQjHKmttSEBsFQ/edit?usp=sharing"",""จัดที่ดิน!BM75"")"),0)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IFERROR(__xludf.DUMMYFUNCTION("IMPORTRANGE(""https://docs.google.com/spreadsheets/d/1eHaY18a8A9IcSdp1K8H6x8fbOy06t2VsZHhMHf-1x7Y/edit?usp=sharing"",""แผน!IS75"")"),0)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79150</v>
      </c>
      <c r="R690" s="132">
        <f ca="1">R691+R692</f>
        <v>79150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79150</v>
      </c>
      <c r="R692" s="47">
        <f ca="1">R695+R698</f>
        <v>79150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79150</v>
      </c>
      <c r="R693" s="47">
        <f ca="1">R694+R695</f>
        <v>79150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IFERROR(__xludf.DUMMYFUNCTION("IMPORTRANGE(""https://docs.google.com/spreadsheets/d/1ItG2mGa2ceCfYo0BwxsXqNm01IGEUdYcSSLTEv9YCik/edit?usp=sharing"",""เบิกจ่ายกองทุน!L75"")"),79150)</f>
        <v>79150</v>
      </c>
      <c r="R695" s="47">
        <f ca="1">IFERROR(__xludf.DUMMYFUNCTION("IMPORTRANGE(""https://docs.google.com/spreadsheets/d/1ItG2mGa2ceCfYo0BwxsXqNm01IGEUdYcSSLTEv9YCik/edit?usp=sharing"",""เบิกจ่ายกองทุน!M75"")"),79150)</f>
        <v>79150</v>
      </c>
      <c r="S695" s="47">
        <f ca="1">IFERROR(__xludf.DUMMYFUNCTION("IMPORTRANGE(""https://docs.google.com/spreadsheets/d/1ItG2mGa2ceCfYo0BwxsXqNm01IGEUdYcSSLTEv9YCik/edit?usp=sharing"",""เบิกจ่ายกองทุน!N75"")"),0)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IFERROR(__xludf.DUMMYFUNCTION("IMPORTRANGE(""https://docs.google.com/spreadsheets/d/1eHaY18a8A9IcSdp1K8H6x8fbOy06t2VsZHhMHf-1x7Y/edit?usp=sharing"",""แผน!LC75"")"),0)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IFERROR(__xludf.DUMMYFUNCTION("IMPORTRANGE(""https://docs.google.com/spreadsheets/d/1eHaY18a8A9IcSdp1K8H6x8fbOy06t2VsZHhMHf-1x7Y/edit?usp=sharing"",""แผน!LJ75"")"),0)</f>
        <v>0</v>
      </c>
      <c r="J703" s="152">
        <f ca="1">IFERROR(__xludf.DUMMYFUNCTION("IMPORTRANGE(""https://docs.google.com/spreadsheets/d/1tdoBKaGub7dwA3U6UFTqxio9LNnvDCQjHKmttSEBsFQ/edit?usp=sharing"",""จัดที่ดิน!AP75"")"),0)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IFERROR(__xludf.DUMMYFUNCTION("IMPORTRANGE(""https://docs.google.com/spreadsheets/d/1tdoBKaGub7dwA3U6UFTqxio9LNnvDCQjHKmttSEBsFQ/edit?usp=sharing"",""จัดที่ดิน!AQ75"")"),0)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IFERROR(__xludf.DUMMYFUNCTION("IMPORTRANGE(""https://docs.google.com/spreadsheets/d/1eHaY18a8A9IcSdp1K8H6x8fbOy06t2VsZHhMHf-1x7Y/edit?usp=sharing"",""แผน!LK75"")"),5)</f>
        <v>5</v>
      </c>
      <c r="J705" s="152">
        <f ca="1">IFERROR(__xludf.DUMMYFUNCTION("IMPORTRANGE(""https://docs.google.com/spreadsheets/d/1tdoBKaGub7dwA3U6UFTqxio9LNnvDCQjHKmttSEBsFQ/edit?usp=sharing"",""จัดที่ดิน!AR75"")"),0)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IFERROR(__xludf.DUMMYFUNCTION("IMPORTRANGE(""https://docs.google.com/spreadsheets/d/1tdoBKaGub7dwA3U6UFTqxio9LNnvDCQjHKmttSEBsFQ/edit?usp=sharing"",""จัดที่ดิน!AS75"")"),0)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IFERROR(__xludf.DUMMYFUNCTION("IMPORTRANGE(""https://docs.google.com/spreadsheets/d/1eHaY18a8A9IcSdp1K8H6x8fbOy06t2VsZHhMHf-1x7Y/edit?usp=sharing"",""แผน!LJ75"")"),0)</f>
        <v>0</v>
      </c>
      <c r="J707" s="152">
        <f ca="1">IFERROR(__xludf.DUMMYFUNCTION("IMPORTRANGE(""https://docs.google.com/spreadsheets/d/1tdoBKaGub7dwA3U6UFTqxio9LNnvDCQjHKmttSEBsFQ/edit?usp=sharing"",""จัดที่ดิน!BN75"")"),0)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IFERROR(__xludf.DUMMYFUNCTION("IMPORTRANGE(""https://docs.google.com/spreadsheets/d/1tdoBKaGub7dwA3U6UFTqxio9LNnvDCQjHKmttSEBsFQ/edit?usp=sharing"",""จัดที่ดิน!BO75"")"),0)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IFERROR(__xludf.DUMMYFUNCTION("IMPORTRANGE(""https://docs.google.com/spreadsheets/d/1eHaY18a8A9IcSdp1K8H6x8fbOy06t2VsZHhMHf-1x7Y/edit?usp=sharing"",""แผน!LK75"")"),5)</f>
        <v>5</v>
      </c>
      <c r="J709" s="152">
        <f ca="1">IFERROR(__xludf.DUMMYFUNCTION("IMPORTRANGE(""https://docs.google.com/spreadsheets/d/1tdoBKaGub7dwA3U6UFTqxio9LNnvDCQjHKmttSEBsFQ/edit?usp=sharing"",""จัดที่ดิน!BP75"")"),11)</f>
        <v>11</v>
      </c>
      <c r="K709" s="47">
        <f ca="1">IF(I709&gt;0,J709*100/I709,0)</f>
        <v>220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IFERROR(__xludf.DUMMYFUNCTION("IMPORTRANGE(""https://docs.google.com/spreadsheets/d/1tdoBKaGub7dwA3U6UFTqxio9LNnvDCQjHKmttSEBsFQ/edit?usp=sharing"",""จัดที่ดิน!BQ75"")"),0)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IFERROR(__xludf.DUMMYFUNCTION("IMPORTRANGE(""https://docs.google.com/spreadsheets/d/1eHaY18a8A9IcSdp1K8H6x8fbOy06t2VsZHhMHf-1x7Y/edit?usp=sharing"",""แผน!GA75"")"),16)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IFERROR(__xludf.DUMMYFUNCTION("IMPORTRANGE(""https://docs.google.com/spreadsheets/d/1eHaY18a8A9IcSdp1K8H6x8fbOy06t2VsZHhMHf-1x7Y/edit?usp=sharing"",""แผน!FZ75"")"),150)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175838</v>
      </c>
      <c r="S728" s="132">
        <f ca="1">S729+S730</f>
        <v>48455</v>
      </c>
      <c r="T728" s="132">
        <f ca="1">IF(Q728&gt;0,S728*100/Q728,0)</f>
        <v>33.781145860929463</v>
      </c>
      <c r="U728" s="132">
        <f ca="1">IF(R728&gt;0,S728*100/R728,0)</f>
        <v>27.556614611176197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175838</v>
      </c>
      <c r="S730" s="47">
        <f ca="1">S733+S736</f>
        <v>48455</v>
      </c>
      <c r="T730" s="47">
        <f ca="1">IF(Q730&gt;0,S730*100/Q730,0)</f>
        <v>33.781145860929463</v>
      </c>
      <c r="U730" s="47">
        <f ca="1">IF(R730&gt;0,S730*100/R730,0)</f>
        <v>27.556614611176197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175838</v>
      </c>
      <c r="S731" s="47">
        <f ca="1">S732+S733</f>
        <v>48455</v>
      </c>
      <c r="T731" s="47">
        <f ca="1">IF(Q731&gt;0,S731*100/Q731,0)</f>
        <v>33.781145860929463</v>
      </c>
      <c r="U731" s="47">
        <f ca="1">IF(R731&gt;0,S731*100/R731,0)</f>
        <v>27.556614611176197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IFERROR(__xludf.DUMMYFUNCTION("IMPORTRANGE(""https://docs.google.com/spreadsheets/d/1ItG2mGa2ceCfYo0BwxsXqNm01IGEUdYcSSLTEv9YCik/edit?usp=sharing"",""เบิกจ่ายกองทุน!O75"")"),143438)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IFERROR(__xludf.DUMMYFUNCTION("IMPORTRANGE(""https://docs.google.com/spreadsheets/d/1ItG2mGa2ceCfYo0BwxsXqNm01IGEUdYcSSLTEv9YCik/edit?usp=sharing"",""เบิกจ่ายกองทุน!P75"")"),175838)</f>
        <v>175838</v>
      </c>
      <c r="S733" s="47">
        <f ca="1">IFERROR(__xludf.DUMMYFUNCTION("IMPORTRANGE(""https://docs.google.com/spreadsheets/d/1ItG2mGa2ceCfYo0BwxsXqNm01IGEUdYcSSLTEv9YCik/edit?usp=sharing"",""เบิกจ่ายกองทุน!Q75"")"),48455)</f>
        <v>48455</v>
      </c>
      <c r="T733" s="47">
        <f ca="1">IF(Q733&gt;0,S733*100/Q733,0)</f>
        <v>33.781145860929463</v>
      </c>
      <c r="U733" s="47">
        <f ca="1">IF(R733&gt;0,S733*100/R733,0)</f>
        <v>27.556614611176197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IFERROR(__xludf.DUMMYFUNCTION("IMPORTRANGE(""https://docs.google.com/spreadsheets/d/1eHaY18a8A9IcSdp1K8H6x8fbOy06t2VsZHhMHf-1x7Y/edit?usp=sharing"",""แผน!GB75"")"),120)</f>
        <v>120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IFERROR(__xludf.DUMMYFUNCTION("IMPORTRANGE(""https://docs.google.com/spreadsheets/d/1eHaY18a8A9IcSdp1K8H6x8fbOy06t2VsZHhMHf-1x7Y/edit?usp=sharing"",""แผน!GC75"")"),12)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IFERROR(__xludf.DUMMYFUNCTION("IMPORTRANGE(""https://docs.google.com/spreadsheets/d/1eHaY18a8A9IcSdp1K8H6x8fbOy06t2VsZHhMHf-1x7Y/edit?usp=sharing"",""แผน!GD75"")"),30)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IFERROR(__xludf.DUMMYFUNCTION("IMPORTRANGE(""https://docs.google.com/spreadsheets/d/1eHaY18a8A9IcSdp1K8H6x8fbOy06t2VsZHhMHf-1x7Y/edit?usp=sharing"",""แผน!GE75"")"),3)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IFERROR(__xludf.DUMMYFUNCTION("IMPORTRANGE(""https://docs.google.com/spreadsheets/d/1eHaY18a8A9IcSdp1K8H6x8fbOy06t2VsZHhMHf-1x7Y/edit?usp=sharing"",""แผน!GF75"")"),1)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IFERROR(__xludf.DUMMYFUNCTION("IMPORTRANGE(""https://docs.google.com/spreadsheets/d/1eHaY18a8A9IcSdp1K8H6x8fbOy06t2VsZHhMHf-1x7Y/edit?usp=sharing"",""แผน!GB75"")"),120)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IFERROR(__xludf.DUMMYFUNCTION("IMPORTRANGE(""https://docs.google.com/spreadsheets/d/1eHaY18a8A9IcSdp1K8H6x8fbOy06t2VsZHhMHf-1x7Y/edit?usp=sharing"",""แผน!GD75"")"),30)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15</v>
      </c>
      <c r="J758" s="483">
        <f>J772</f>
        <v>15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45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134510</v>
      </c>
      <c r="R760" s="132">
        <f ca="1">R761+R762</f>
        <v>134510</v>
      </c>
      <c r="S760" s="132">
        <f ca="1">S761+S762</f>
        <v>54157</v>
      </c>
      <c r="T760" s="132">
        <f ca="1">IF(Q760&gt;0,S760*100/Q760,0)</f>
        <v>40.262434019775483</v>
      </c>
      <c r="U760" s="132">
        <f ca="1">IF(R760&gt;0,S760*100/R760,0)</f>
        <v>40.262434019775483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134510</v>
      </c>
      <c r="R762" s="47">
        <f ca="1">R765+R768</f>
        <v>134510</v>
      </c>
      <c r="S762" s="47">
        <f ca="1">S765+S768</f>
        <v>54157</v>
      </c>
      <c r="T762" s="47">
        <f ca="1">IF(Q762&gt;0,S762*100/Q762,0)</f>
        <v>40.262434019775483</v>
      </c>
      <c r="U762" s="47">
        <f ca="1">IF(R762&gt;0,S762*100/R762,0)</f>
        <v>40.262434019775483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134510</v>
      </c>
      <c r="R763" s="47">
        <f ca="1">R764+R765</f>
        <v>134510</v>
      </c>
      <c r="S763" s="47">
        <f ca="1">S764+S765</f>
        <v>54157</v>
      </c>
      <c r="T763" s="47">
        <f ca="1">IF(Q763&gt;0,S763*100/Q763,0)</f>
        <v>40.262434019775483</v>
      </c>
      <c r="U763" s="47">
        <f ca="1">IF(R763&gt;0,S763*100/R763,0)</f>
        <v>40.262434019775483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IFERROR(__xludf.DUMMYFUNCTION("IMPORTRANGE(""https://docs.google.com/spreadsheets/d/1ItG2mGa2ceCfYo0BwxsXqNm01IGEUdYcSSLTEv9YCik/edit?usp=sharing"",""เบิกจ่ายกองทุน!AA75"")"),134510)</f>
        <v>134510</v>
      </c>
      <c r="R765" s="47">
        <f ca="1">IFERROR(__xludf.DUMMYFUNCTION("IMPORTRANGE(""https://docs.google.com/spreadsheets/d/1ItG2mGa2ceCfYo0BwxsXqNm01IGEUdYcSSLTEv9YCik/edit?usp=sharing"",""เบิกจ่ายกองทุน!AB75"")"),134510)</f>
        <v>134510</v>
      </c>
      <c r="S765" s="47">
        <f ca="1">IFERROR(__xludf.DUMMYFUNCTION("IMPORTRANGE(""https://docs.google.com/spreadsheets/d/1ItG2mGa2ceCfYo0BwxsXqNm01IGEUdYcSSLTEv9YCik/edit?usp=sharing"",""เบิกจ่ายกองทุน!AC75"")"),54157)</f>
        <v>54157</v>
      </c>
      <c r="T765" s="47">
        <f ca="1">IF(Q765&gt;0,S765*100/Q765,0)</f>
        <v>40.262434019775483</v>
      </c>
      <c r="U765" s="47">
        <f ca="1">IF(R765&gt;0,S765*100/R765,0)</f>
        <v>40.262434019775483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IFERROR(__xludf.DUMMYFUNCTION("IMPORTRANGE(""https://docs.google.com/spreadsheets/d/1eHaY18a8A9IcSdp1K8H6x8fbOy06t2VsZHhMHf-1x7Y/edit?usp=sharing"",""แผน!FI75"")"),0)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IFERROR(__xludf.DUMMYFUNCTION("IMPORTRANGE(""https://docs.google.com/spreadsheets/d/1eHaY18a8A9IcSdp1K8H6x8fbOy06t2VsZHhMHf-1x7Y/edit?usp=sharing"",""แผน!FQ75"")"),15)</f>
        <v>15</v>
      </c>
      <c r="J772" s="167">
        <v>15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IFERROR(__xludf.DUMMYFUNCTION("IMPORTRANGE(""https://docs.google.com/spreadsheets/d/1eHaY18a8A9IcSdp1K8H6x8fbOy06t2VsZHhMHf-1x7Y/edit?usp=sharing"",""แผน!FR75"")"),45)</f>
        <v>45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IFERROR(__xludf.DUMMYFUNCTION("IMPORTRANGE(""https://docs.google.com/spreadsheets/d/1eHaY18a8A9IcSdp1K8H6x8fbOy06t2VsZHhMHf-1x7Y/edit?usp=sharing"",""แผน!FS75"")"),45)</f>
        <v>45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IFERROR(__xludf.DUMMYFUNCTION("IMPORTRANGE(""https://docs.google.com/spreadsheets/d/1eHaY18a8A9IcSdp1K8H6x8fbOy06t2VsZHhMHf-1x7Y/edit?usp=sharing"",""แผน!FT75"")"),15)</f>
        <v>15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IFERROR(__xludf.DUMMYFUNCTION("IMPORTRANGE(""https://docs.google.com/spreadsheets/d/10OvvATaaLtwErnr3qtWFcTmtbfpFEt5Bsqel9sXx0uE/edit?usp=sharing"",""งานกองทุน!D75"")"),198638.23)</f>
        <v>198638.23</v>
      </c>
      <c r="J778" s="152">
        <f ca="1">IFERROR(__xludf.DUMMYFUNCTION("IMPORTRANGE(""https://docs.google.com/spreadsheets/d/10OvvATaaLtwErnr3qtWFcTmtbfpFEt5Bsqel9sXx0uE/edit?usp=sharing"",""งานกองทุน!F75"")"),228574.38)</f>
        <v>228574.38</v>
      </c>
      <c r="K778" s="47">
        <f ca="1">IF(I778&gt;0,J778*100/I778,0)</f>
        <v>115.07068906121444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IFERROR(__xludf.DUMMYFUNCTION("IMPORTRANGE(""https://docs.google.com/spreadsheets/d/10OvvATaaLtwErnr3qtWFcTmtbfpFEt5Bsqel9sXx0uE/edit?usp=sharing"",""งานกองทุน!C75"")"),18)</f>
        <v>18</v>
      </c>
      <c r="J779" s="152">
        <f ca="1">IFERROR(__xludf.DUMMYFUNCTION("IMPORTRANGE(""https://docs.google.com/spreadsheets/d/10OvvATaaLtwErnr3qtWFcTmtbfpFEt5Bsqel9sXx0uE/edit?usp=sharing"",""งานกองทุน!E75"")"),24)</f>
        <v>24</v>
      </c>
      <c r="K779" s="47">
        <f ca="1">IF(I779&gt;0,J779*100/I779,0)</f>
        <v>133.33333333333334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IFERROR(__xludf.DUMMYFUNCTION("IMPORTRANGE(""https://docs.google.com/spreadsheets/d/10OvvATaaLtwErnr3qtWFcTmtbfpFEt5Bsqel9sXx0uE/edit?usp=sharing"",""งานกองทุน!I75"")"),2716463.14)</f>
        <v>2716463.14</v>
      </c>
      <c r="J780" s="152">
        <f ca="1">IFERROR(__xludf.DUMMYFUNCTION("IMPORTRANGE(""https://docs.google.com/spreadsheets/d/10OvvATaaLtwErnr3qtWFcTmtbfpFEt5Bsqel9sXx0uE/edit?usp=sharing"",""งานกองทุน!K75"")"),619472.82)</f>
        <v>619472.81999999995</v>
      </c>
      <c r="K780" s="47">
        <f ca="1">IF(I780&gt;0,J780*100/I780,0)</f>
        <v>22.804388945251798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IFERROR(__xludf.DUMMYFUNCTION("IMPORTRANGE(""https://docs.google.com/spreadsheets/d/10OvvATaaLtwErnr3qtWFcTmtbfpFEt5Bsqel9sXx0uE/edit?usp=sharing"",""งานกองทุน!H75"")"),90)</f>
        <v>90</v>
      </c>
      <c r="J781" s="152">
        <f ca="1">IFERROR(__xludf.DUMMYFUNCTION("IMPORTRANGE(""https://docs.google.com/spreadsheets/d/10OvvATaaLtwErnr3qtWFcTmtbfpFEt5Bsqel9sXx0uE/edit?usp=sharing"",""งานกองทุน!J75"")"),65)</f>
        <v>65</v>
      </c>
      <c r="K781" s="47">
        <f ca="1">IF(I781&gt;0,J781*100/I781,0)</f>
        <v>72.222222222222229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IFERROR(__xludf.DUMMYFUNCTION("IMPORTRANGE(""https://docs.google.com/spreadsheets/d/10OvvATaaLtwErnr3qtWFcTmtbfpFEt5Bsqel9sXx0uE/edit?usp=sharing"",""งานกองทุน!N75"")"),0)</f>
        <v>0</v>
      </c>
      <c r="J782" s="152">
        <f ca="1">IFERROR(__xludf.DUMMYFUNCTION("IMPORTRANGE(""https://docs.google.com/spreadsheets/d/10OvvATaaLtwErnr3qtWFcTmtbfpFEt5Bsqel9sXx0uE/edit?usp=sharing"",""งานกองทุน!P75"")"),0)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IFERROR(__xludf.DUMMYFUNCTION("IMPORTRANGE(""https://docs.google.com/spreadsheets/d/10OvvATaaLtwErnr3qtWFcTmtbfpFEt5Bsqel9sXx0uE/edit?usp=sharing"",""งานกองทุน!M75"")"),0)</f>
        <v>0</v>
      </c>
      <c r="J783" s="152">
        <f ca="1">IFERROR(__xludf.DUMMYFUNCTION("IMPORTRANGE(""https://docs.google.com/spreadsheets/d/10OvvATaaLtwErnr3qtWFcTmtbfpFEt5Bsqel9sXx0uE/edit?usp=sharing"",""งานกองทุน!O75"")"),0)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IFERROR(__xludf.DUMMYFUNCTION("IMPORTRANGE(""https://docs.google.com/spreadsheets/d/10OvvATaaLtwErnr3qtWFcTmtbfpFEt5Bsqel9sXx0uE/edit?usp=sharing"",""งานกองทุน!S75"")"),1120000)</f>
        <v>1120000</v>
      </c>
      <c r="J784" s="152">
        <f ca="1">IFERROR(__xludf.DUMMYFUNCTION("IMPORTRANGE(""https://docs.google.com/spreadsheets/d/10OvvATaaLtwErnr3qtWFcTmtbfpFEt5Bsqel9sXx0uE/edit?usp=sharing"",""งานกองทุน!U75"")"),400000)</f>
        <v>400000</v>
      </c>
      <c r="K784" s="47">
        <f ca="1">IF(I784&gt;0,J784*100/I784,0)</f>
        <v>35.714285714285715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IFERROR(__xludf.DUMMYFUNCTION("IMPORTRANGE(""https://docs.google.com/spreadsheets/d/10OvvATaaLtwErnr3qtWFcTmtbfpFEt5Bsqel9sXx0uE/edit?usp=sharing"",""งานกองทุน!R75"")"),40)</f>
        <v>40</v>
      </c>
      <c r="J785" s="197">
        <f ca="1">IFERROR(__xludf.DUMMYFUNCTION("IMPORTRANGE(""https://docs.google.com/spreadsheets/d/10OvvATaaLtwErnr3qtWFcTmtbfpFEt5Bsqel9sXx0uE/edit?usp=sharing"",""งานกองทุน!T75"")"),8)</f>
        <v>8</v>
      </c>
      <c r="K785" s="111">
        <f ca="1">IF(I785&gt;0,J785*100/I785,0)</f>
        <v>20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90:G690"/>
    <mergeCell ref="D714:G714"/>
    <mergeCell ref="D728:G728"/>
    <mergeCell ref="D760:G760"/>
    <mergeCell ref="D493:G493"/>
    <mergeCell ref="Q5:R5"/>
    <mergeCell ref="D599:G599"/>
    <mergeCell ref="D616:G616"/>
    <mergeCell ref="D642:G642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7553F9-0E01-435B-BBC8-0775EB7C2871}">
  <sheetPr codeName="Sheet3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314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7784152</v>
      </c>
      <c r="M18" s="35">
        <f ca="1">M19+M20</f>
        <v>8223266</v>
      </c>
      <c r="N18" s="35">
        <f ca="1">N19+N20</f>
        <v>5798113.6799999997</v>
      </c>
      <c r="O18" s="35">
        <f ca="1">IF(L18&gt;0,N18*100/L18,0)</f>
        <v>74.486131308843923</v>
      </c>
      <c r="P18" s="35">
        <f ca="1">IF(M18&gt;0,N18*100/M18,0)</f>
        <v>70.508648023790059</v>
      </c>
      <c r="Q18" s="35">
        <f ca="1">Q19+Q20</f>
        <v>2651677.39</v>
      </c>
      <c r="R18" s="35">
        <f ca="1">R19+R20</f>
        <v>2676177</v>
      </c>
      <c r="S18" s="35">
        <f ca="1">S19+S20</f>
        <v>697780.09</v>
      </c>
      <c r="T18" s="35">
        <f ca="1">IF(Q18&gt;0,S18*100/Q18,0)</f>
        <v>26.314667562180329</v>
      </c>
      <c r="U18" s="35">
        <f ca="1">IF(R18&gt;0,S18*100/R18,0)</f>
        <v>26.0737645529425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7784152</v>
      </c>
      <c r="M20" s="39">
        <f ca="1">M23+M26</f>
        <v>8223266</v>
      </c>
      <c r="N20" s="39">
        <f ca="1">N23+N26</f>
        <v>5798113.6799999997</v>
      </c>
      <c r="O20" s="39">
        <f ca="1">IF(L20&gt;0,N20*100/L20,0)</f>
        <v>74.486131308843923</v>
      </c>
      <c r="P20" s="39">
        <f ca="1">IF(M20&gt;0,N20*100/M20,0)</f>
        <v>70.508648023790059</v>
      </c>
      <c r="Q20" s="39">
        <f ca="1">Q23+Q26</f>
        <v>2651677.39</v>
      </c>
      <c r="R20" s="39">
        <f ca="1">R23+R26</f>
        <v>2676177</v>
      </c>
      <c r="S20" s="39">
        <f ca="1">S23+S26</f>
        <v>697780.09</v>
      </c>
      <c r="T20" s="39">
        <f ca="1">IF(Q20&gt;0,S20*100/Q20,0)</f>
        <v>26.314667562180329</v>
      </c>
      <c r="U20" s="39">
        <f ca="1">IF(R20&gt;0,S20*100/R20,0)</f>
        <v>26.0737645529425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3267252</v>
      </c>
      <c r="M21" s="47">
        <f ca="1">M22+M23</f>
        <v>3706366</v>
      </c>
      <c r="N21" s="47">
        <f ca="1">N22+N23</f>
        <v>1993413.6800000002</v>
      </c>
      <c r="O21" s="47">
        <f ca="1">IF(L21&gt;0,N21*100/L21,0)</f>
        <v>61.011935412389384</v>
      </c>
      <c r="P21" s="47">
        <f ca="1">IF(M21&gt;0,N21*100/M21,0)</f>
        <v>53.783508698277515</v>
      </c>
      <c r="Q21" s="47">
        <f ca="1">Q22+Q23</f>
        <v>2651677.39</v>
      </c>
      <c r="R21" s="47">
        <f ca="1">R22+R23</f>
        <v>2676177</v>
      </c>
      <c r="S21" s="47">
        <f ca="1">S22+S23</f>
        <v>697780.09</v>
      </c>
      <c r="T21" s="47">
        <f ca="1">IF(Q21&gt;0,S21*100/Q21,0)</f>
        <v>26.314667562180329</v>
      </c>
      <c r="U21" s="47">
        <f ca="1">IF(R21&gt;0,S21*100/R21,0)</f>
        <v>26.0737645529425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3267252</v>
      </c>
      <c r="M23" s="47">
        <f ca="1">M49+M64+M77+M99+M122+M144+M162+M191+M178+M271+M287+M308+M325+M338+M361+M380+M418+M498+M518+M539+M560+M581+M604+M621+M647+M695+M719+M733+M765</f>
        <v>3706366</v>
      </c>
      <c r="N23" s="47">
        <f ca="1">N49+N64+N77+N99+N122+N144+N162+N191+N178+N271+N287+N308+N325+N338+N361+N380+N418+N498+N518+N539+N560+N581+N604+N621+N647+N695+N719+N733+N765</f>
        <v>1993413.6800000002</v>
      </c>
      <c r="O23" s="47">
        <f ca="1">IF(L23&gt;0,N23*100/L23,0)</f>
        <v>61.011935412389384</v>
      </c>
      <c r="P23" s="47">
        <f ca="1">IF(M23&gt;0,N23*100/M23,0)</f>
        <v>53.783508698277515</v>
      </c>
      <c r="Q23" s="47">
        <f ca="1">Q77+Q99+Q122+Q144+Q162+Q178+Q191+Q271+Q287+Q308+Q338+Q380+Q397+Q418+Q498+Q604+Q621+Q647+Q695+Q719+Q733+Q765</f>
        <v>2651677.39</v>
      </c>
      <c r="R23" s="47">
        <f ca="1">R77+R99+R122+R144+R162+R178+R191+R271+R287+R308+R338+R380+R397+R418+R498+R604+R621+R647+R695+R719+R733+R765</f>
        <v>2676177</v>
      </c>
      <c r="S23" s="47">
        <f ca="1">S77+S99+S122+S144+S162+S178+S191+S271+S287+S308+S338+S380+S397+S418+S498+S604+S621+S647+S695+S719+S733+S765</f>
        <v>697780.09</v>
      </c>
      <c r="T23" s="47">
        <f ca="1">IF(Q23&gt;0,S23*100/Q23,0)</f>
        <v>26.314667562180329</v>
      </c>
      <c r="U23" s="47">
        <f ca="1">IF(R23&gt;0,S23*100/R23,0)</f>
        <v>26.0737645529425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4516900</v>
      </c>
      <c r="M24" s="47">
        <f ca="1">M25+M26</f>
        <v>4516900</v>
      </c>
      <c r="N24" s="47">
        <f ca="1">N25+N26</f>
        <v>3804700</v>
      </c>
      <c r="O24" s="47">
        <f ca="1">IF(L24&gt;0,N24*100/L24,0)</f>
        <v>84.232548872013993</v>
      </c>
      <c r="P24" s="47">
        <f ca="1">IF(M24&gt;0,N24*100/M24,0)</f>
        <v>84.232548872013993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4516900</v>
      </c>
      <c r="M26" s="47">
        <f ca="1">M52+M67+M80+M102+M125+M147+M165+M194+M181+M274+M290+M311+M328+M341+M364+M383+M421+M501+M521+M542+M563+M584+M607+M624+M650+M698+M722+M736+M768</f>
        <v>4516900</v>
      </c>
      <c r="N26" s="47">
        <f ca="1">N52+N67+N80+N102+N125+N147+N165+N194+N181+N274+N290+N311+N328+N341+N364+N383+N421+N501+N521+N542+N563+N584+N607+N624+N650+N698+N722+N736+N768</f>
        <v>3804700</v>
      </c>
      <c r="O26" s="47">
        <f ca="1">IF(L26&gt;0,N26*100/L26,0)</f>
        <v>84.232548872013993</v>
      </c>
      <c r="P26" s="47">
        <f ca="1">IF(M26&gt;0,N26*100/M26,0)</f>
        <v>84.232548872013993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7214992</v>
      </c>
      <c r="M40" s="802">
        <f ca="1">M44+M59+M72+M94+M125+M139+M157+M173+M186+M266+M282+M303+M320+M333+M356</f>
        <v>7404106</v>
      </c>
      <c r="N40" s="802">
        <f ca="1">N44+N59+N72+N94+N125+N139+N157+N173+N186+N266+N282+N303+N320+N333+N356</f>
        <v>5547858.6800000006</v>
      </c>
      <c r="O40" s="802">
        <f ca="1">IF(L40&gt;0,N40*100/L40,0)</f>
        <v>76.893483457777933</v>
      </c>
      <c r="P40" s="802">
        <f ca="1">IF(M40&gt;0,N40*100/M40,0)</f>
        <v>74.929487503285358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616032</v>
      </c>
      <c r="M44" s="79">
        <f ca="1">M45+M46</f>
        <v>701466</v>
      </c>
      <c r="N44" s="79">
        <f ca="1">N45+N46</f>
        <v>501406</v>
      </c>
      <c r="O44" s="79">
        <f ca="1">IF(L44&gt;0,N44*100/L44,0)</f>
        <v>81.392849722092365</v>
      </c>
      <c r="P44" s="79">
        <f ca="1">IF(M44&gt;0,N44*100/M44,0)</f>
        <v>71.479729594877014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616032</v>
      </c>
      <c r="M46" s="83">
        <f ca="1">M49+M52</f>
        <v>701466</v>
      </c>
      <c r="N46" s="83">
        <f ca="1">N49+N52</f>
        <v>501406</v>
      </c>
      <c r="O46" s="83">
        <f ca="1">IF(L46&gt;0,N46*100/L46,0)</f>
        <v>81.392849722092365</v>
      </c>
      <c r="P46" s="83">
        <f ca="1">IF(M46&gt;0,N46*100/M46,0)</f>
        <v>71.479729594877014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616032</v>
      </c>
      <c r="M47" s="47">
        <f ca="1">M48+M49</f>
        <v>701466</v>
      </c>
      <c r="N47" s="47">
        <f ca="1">N48+N49</f>
        <v>501406</v>
      </c>
      <c r="O47" s="47">
        <f ca="1">IF(L47&gt;0,N47*100/L47,0)</f>
        <v>81.392849722092365</v>
      </c>
      <c r="P47" s="47">
        <f ca="1">IF(M47&gt;0,N47*100/M47,0)</f>
        <v>71.479729594877014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IFERROR(__xludf.DUMMYFUNCTION("IMPORTRANGE(""https://docs.google.com/spreadsheets/d/1-uDff_7J0KD5mKrp0Vvzr7lt3OU09vwQwhkpOPPYv2Y/edit?usp=sharing"",""งบพรบ!P76"")"),616032)</f>
        <v>616032</v>
      </c>
      <c r="M49" s="47">
        <f ca="1">IFERROR(__xludf.DUMMYFUNCTION("IMPORTRANGE(""https://docs.google.com/spreadsheets/d/1-uDff_7J0KD5mKrp0Vvzr7lt3OU09vwQwhkpOPPYv2Y/edit?usp=sharing"",""งบพรบ!V76"")"),701466)</f>
        <v>701466</v>
      </c>
      <c r="N49" s="47">
        <f ca="1">IFERROR(__xludf.DUMMYFUNCTION("IMPORTRANGE(""https://docs.google.com/spreadsheets/d/1-uDff_7J0KD5mKrp0Vvzr7lt3OU09vwQwhkpOPPYv2Y/edit?usp=sharing"",""งบพรบ!Y76"")"),501406)</f>
        <v>501406</v>
      </c>
      <c r="O49" s="47">
        <f ca="1">IF(L49&gt;0,N49*100/L49,0)</f>
        <v>81.392849722092365</v>
      </c>
      <c r="P49" s="47">
        <f ca="1">IF(M49&gt;0,N49*100/M49,0)</f>
        <v>71.479729594877014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IFERROR(__xludf.DUMMYFUNCTION("IMPORTRANGE(""https://docs.google.com/spreadsheets/d/1-uDff_7J0KD5mKrp0Vvzr7lt3OU09vwQwhkpOPPYv2Y/edit?usp=sharing"",""งบพรบ!S76"")"),0)</f>
        <v>0</v>
      </c>
      <c r="M52" s="47">
        <f ca="1">IFERROR(__xludf.DUMMYFUNCTION("IMPORTRANGE(""https://docs.google.com/spreadsheets/d/1-uDff_7J0KD5mKrp0Vvzr7lt3OU09vwQwhkpOPPYv2Y/edit?usp=sharing"",""งบพรบ!W76"")"),0)</f>
        <v>0</v>
      </c>
      <c r="N52" s="47">
        <f ca="1">IFERROR(__xludf.DUMMYFUNCTION("IMPORTRANGE(""https://docs.google.com/spreadsheets/d/1-uDff_7J0KD5mKrp0Vvzr7lt3OU09vwQwhkpOPPYv2Y/edit?usp=sharing"",""งบพรบ!Z76"")"),0)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724700</v>
      </c>
      <c r="M59" s="106">
        <f ca="1">M60+M61</f>
        <v>784240</v>
      </c>
      <c r="N59" s="106">
        <f ca="1">N60+N61</f>
        <v>605672.89</v>
      </c>
      <c r="O59" s="106">
        <f ca="1">IF(L59&gt;0,N59*100/L59,0)</f>
        <v>83.575671312267147</v>
      </c>
      <c r="P59" s="106">
        <f ca="1">IF(M59&gt;0,N59*100/M59,0)</f>
        <v>77.230553146995817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724700</v>
      </c>
      <c r="M61" s="109">
        <f ca="1">M64+M67</f>
        <v>784240</v>
      </c>
      <c r="N61" s="109">
        <f ca="1">N64+N67</f>
        <v>605672.89</v>
      </c>
      <c r="O61" s="109">
        <f ca="1">IF(L61&gt;0,N61*100/L61,0)</f>
        <v>83.575671312267147</v>
      </c>
      <c r="P61" s="109">
        <f ca="1">IF(M61&gt;0,N61*100/M61,0)</f>
        <v>77.230553146995817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694800</v>
      </c>
      <c r="M62" s="47">
        <f ca="1">M63+M64</f>
        <v>754340</v>
      </c>
      <c r="N62" s="47">
        <f ca="1">N63+N64</f>
        <v>575772.89</v>
      </c>
      <c r="O62" s="47">
        <f ca="1">IF(L62&gt;0,N62*100/L62,0)</f>
        <v>82.868867299942423</v>
      </c>
      <c r="P62" s="47">
        <f ca="1">IF(M62&gt;0,N62*100/M62,0)</f>
        <v>76.328033777872051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IFERROR(__xludf.DUMMYFUNCTION("IMPORTRANGE(""https://docs.google.com/spreadsheets/d/1-uDff_7J0KD5mKrp0Vvzr7lt3OU09vwQwhkpOPPYv2Y/edit?usp=sharing"",""งบพรบ!AC76"")"),694800)</f>
        <v>694800</v>
      </c>
      <c r="M64" s="47">
        <f ca="1">IFERROR(__xludf.DUMMYFUNCTION("IMPORTRANGE(""https://docs.google.com/spreadsheets/d/1-uDff_7J0KD5mKrp0Vvzr7lt3OU09vwQwhkpOPPYv2Y/edit?usp=sharing"",""งบพรบ!AH76"")"),754340)</f>
        <v>754340</v>
      </c>
      <c r="N64" s="47">
        <f ca="1">IFERROR(__xludf.DUMMYFUNCTION("IMPORTRANGE(""https://docs.google.com/spreadsheets/d/1-uDff_7J0KD5mKrp0Vvzr7lt3OU09vwQwhkpOPPYv2Y/edit?usp=sharing"",""งบพรบ!AJ76"")"),575772.89)</f>
        <v>575772.89</v>
      </c>
      <c r="O64" s="47">
        <f ca="1">IF(L64&gt;0,N64*100/L64,0)</f>
        <v>82.868867299942423</v>
      </c>
      <c r="P64" s="47">
        <f ca="1">IF(M64&gt;0,N64*100/M64,0)</f>
        <v>76.328033777872051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29900</v>
      </c>
      <c r="M65" s="47">
        <f ca="1">M66+M67</f>
        <v>29900</v>
      </c>
      <c r="N65" s="47">
        <f ca="1">N66+N67</f>
        <v>29900</v>
      </c>
      <c r="O65" s="47">
        <f ca="1">IF(L65&gt;0,N65*100/L65,0)</f>
        <v>100</v>
      </c>
      <c r="P65" s="47">
        <f ca="1">IF(M65&gt;0,N65*100/M65,0)</f>
        <v>100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IFERROR(__xludf.DUMMYFUNCTION("IMPORTRANGE(""https://docs.google.com/spreadsheets/d/1-uDff_7J0KD5mKrp0Vvzr7lt3OU09vwQwhkpOPPYv2Y/edit?usp=sharing"",""งบพรบ!AF76"")"),29900)</f>
        <v>29900</v>
      </c>
      <c r="M67" s="111">
        <f ca="1">IFERROR(__xludf.DUMMYFUNCTION("IMPORTRANGE(""https://docs.google.com/spreadsheets/d/1-uDff_7J0KD5mKrp0Vvzr7lt3OU09vwQwhkpOPPYv2Y/edit?usp=sharing"",""งบพรบ!AI76"")"),29900)</f>
        <v>29900</v>
      </c>
      <c r="N67" s="111">
        <f ca="1">IFERROR(__xludf.DUMMYFUNCTION("IMPORTRANGE(""https://docs.google.com/spreadsheets/d/1-uDff_7J0KD5mKrp0Vvzr7lt3OU09vwQwhkpOPPYv2Y/edit?usp=sharing"",""งบพรบ!AK76"")"),29900)</f>
        <v>29900</v>
      </c>
      <c r="O67" s="111">
        <f ca="1">IF(L67&gt;0,N67*100/L67,0)</f>
        <v>100</v>
      </c>
      <c r="P67" s="111">
        <f ca="1">IF(M67&gt;0,N67*100/M67,0)</f>
        <v>100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1</v>
      </c>
      <c r="K70" s="35">
        <f ca="1">IF(I70&gt;0,J70*100/I70,0)</f>
        <v>100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30</v>
      </c>
      <c r="K71" s="35">
        <f ca="1">IF(I71&gt;0,J71*100/I71,0)</f>
        <v>100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142000</v>
      </c>
      <c r="M72" s="132">
        <f ca="1">M73+M74</f>
        <v>142000</v>
      </c>
      <c r="N72" s="132">
        <f ca="1">N73+N74</f>
        <v>38567</v>
      </c>
      <c r="O72" s="132">
        <f ca="1">IF(L72&gt;0,N72*100/L72,0)</f>
        <v>27.159859154929578</v>
      </c>
      <c r="P72" s="132">
        <f ca="1">IF(M72&gt;0,N72*100/M72,0)</f>
        <v>27.159859154929578</v>
      </c>
      <c r="Q72" s="132">
        <f ca="1">Q73+Q74</f>
        <v>388700</v>
      </c>
      <c r="R72" s="132">
        <f ca="1">R73+R74</f>
        <v>388700</v>
      </c>
      <c r="S72" s="132">
        <f ca="1">S73+S74</f>
        <v>43035</v>
      </c>
      <c r="T72" s="132">
        <f ca="1">IF(Q72&gt;0,S72*100/Q72,0)</f>
        <v>11.071520452791356</v>
      </c>
      <c r="U72" s="132">
        <f ca="1">IF(R72&gt;0,S72*100/R72,0)</f>
        <v>11.071520452791356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142000</v>
      </c>
      <c r="M74" s="47">
        <f ca="1">M77+M80</f>
        <v>142000</v>
      </c>
      <c r="N74" s="47">
        <f ca="1">N77+N80</f>
        <v>38567</v>
      </c>
      <c r="O74" s="47">
        <f ca="1">IF(L74&gt;0,N74*100/L74,0)</f>
        <v>27.159859154929578</v>
      </c>
      <c r="P74" s="47">
        <f ca="1">IF(M74&gt;0,N74*100/M74,0)</f>
        <v>27.159859154929578</v>
      </c>
      <c r="Q74" s="47">
        <f ca="1">Q77+Q80</f>
        <v>388700</v>
      </c>
      <c r="R74" s="47">
        <f ca="1">R77+R80</f>
        <v>388700</v>
      </c>
      <c r="S74" s="47">
        <f ca="1">S77+S80</f>
        <v>43035</v>
      </c>
      <c r="T74" s="47">
        <f ca="1">IF(Q74&gt;0,S74*100/Q74,0)</f>
        <v>11.071520452791356</v>
      </c>
      <c r="U74" s="47">
        <f ca="1">IF(R74&gt;0,S74*100/R74,0)</f>
        <v>11.071520452791356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142000</v>
      </c>
      <c r="M75" s="47">
        <f ca="1">M76+M77</f>
        <v>142000</v>
      </c>
      <c r="N75" s="47">
        <f ca="1">N76+N77</f>
        <v>38567</v>
      </c>
      <c r="O75" s="47">
        <f ca="1">IF(L75&gt;0,N75*100/L75,0)</f>
        <v>27.159859154929578</v>
      </c>
      <c r="P75" s="47">
        <f ca="1">IF(M75&gt;0,N75*100/M75,0)</f>
        <v>27.159859154929578</v>
      </c>
      <c r="Q75" s="47">
        <f ca="1">Q76+Q77</f>
        <v>388700</v>
      </c>
      <c r="R75" s="47">
        <f ca="1">R76+R77</f>
        <v>388700</v>
      </c>
      <c r="S75" s="47">
        <f ca="1">S76+S77</f>
        <v>43035</v>
      </c>
      <c r="T75" s="47">
        <f ca="1">IF(Q75&gt;0,S75*100/Q75,0)</f>
        <v>11.071520452791356</v>
      </c>
      <c r="U75" s="47">
        <f ca="1">IF(R75&gt;0,S75*100/R75,0)</f>
        <v>11.071520452791356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IFERROR(__xludf.DUMMYFUNCTION("IMPORTRANGE(""https://docs.google.com/spreadsheets/d/1-uDff_7J0KD5mKrp0Vvzr7lt3OU09vwQwhkpOPPYv2Y/edit?usp=sharing"",""งบพรบ!AM76"")"),142000)</f>
        <v>142000</v>
      </c>
      <c r="M77" s="47">
        <f ca="1">IFERROR(__xludf.DUMMYFUNCTION("IMPORTRANGE(""https://docs.google.com/spreadsheets/d/1-uDff_7J0KD5mKrp0Vvzr7lt3OU09vwQwhkpOPPYv2Y/edit?usp=sharing"",""งบพรบ!AR76"")"),142000)</f>
        <v>142000</v>
      </c>
      <c r="N77" s="47">
        <f ca="1">IFERROR(__xludf.DUMMYFUNCTION("IMPORTRANGE(""https://docs.google.com/spreadsheets/d/1-uDff_7J0KD5mKrp0Vvzr7lt3OU09vwQwhkpOPPYv2Y/edit?usp=sharing"",""งบพรบ!AT76"")"),38567)</f>
        <v>38567</v>
      </c>
      <c r="O77" s="47">
        <f ca="1">IF(L77&gt;0,N77*100/L77,0)</f>
        <v>27.159859154929578</v>
      </c>
      <c r="P77" s="47">
        <f ca="1">IF(M77&gt;0,N77*100/M77,0)</f>
        <v>27.159859154929578</v>
      </c>
      <c r="Q77" s="47">
        <f ca="1">IFERROR(__xludf.DUMMYFUNCTION("IMPORTRANGE(""https://docs.google.com/spreadsheets/d/1ItG2mGa2ceCfYo0BwxsXqNm01IGEUdYcSSLTEv9YCik/edit?usp=sharing"",""เบิกจ่ายกองทุน!BH76"")"),388700)</f>
        <v>388700</v>
      </c>
      <c r="R77" s="47">
        <f ca="1">IFERROR(__xludf.DUMMYFUNCTION("IMPORTRANGE(""https://docs.google.com/spreadsheets/d/1ItG2mGa2ceCfYo0BwxsXqNm01IGEUdYcSSLTEv9YCik/edit?usp=sharing"",""เบิกจ่ายกองทุน!BI76"")"),388700)</f>
        <v>388700</v>
      </c>
      <c r="S77" s="47">
        <f ca="1">IFERROR(__xludf.DUMMYFUNCTION("IMPORTRANGE(""https://docs.google.com/spreadsheets/d/1ItG2mGa2ceCfYo0BwxsXqNm01IGEUdYcSSLTEv9YCik/edit?usp=sharing"",""เบิกจ่ายกองทุน!BJ76"")"),43035)</f>
        <v>43035</v>
      </c>
      <c r="T77" s="47">
        <f ca="1">IF(Q77&gt;0,S77*100/Q77,0)</f>
        <v>11.071520452791356</v>
      </c>
      <c r="U77" s="47">
        <f ca="1">IF(R77&gt;0,S77*100/R77,0)</f>
        <v>11.071520452791356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IFERROR(__xludf.DUMMYFUNCTION("IMPORTRANGE(""https://docs.google.com/spreadsheets/d/1-uDff_7J0KD5mKrp0Vvzr7lt3OU09vwQwhkpOPPYv2Y/edit?usp=sharing"",""งบพรบ!AP76"")"),0)</f>
        <v>0</v>
      </c>
      <c r="M80" s="47">
        <f ca="1">IFERROR(__xludf.DUMMYFUNCTION("IMPORTRANGE(""https://docs.google.com/spreadsheets/d/1-uDff_7J0KD5mKrp0Vvzr7lt3OU09vwQwhkpOPPYv2Y/edit?usp=sharing"",""งบพรบ!AS76"")"),0)</f>
        <v>0</v>
      </c>
      <c r="N80" s="47">
        <f ca="1">IFERROR(__xludf.DUMMYFUNCTION("IMPORTRANGE(""https://docs.google.com/spreadsheets/d/1-uDff_7J0KD5mKrp0Vvzr7lt3OU09vwQwhkpOPPYv2Y/edit?usp=sharing"",""งบพรบ!AU76"")"),0)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IFERROR(__xludf.DUMMYFUNCTION("IMPORTRANGE(""https://docs.google.com/spreadsheets/d/1ItG2mGa2ceCfYo0BwxsXqNm01IGEUdYcSSLTEv9YCik/edit?usp=sharing"",""เบิกจ่ายกองทุน!BK76"")"),0)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IFERROR(__xludf.DUMMYFUNCTION("IMPORTRANGE(""https://docs.google.com/spreadsheets/d/1ItG2mGa2ceCfYo0BwxsXqNm01IGEUdYcSSLTEv9YCik/edit?usp=sharing"",""เบิกจ่ายกองทุน!BL76"")"),0)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IFERROR(__xludf.DUMMYFUNCTION("IMPORTRANGE(""https://docs.google.com/spreadsheets/d/1ItG2mGa2ceCfYo0BwxsXqNm01IGEUdYcSSLTEv9YCik/edit?usp=sharing"",""เบิกจ่ายกองทุน!BM76"")"),0)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1</v>
      </c>
      <c r="K82" s="148">
        <f ca="1">IF(I82&gt;0,J82*100/I82,0)</f>
        <v>100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30</v>
      </c>
      <c r="K83" s="148">
        <f ca="1">IF(I83&gt;0,J83*100/I83,0)</f>
        <v>100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IFERROR(__xludf.DUMMYFUNCTION("IMPORTRANGE(""https://docs.google.com/spreadsheets/d/1eHaY18a8A9IcSdp1K8H6x8fbOy06t2VsZHhMHf-1x7Y/edit?usp=sharing"",""แผน!H76"")"),0)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IFERROR(__xludf.DUMMYFUNCTION("IMPORTRANGE(""https://docs.google.com/spreadsheets/d/1eHaY18a8A9IcSdp1K8H6x8fbOy06t2VsZHhMHf-1x7Y/edit?usp=sharing"",""แผน!I76"")"),0)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IFERROR(__xludf.DUMMYFUNCTION("IMPORTRANGE(""https://docs.google.com/spreadsheets/d/1eHaY18a8A9IcSdp1K8H6x8fbOy06t2VsZHhMHf-1x7Y/edit?usp=sharing"",""แผน!F76"")"),1)</f>
        <v>1</v>
      </c>
      <c r="J86" s="167">
        <v>1</v>
      </c>
      <c r="K86" s="153">
        <f ca="1">IF(I86&gt;0,J86*100/I86,0)</f>
        <v>100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IFERROR(__xludf.DUMMYFUNCTION("IMPORTRANGE(""https://docs.google.com/spreadsheets/d/1eHaY18a8A9IcSdp1K8H6x8fbOy06t2VsZHhMHf-1x7Y/edit?usp=sharing"",""แผน!G76"")"),30)</f>
        <v>30</v>
      </c>
      <c r="J87" s="167">
        <v>30</v>
      </c>
      <c r="K87" s="153">
        <f ca="1">IF(I87&gt;0,J87*100/I87,0)</f>
        <v>100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IFERROR(__xludf.DUMMYFUNCTION("IMPORTRANGE(""https://docs.google.com/spreadsheets/d/1eHaY18a8A9IcSdp1K8H6x8fbOy06t2VsZHhMHf-1x7Y/edit?usp=sharing"",""แผน!D76"")"),0)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IFERROR(__xludf.DUMMYFUNCTION("IMPORTRANGE(""https://docs.google.com/spreadsheets/d/1eHaY18a8A9IcSdp1K8H6x8fbOy06t2VsZHhMHf-1x7Y/edit?usp=sharing"",""แผน!E76"")"),0)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IFERROR(__xludf.DUMMYFUNCTION("IMPORTRANGE(""https://docs.google.com/spreadsheets/d/1eHaY18a8A9IcSdp1K8H6x8fbOy06t2VsZHhMHf-1x7Y/edit?usp=sharing"",""แผน!J76"")"),1)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40650</v>
      </c>
      <c r="T94" s="132">
        <f ca="1">IF(Q94&gt;0,S94*100/Q94,0)</f>
        <v>48.152096659559348</v>
      </c>
      <c r="U94" s="132">
        <f ca="1">IF(R94&gt;0,S94*100/R94,0)</f>
        <v>48.152096659559348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40650</v>
      </c>
      <c r="T96" s="47">
        <f ca="1">IF(Q96&gt;0,S96*100/Q96,0)</f>
        <v>48.152096659559348</v>
      </c>
      <c r="U96" s="47">
        <f ca="1">IF(R96&gt;0,S96*100/R96,0)</f>
        <v>48.152096659559348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40650</v>
      </c>
      <c r="T97" s="47">
        <f ca="1">IF(Q97&gt;0,S97*100/Q97,0)</f>
        <v>48.152096659559348</v>
      </c>
      <c r="U97" s="47">
        <f ca="1">IF(R97&gt;0,S97*100/R97,0)</f>
        <v>48.152096659559348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IFERROR(__xludf.DUMMYFUNCTION("IMPORTRANGE(""https://docs.google.com/spreadsheets/d/1-uDff_7J0KD5mKrp0Vvzr7lt3OU09vwQwhkpOPPYv2Y/edit?usp=sharing"",""งบพรบ!AW76"")"),0)</f>
        <v>0</v>
      </c>
      <c r="M99" s="47">
        <f ca="1">IFERROR(__xludf.DUMMYFUNCTION("IMPORTRANGE(""https://docs.google.com/spreadsheets/d/1-uDff_7J0KD5mKrp0Vvzr7lt3OU09vwQwhkpOPPYv2Y/edit?usp=sharing"",""งบพรบ!BB76"")"),6000)</f>
        <v>6000</v>
      </c>
      <c r="N99" s="47">
        <f ca="1">IFERROR(__xludf.DUMMYFUNCTION("IMPORTRANGE(""https://docs.google.com/spreadsheets/d/1-uDff_7J0KD5mKrp0Vvzr7lt3OU09vwQwhkpOPPYv2Y/edit?usp=sharing"",""งบพรบ!BD76"")"),0)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IFERROR(__xludf.DUMMYFUNCTION("IMPORTRANGE(""https://docs.google.com/spreadsheets/d/1ItG2mGa2ceCfYo0BwxsXqNm01IGEUdYcSSLTEv9YCik/edit?usp=sharing"",""เบิกจ่ายกองทุน!AJ76"")"),84420)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IFERROR(__xludf.DUMMYFUNCTION("IMPORTRANGE(""https://docs.google.com/spreadsheets/d/1ItG2mGa2ceCfYo0BwxsXqNm01IGEUdYcSSLTEv9YCik/edit?usp=sharing"",""เบิกจ่ายกองทุน!AK76"")"),84420)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IFERROR(__xludf.DUMMYFUNCTION("IMPORTRANGE(""https://docs.google.com/spreadsheets/d/1ItG2mGa2ceCfYo0BwxsXqNm01IGEUdYcSSLTEv9YCik/edit?usp=sharing"",""เบิกจ่ายกองทุน!AL76"")"),40650)</f>
        <v>40650</v>
      </c>
      <c r="T99" s="47">
        <f ca="1">IF(Q99&gt;0,S99*100/Q99,0)</f>
        <v>48.152096659559348</v>
      </c>
      <c r="U99" s="47">
        <f ca="1">IF(R99&gt;0,S99*100/R99,0)</f>
        <v>48.152096659559348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IFERROR(__xludf.DUMMYFUNCTION("IMPORTRANGE(""https://docs.google.com/spreadsheets/d/1-uDff_7J0KD5mKrp0Vvzr7lt3OU09vwQwhkpOPPYv2Y/edit?usp=sharing"",""งบพรบ!AZ76"")"),0)</f>
        <v>0</v>
      </c>
      <c r="M102" s="47">
        <f ca="1">IFERROR(__xludf.DUMMYFUNCTION("IMPORTRANGE(""https://docs.google.com/spreadsheets/d/1-uDff_7J0KD5mKrp0Vvzr7lt3OU09vwQwhkpOPPYv2Y/edit?usp=sharing"",""งบพรบ!BC76"")"),0)</f>
        <v>0</v>
      </c>
      <c r="N102" s="47">
        <f ca="1">IFERROR(__xludf.DUMMYFUNCTION("IMPORTRANGE(""https://docs.google.com/spreadsheets/d/1-uDff_7J0KD5mKrp0Vvzr7lt3OU09vwQwhkpOPPYv2Y/edit?usp=sharing"",""งบพรบ!BE76"")"),0)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IFERROR(__xludf.DUMMYFUNCTION("IMPORTRANGE(""https://docs.google.com/spreadsheets/d/1eHaY18a8A9IcSdp1K8H6x8fbOy06t2VsZHhMHf-1x7Y/edit?usp=sharing"",""แผน!N76"")"),30)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IFERROR(__xludf.DUMMYFUNCTION("IMPORTRANGE(""https://docs.google.com/spreadsheets/d/1eHaY18a8A9IcSdp1K8H6x8fbOy06t2VsZHhMHf-1x7Y/edit?usp=sharing"",""แผน!O76"")"),10)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IFERROR(__xludf.DUMMYFUNCTION("IMPORTRANGE(""https://docs.google.com/spreadsheets/d/1eHaY18a8A9IcSdp1K8H6x8fbOy06t2VsZHhMHf-1x7Y/edit?usp=sharing"",""แผน!N76"")"),30)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IFERROR(__xludf.DUMMYFUNCTION("IMPORTRANGE(""https://docs.google.com/spreadsheets/d/1eHaY18a8A9IcSdp1K8H6x8fbOy06t2VsZHhMHf-1x7Y/edit?usp=sharing"",""แผน!O76"")"),10)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20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125887</v>
      </c>
      <c r="T117" s="132">
        <f ca="1">IF(Q117&gt;0,S117*100/Q117,0)</f>
        <v>60.129442109285442</v>
      </c>
      <c r="U117" s="132">
        <f ca="1">IF(R117&gt;0,S117*100/R117,0)</f>
        <v>60.129442109285442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125887</v>
      </c>
      <c r="T119" s="47">
        <f ca="1">IF(Q119&gt;0,S119*100/Q119,0)</f>
        <v>60.129442109285442</v>
      </c>
      <c r="U119" s="47">
        <f ca="1">IF(R119&gt;0,S119*100/R119,0)</f>
        <v>60.129442109285442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125887</v>
      </c>
      <c r="T120" s="47">
        <f ca="1">IF(Q120&gt;0,S120*100/Q120,0)</f>
        <v>60.129442109285442</v>
      </c>
      <c r="U120" s="47">
        <f ca="1">IF(R120&gt;0,S120*100/R120,0)</f>
        <v>60.129442109285442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IFERROR(__xludf.DUMMYFUNCTION("IMPORTRANGE(""https://docs.google.com/spreadsheets/d/1-uDff_7J0KD5mKrp0Vvzr7lt3OU09vwQwhkpOPPYv2Y/edit?usp=sharing"",""งบพรบ!BG76"")"),0)</f>
        <v>0</v>
      </c>
      <c r="M122" s="47">
        <f ca="1">IFERROR(__xludf.DUMMYFUNCTION("IMPORTRANGE(""https://docs.google.com/spreadsheets/d/1-uDff_7J0KD5mKrp0Vvzr7lt3OU09vwQwhkpOPPYv2Y/edit?usp=sharing"",""งบพรบ!BL76"")"),0)</f>
        <v>0</v>
      </c>
      <c r="N122" s="47">
        <f ca="1">IFERROR(__xludf.DUMMYFUNCTION("IMPORTRANGE(""https://docs.google.com/spreadsheets/d/1-uDff_7J0KD5mKrp0Vvzr7lt3OU09vwQwhkpOPPYv2Y/edit?usp=sharing"",""งบพรบ!BN76"")"),0)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IFERROR(__xludf.DUMMYFUNCTION("IMPORTRANGE(""https://docs.google.com/spreadsheets/d/1ItG2mGa2ceCfYo0BwxsXqNm01IGEUdYcSSLTEv9YCik/edit?usp=sharing"",""เบิกจ่ายกองทุน!U76"")"),209360)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IFERROR(__xludf.DUMMYFUNCTION("IMPORTRANGE(""https://docs.google.com/spreadsheets/d/1ItG2mGa2ceCfYo0BwxsXqNm01IGEUdYcSSLTEv9YCik/edit?usp=sharing"",""เบิกจ่ายกองทุน!V76"")"),209360)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IFERROR(__xludf.DUMMYFUNCTION("IMPORTRANGE(""https://docs.google.com/spreadsheets/d/1ItG2mGa2ceCfYo0BwxsXqNm01IGEUdYcSSLTEv9YCik/edit?usp=sharing"",""เบิกจ่ายกองทุน!W76"")"),125887)</f>
        <v>125887</v>
      </c>
      <c r="T122" s="47">
        <f ca="1">IF(Q122&gt;0,S122*100/Q122,0)</f>
        <v>60.129442109285442</v>
      </c>
      <c r="U122" s="47">
        <f ca="1">IF(R122&gt;0,S122*100/R122,0)</f>
        <v>60.129442109285442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IFERROR(__xludf.DUMMYFUNCTION("IMPORTRANGE(""https://docs.google.com/spreadsheets/d/1-uDff_7J0KD5mKrp0Vvzr7lt3OU09vwQwhkpOPPYv2Y/edit?usp=sharing"",""งบพรบ!BJ76"")"),0)</f>
        <v>0</v>
      </c>
      <c r="M125" s="47">
        <f ca="1">IFERROR(__xludf.DUMMYFUNCTION("IMPORTRANGE(""https://docs.google.com/spreadsheets/d/1-uDff_7J0KD5mKrp0Vvzr7lt3OU09vwQwhkpOPPYv2Y/edit?usp=sharing"",""งบพรบ!BM76"")"),0)</f>
        <v>0</v>
      </c>
      <c r="N125" s="47">
        <f ca="1">IFERROR(__xludf.DUMMYFUNCTION("IMPORTRANGE(""https://docs.google.com/spreadsheets/d/1-uDff_7J0KD5mKrp0Vvzr7lt3OU09vwQwhkpOPPYv2Y/edit?usp=sharing"",""งบพรบ!BO76"")"),0)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IFERROR(__xludf.DUMMYFUNCTION("IMPORTRANGE(""https://docs.google.com/spreadsheets/d/1ItG2mGa2ceCfYo0BwxsXqNm01IGEUdYcSSLTEv9YCik/edit?usp=sharing"",""เบิกจ่ายกองทุน!X76"")"),0)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IFERROR(__xludf.DUMMYFUNCTION("IMPORTRANGE(""https://docs.google.com/spreadsheets/d/1ItG2mGa2ceCfYo0BwxsXqNm01IGEUdYcSSLTEv9YCik/edit?usp=sharing"",""เบิกจ่ายกองทุน!Y76"")"),0)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IFERROR(__xludf.DUMMYFUNCTION("IMPORTRANGE(""https://docs.google.com/spreadsheets/d/1ItG2mGa2ceCfYo0BwxsXqNm01IGEUdYcSSLTEv9YCik/edit?usp=sharing"",""เบิกจ่ายกองทุน!Z76"")"),0)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IFERROR(__xludf.DUMMYFUNCTION("IMPORTRANGE(""https://docs.google.com/spreadsheets/d/1eHaY18a8A9IcSdp1K8H6x8fbOy06t2VsZHhMHf-1x7Y/edit?usp=sharing"",""แผน!FF76"")"),20)</f>
        <v>20</v>
      </c>
      <c r="J127" s="167">
        <v>20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IFERROR(__xludf.DUMMYFUNCTION("IMPORTRANGE(""https://docs.google.com/spreadsheets/d/1eHaY18a8A9IcSdp1K8H6x8fbOy06t2VsZHhMHf-1x7Y/edit?usp=sharing"",""แผน!FG76"")"),0)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IFERROR(__xludf.DUMMYFUNCTION("IMPORTRANGE(""https://docs.google.com/spreadsheets/d/1eHaY18a8A9IcSdp1K8H6x8fbOy06t2VsZHhMHf-1x7Y/edit?usp=sharing"",""แผน!FH76"")"),20)</f>
        <v>20</v>
      </c>
      <c r="J129" s="167">
        <v>20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IFERROR(__xludf.DUMMYFUNCTION("IMPORTRANGE(""https://docs.google.com/spreadsheets/d/1eHaY18a8A9IcSdp1K8H6x8fbOy06t2VsZHhMHf-1x7Y/edit?usp=sharing"",""แผน!FI76"")"),0)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111200</v>
      </c>
      <c r="M139" s="132">
        <f ca="1">M140+M141</f>
        <v>106200</v>
      </c>
      <c r="N139" s="132">
        <f ca="1">N140+N141</f>
        <v>85650</v>
      </c>
      <c r="O139" s="132">
        <f ca="1">IF(L139&gt;0,N139*100/L139,0)</f>
        <v>77.023381294964025</v>
      </c>
      <c r="P139" s="132">
        <f ca="1">IF(M139&gt;0,N139*100/M139,0)</f>
        <v>80.649717514124291</v>
      </c>
      <c r="Q139" s="132">
        <f ca="1">Q140+Q141</f>
        <v>44860</v>
      </c>
      <c r="R139" s="132">
        <f ca="1">R140+R141</f>
        <v>44860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111200</v>
      </c>
      <c r="M141" s="47">
        <f ca="1">M144+M147</f>
        <v>106200</v>
      </c>
      <c r="N141" s="47">
        <f ca="1">N144+N147</f>
        <v>85650</v>
      </c>
      <c r="O141" s="47">
        <f ca="1">IF(L141&gt;0,N141*100/L141,0)</f>
        <v>77.023381294964025</v>
      </c>
      <c r="P141" s="47">
        <f ca="1">IF(M141&gt;0,N141*100/M141,0)</f>
        <v>80.649717514124291</v>
      </c>
      <c r="Q141" s="47">
        <f ca="1">Q144+Q147</f>
        <v>44860</v>
      </c>
      <c r="R141" s="47">
        <f ca="1">R144+R147</f>
        <v>44860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111200</v>
      </c>
      <c r="M142" s="47">
        <f ca="1">M143+M144</f>
        <v>106200</v>
      </c>
      <c r="N142" s="47">
        <f ca="1">N143+N144</f>
        <v>85650</v>
      </c>
      <c r="O142" s="47">
        <f ca="1">IF(L142&gt;0,N142*100/L142,0)</f>
        <v>77.023381294964025</v>
      </c>
      <c r="P142" s="47">
        <f ca="1">IF(M142&gt;0,N142*100/M142,0)</f>
        <v>80.649717514124291</v>
      </c>
      <c r="Q142" s="47">
        <f ca="1">Q143+Q144</f>
        <v>44860</v>
      </c>
      <c r="R142" s="47">
        <f ca="1">R143+R144</f>
        <v>44860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IFERROR(__xludf.DUMMYFUNCTION("IMPORTRANGE(""https://docs.google.com/spreadsheets/d/1-uDff_7J0KD5mKrp0Vvzr7lt3OU09vwQwhkpOPPYv2Y/edit?usp=sharing"",""งบพรบ!BQ76"")"),111200)</f>
        <v>111200</v>
      </c>
      <c r="M144" s="47">
        <f ca="1">IFERROR(__xludf.DUMMYFUNCTION("IMPORTRANGE(""https://docs.google.com/spreadsheets/d/1-uDff_7J0KD5mKrp0Vvzr7lt3OU09vwQwhkpOPPYv2Y/edit?usp=sharing"",""งบพรบ!BV76"")"),106200)</f>
        <v>106200</v>
      </c>
      <c r="N144" s="47">
        <f ca="1">IFERROR(__xludf.DUMMYFUNCTION("IMPORTRANGE(""https://docs.google.com/spreadsheets/d/1-uDff_7J0KD5mKrp0Vvzr7lt3OU09vwQwhkpOPPYv2Y/edit?usp=sharing"",""งบพรบ!BX76"")"),85650)</f>
        <v>85650</v>
      </c>
      <c r="O144" s="47">
        <f ca="1">IF(L144&gt;0,N144*100/L144,0)</f>
        <v>77.023381294964025</v>
      </c>
      <c r="P144" s="47">
        <f ca="1">IF(M144&gt;0,N144*100/M144,0)</f>
        <v>80.649717514124291</v>
      </c>
      <c r="Q144" s="47">
        <f ca="1">IFERROR(__xludf.DUMMYFUNCTION("IMPORTRANGE(""https://docs.google.com/spreadsheets/d/1ItG2mGa2ceCfYo0BwxsXqNm01IGEUdYcSSLTEv9YCik/edit?usp=sharing"",""เบิกจ่ายกองทุน!CF76"")"),44860)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IFERROR(__xludf.DUMMYFUNCTION("IMPORTRANGE(""https://docs.google.com/spreadsheets/d/1ItG2mGa2ceCfYo0BwxsXqNm01IGEUdYcSSLTEv9YCik/edit?usp=sharing"",""เบิกจ่ายกองทุน!CG76"")"),44860)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IFERROR(__xludf.DUMMYFUNCTION("IMPORTRANGE(""https://docs.google.com/spreadsheets/d/1ItG2mGa2ceCfYo0BwxsXqNm01IGEUdYcSSLTEv9YCik/edit?usp=sharing"",""เบิกจ่ายกองทุน!CH76"")"),0)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IFERROR(__xludf.DUMMYFUNCTION("IMPORTRANGE(""https://docs.google.com/spreadsheets/d/1-uDff_7J0KD5mKrp0Vvzr7lt3OU09vwQwhkpOPPYv2Y/edit?usp=sharing"",""งบพรบ!BT76"")"),0)</f>
        <v>0</v>
      </c>
      <c r="M147" s="47">
        <f ca="1">IFERROR(__xludf.DUMMYFUNCTION("IMPORTRANGE(""https://docs.google.com/spreadsheets/d/1-uDff_7J0KD5mKrp0Vvzr7lt3OU09vwQwhkpOPPYv2Y/edit?usp=sharing"",""งบพรบ!BW76"")"),0)</f>
        <v>0</v>
      </c>
      <c r="N147" s="47">
        <f ca="1">IFERROR(__xludf.DUMMYFUNCTION("IMPORTRANGE(""https://docs.google.com/spreadsheets/d/1-uDff_7J0KD5mKrp0Vvzr7lt3OU09vwQwhkpOPPYv2Y/edit?usp=sharing"",""งบพรบ!BY76"")"),0)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IFERROR(__xludf.DUMMYFUNCTION("IMPORTRANGE(""https://docs.google.com/spreadsheets/d/1ItG2mGa2ceCfYo0BwxsXqNm01IGEUdYcSSLTEv9YCik/edit?usp=sharing"",""เบิกจ่ายกองทุน!CI76"")"),0)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IFERROR(__xludf.DUMMYFUNCTION("IMPORTRANGE(""https://docs.google.com/spreadsheets/d/1ItG2mGa2ceCfYo0BwxsXqNm01IGEUdYcSSLTEv9YCik/edit?usp=sharing"",""เบิกจ่ายกองทุน!CJ76"")"),0)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IFERROR(__xludf.DUMMYFUNCTION("IMPORTRANGE(""https://docs.google.com/spreadsheets/d/1ItG2mGa2ceCfYo0BwxsXqNm01IGEUdYcSSLTEv9YCik/edit?usp=sharing"",""เบิกจ่ายกองทุน!CK76"")"),0)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IFERROR(__xludf.DUMMYFUNCTION("IMPORTRANGE(""https://docs.google.com/spreadsheets/d/1eHaY18a8A9IcSdp1K8H6x8fbOy06t2VsZHhMHf-1x7Y/edit?usp=sharing"",""แผน!U76"")"),0)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IFERROR(__xludf.DUMMYFUNCTION("IMPORTRANGE(""https://docs.google.com/spreadsheets/d/1eHaY18a8A9IcSdp1K8H6x8fbOy06t2VsZHhMHf-1x7Y/edit?usp=sharing"",""แผน!V76"")"),0)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IFERROR(__xludf.DUMMYFUNCTION("IMPORTRANGE(""https://docs.google.com/spreadsheets/d/1eHaY18a8A9IcSdp1K8H6x8fbOy06t2VsZHhMHf-1x7Y/edit?usp=sharing"",""แผน!W76"")"),20)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IFERROR(__xludf.DUMMYFUNCTION("IMPORTRANGE(""https://docs.google.com/spreadsheets/d/1eHaY18a8A9IcSdp1K8H6x8fbOy06t2VsZHhMHf-1x7Y/edit?usp=sharing"",""แผน!X76"")"),2)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IFERROR(__xludf.DUMMYFUNCTION("IMPORTRANGE(""https://docs.google.com/spreadsheets/d/1eHaY18a8A9IcSdp1K8H6x8fbOy06t2VsZHhMHf-1x7Y/edit?usp=sharing"",""แผน!Y76"")"),0)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I167</f>
        <v>15</v>
      </c>
      <c r="J156" s="127">
        <f>J167</f>
        <v>27</v>
      </c>
      <c r="K156" s="35">
        <f ca="1">IF(I156&gt;0,J156*100/I156,0)</f>
        <v>180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4500</v>
      </c>
      <c r="M157" s="132">
        <f ca="1">M158+M159</f>
        <v>11670</v>
      </c>
      <c r="N157" s="132">
        <f ca="1">N158+N159</f>
        <v>7825.41</v>
      </c>
      <c r="O157" s="132">
        <f ca="1">IF(L157&gt;0,N157*100/L157,0)</f>
        <v>173.898</v>
      </c>
      <c r="P157" s="132">
        <f ca="1">IF(M157&gt;0,N157*100/M157,0)</f>
        <v>67.055784061696656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4500</v>
      </c>
      <c r="M159" s="47">
        <f ca="1">M162+M165</f>
        <v>11670</v>
      </c>
      <c r="N159" s="47">
        <f ca="1">N162+N165</f>
        <v>7825.41</v>
      </c>
      <c r="O159" s="47">
        <f ca="1">IF(L159&gt;0,N159*100/L159,0)</f>
        <v>173.898</v>
      </c>
      <c r="P159" s="47">
        <f ca="1">IF(M159&gt;0,N159*100/M159,0)</f>
        <v>67.055784061696656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4500</v>
      </c>
      <c r="M160" s="47">
        <f ca="1">M161+M162</f>
        <v>11670</v>
      </c>
      <c r="N160" s="47">
        <f ca="1">N161+N162</f>
        <v>7825.41</v>
      </c>
      <c r="O160" s="47">
        <f ca="1">IF(L160&gt;0,N160*100/L160,0)</f>
        <v>173.898</v>
      </c>
      <c r="P160" s="47">
        <f ca="1">IF(M160&gt;0,N160*100/M160,0)</f>
        <v>67.055784061696656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IFERROR(__xludf.DUMMYFUNCTION("IMPORTRANGE(""https://docs.google.com/spreadsheets/d/1-uDff_7J0KD5mKrp0Vvzr7lt3OU09vwQwhkpOPPYv2Y/edit?usp=sharing"",""งบพรบ!CA76"")"),4500)</f>
        <v>4500</v>
      </c>
      <c r="M162" s="47">
        <f ca="1">IFERROR(__xludf.DUMMYFUNCTION("IMPORTRANGE(""https://docs.google.com/spreadsheets/d/1-uDff_7J0KD5mKrp0Vvzr7lt3OU09vwQwhkpOPPYv2Y/edit?usp=sharing"",""งบพรบ!CF76"")"),11670)</f>
        <v>11670</v>
      </c>
      <c r="N162" s="47">
        <f ca="1">IFERROR(__xludf.DUMMYFUNCTION("IMPORTRANGE(""https://docs.google.com/spreadsheets/d/1-uDff_7J0KD5mKrp0Vvzr7lt3OU09vwQwhkpOPPYv2Y/edit?usp=sharing"",""งบพรบ!CH76"")"),7825.41)</f>
        <v>7825.41</v>
      </c>
      <c r="O162" s="47">
        <f ca="1">IF(L162&gt;0,N162*100/L162,0)</f>
        <v>173.898</v>
      </c>
      <c r="P162" s="47">
        <f ca="1">IF(M162&gt;0,N162*100/M162,0)</f>
        <v>67.055784061696656</v>
      </c>
      <c r="Q162" s="47">
        <f ca="1">IFERROR(__xludf.DUMMYFUNCTION("IMPORTRANGE(""https://docs.google.com/spreadsheets/d/1ItG2mGa2ceCfYo0BwxsXqNm01IGEUdYcSSLTEv9YCik/edit?usp=sharing"",""เบิกจ่ายกองทุน!AM76"")"),0)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IFERROR(__xludf.DUMMYFUNCTION("IMPORTRANGE(""https://docs.google.com/spreadsheets/d/1ItG2mGa2ceCfYo0BwxsXqNm01IGEUdYcSSLTEv9YCik/edit?usp=sharing"",""เบิกจ่ายกองทุน!AN76"")"),0)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IFERROR(__xludf.DUMMYFUNCTION("IMPORTRANGE(""https://docs.google.com/spreadsheets/d/1ItG2mGa2ceCfYo0BwxsXqNm01IGEUdYcSSLTEv9YCik/edit?usp=sharing"",""เบิกจ่ายกองทุน!AO76"")"),0)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IFERROR(__xludf.DUMMYFUNCTION("IMPORTRANGE(""https://docs.google.com/spreadsheets/d/1-uDff_7J0KD5mKrp0Vvzr7lt3OU09vwQwhkpOPPYv2Y/edit?usp=sharing"",""งบพรบ!CD76"")"),0)</f>
        <v>0</v>
      </c>
      <c r="M165" s="47">
        <f ca="1">IFERROR(__xludf.DUMMYFUNCTION("IMPORTRANGE(""https://docs.google.com/spreadsheets/d/1-uDff_7J0KD5mKrp0Vvzr7lt3OU09vwQwhkpOPPYv2Y/edit?usp=sharing"",""งบพรบ!CG76"")"),0)</f>
        <v>0</v>
      </c>
      <c r="N165" s="47">
        <f ca="1">IFERROR(__xludf.DUMMYFUNCTION("IMPORTRANGE(""https://docs.google.com/spreadsheets/d/1-uDff_7J0KD5mKrp0Vvzr7lt3OU09vwQwhkpOPPYv2Y/edit?usp=sharing"",""งบพรบ!CI76"")"),0)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x14ac:dyDescent="0.3">
      <c r="A166" s="138"/>
      <c r="B166" s="139"/>
      <c r="C166" s="386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IFERROR(__xludf.DUMMYFUNCTION("IMPORTRANGE(""https://docs.google.com/spreadsheets/d/1eHaY18a8A9IcSdp1K8H6x8fbOy06t2VsZHhMHf-1x7Y/edit?usp=sharing"",""แผน!Z76"")"),15)</f>
        <v>15</v>
      </c>
      <c r="J167" s="167">
        <v>27</v>
      </c>
      <c r="K167" s="47">
        <f ca="1">IF(I167&gt;0,J167*100/I167,0)</f>
        <v>180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I167</f>
        <v>15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I167</f>
        <v>15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IFERROR(__xludf.DUMMYFUNCTION("IMPORTRANGE(""https://docs.google.com/spreadsheets/d/1-uDff_7J0KD5mKrp0Vvzr7lt3OU09vwQwhkpOPPYv2Y/edit?usp=sharing"",""งบพรบ!CK76"")"),0)</f>
        <v>0</v>
      </c>
      <c r="M178" s="47">
        <f ca="1">IFERROR(__xludf.DUMMYFUNCTION("IMPORTRANGE(""https://docs.google.com/spreadsheets/d/1-uDff_7J0KD5mKrp0Vvzr7lt3OU09vwQwhkpOPPYv2Y/edit?usp=sharing"",""งบพรบ!CP76"")"),0)</f>
        <v>0</v>
      </c>
      <c r="N178" s="47">
        <f ca="1">IFERROR(__xludf.DUMMYFUNCTION("IMPORTRANGE(""https://docs.google.com/spreadsheets/d/1-uDff_7J0KD5mKrp0Vvzr7lt3OU09vwQwhkpOPPYv2Y/edit?usp=sharing"",""งบพรบ!CR76"")"),0)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IFERROR(__xludf.DUMMYFUNCTION("IMPORTRANGE(""https://docs.google.com/spreadsheets/d/1ItG2mGa2ceCfYo0BwxsXqNm01IGEUdYcSSLTEv9YCik/edit?usp=sharing"",""เบิกจ่ายกองทุน!DG76"")"),0)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IFERROR(__xludf.DUMMYFUNCTION("IMPORTRANGE(""https://docs.google.com/spreadsheets/d/1ItG2mGa2ceCfYo0BwxsXqNm01IGEUdYcSSLTEv9YCik/edit?usp=sharing"",""เบิกจ่ายกองทุน!DH76"")"),0)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IFERROR(__xludf.DUMMYFUNCTION("IMPORTRANGE(""https://docs.google.com/spreadsheets/d/1ItG2mGa2ceCfYo0BwxsXqNm01IGEUdYcSSLTEv9YCik/edit?usp=sharing"",""เบิกจ่ายกองทุน!DI76"")"),0)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IFERROR(__xludf.DUMMYFUNCTION("IMPORTRANGE(""https://docs.google.com/spreadsheets/d/1-uDff_7J0KD5mKrp0Vvzr7lt3OU09vwQwhkpOPPYv2Y/edit?usp=sharing"",""งบพรบ!CN76"")"),0)</f>
        <v>0</v>
      </c>
      <c r="M181" s="47">
        <f ca="1">IFERROR(__xludf.DUMMYFUNCTION("IMPORTRANGE(""https://docs.google.com/spreadsheets/d/1-uDff_7J0KD5mKrp0Vvzr7lt3OU09vwQwhkpOPPYv2Y/edit?usp=sharing"",""งบพรบ!CQ76"")"),0)</f>
        <v>0</v>
      </c>
      <c r="N181" s="47">
        <f ca="1">IFERROR(__xludf.DUMMYFUNCTION("IMPORTRANGE(""https://docs.google.com/spreadsheets/d/1-uDff_7J0KD5mKrp0Vvzr7lt3OU09vwQwhkpOPPYv2Y/edit?usp=sharing"",""งบพรบ!CS76"")"),0)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IFERROR(__xludf.DUMMYFUNCTION("IMPORTRANGE(""https://docs.google.com/spreadsheets/d/1eHaY18a8A9IcSdp1K8H6x8fbOy06t2VsZHhMHf-1x7Y/edit?usp=sharing"",""แผน!AA76"")"),0)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41500</v>
      </c>
      <c r="M186" s="132">
        <f ca="1">M187+M188</f>
        <v>48200</v>
      </c>
      <c r="N186" s="132">
        <f ca="1">N187+N188</f>
        <v>4502</v>
      </c>
      <c r="O186" s="132">
        <f ca="1">IF(L186&gt;0,N186*100/L186,0)</f>
        <v>10.848192771084337</v>
      </c>
      <c r="P186" s="132">
        <f ca="1">IF(M186&gt;0,N186*100/M186,0)</f>
        <v>9.3402489626556022</v>
      </c>
      <c r="Q186" s="132">
        <f ca="1">Q187+Q188</f>
        <v>105700</v>
      </c>
      <c r="R186" s="132">
        <f ca="1">R187+R188</f>
        <v>105700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41500</v>
      </c>
      <c r="M188" s="47">
        <f ca="1">M191+M194</f>
        <v>48200</v>
      </c>
      <c r="N188" s="47">
        <f ca="1">N191+N194</f>
        <v>4502</v>
      </c>
      <c r="O188" s="47">
        <f ca="1">IF(L188&gt;0,N188*100/L188,0)</f>
        <v>10.848192771084337</v>
      </c>
      <c r="P188" s="47">
        <f ca="1">IF(M188&gt;0,N188*100/M188,0)</f>
        <v>9.3402489626556022</v>
      </c>
      <c r="Q188" s="47">
        <f ca="1">Q191+Q194</f>
        <v>105700</v>
      </c>
      <c r="R188" s="47">
        <f ca="1">R191+R194</f>
        <v>105700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41500</v>
      </c>
      <c r="M189" s="47">
        <f ca="1">M190+M191</f>
        <v>48200</v>
      </c>
      <c r="N189" s="47">
        <f ca="1">N190+N191</f>
        <v>4502</v>
      </c>
      <c r="O189" s="47">
        <f ca="1">IF(L189&gt;0,N189*100/L189,0)</f>
        <v>10.848192771084337</v>
      </c>
      <c r="P189" s="47">
        <f ca="1">IF(M189&gt;0,N189*100/M189,0)</f>
        <v>9.3402489626556022</v>
      </c>
      <c r="Q189" s="47">
        <f ca="1">Q190+Q191</f>
        <v>105700</v>
      </c>
      <c r="R189" s="47">
        <f ca="1">R190+R191</f>
        <v>105700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IFERROR(__xludf.DUMMYFUNCTION("IMPORTRANGE(""https://docs.google.com/spreadsheets/d/1-uDff_7J0KD5mKrp0Vvzr7lt3OU09vwQwhkpOPPYv2Y/edit?usp=sharing"",""งบพรบ!CU76"")"),41500)</f>
        <v>41500</v>
      </c>
      <c r="M191" s="47">
        <f ca="1">IFERROR(__xludf.DUMMYFUNCTION("IMPORTRANGE(""https://docs.google.com/spreadsheets/d/1-uDff_7J0KD5mKrp0Vvzr7lt3OU09vwQwhkpOPPYv2Y/edit?usp=sharing"",""งบพรบ!CZ76"")"),48200)</f>
        <v>48200</v>
      </c>
      <c r="N191" s="47">
        <f ca="1">IFERROR(__xludf.DUMMYFUNCTION("IMPORTRANGE(""https://docs.google.com/spreadsheets/d/1-uDff_7J0KD5mKrp0Vvzr7lt3OU09vwQwhkpOPPYv2Y/edit?usp=sharing"",""งบพรบ!DB76"")"),4502)</f>
        <v>4502</v>
      </c>
      <c r="O191" s="47">
        <f ca="1">IF(L191&gt;0,N191*100/L191,0)</f>
        <v>10.848192771084337</v>
      </c>
      <c r="P191" s="47">
        <f ca="1">IF(M191&gt;0,N191*100/M191,0)</f>
        <v>9.3402489626556022</v>
      </c>
      <c r="Q191" s="47">
        <f ca="1">IFERROR(__xludf.DUMMYFUNCTION("IMPORTRANGE(""https://docs.google.com/spreadsheets/d/1ItG2mGa2ceCfYo0BwxsXqNm01IGEUdYcSSLTEv9YCik/edit?usp=sharing"",""เบิกจ่ายกองทุน!BQ76"")"),105700)</f>
        <v>105700</v>
      </c>
      <c r="R191" s="47">
        <f ca="1">IFERROR(__xludf.DUMMYFUNCTION("IMPORTRANGE(""https://docs.google.com/spreadsheets/d/1ItG2mGa2ceCfYo0BwxsXqNm01IGEUdYcSSLTEv9YCik/edit?usp=sharing"",""เบิกจ่ายกองทุน!BR76"")"),105700)</f>
        <v>105700</v>
      </c>
      <c r="S191" s="47">
        <f ca="1">IFERROR(__xludf.DUMMYFUNCTION("IMPORTRANGE(""https://docs.google.com/spreadsheets/d/1ItG2mGa2ceCfYo0BwxsXqNm01IGEUdYcSSLTEv9YCik/edit?usp=sharing"",""เบิกจ่ายกองทุน!BS76"")"),0)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IFERROR(__xludf.DUMMYFUNCTION("IMPORTRANGE(""https://docs.google.com/spreadsheets/d/1-uDff_7J0KD5mKrp0Vvzr7lt3OU09vwQwhkpOPPYv2Y/edit?usp=sharing"",""งบพรบ!CX76"")"),0)</f>
        <v>0</v>
      </c>
      <c r="M194" s="47">
        <f ca="1">IFERROR(__xludf.DUMMYFUNCTION("IMPORTRANGE(""https://docs.google.com/spreadsheets/d/1-uDff_7J0KD5mKrp0Vvzr7lt3OU09vwQwhkpOPPYv2Y/edit?usp=sharing"",""งบพรบ!DA76"")"),0)</f>
        <v>0</v>
      </c>
      <c r="N194" s="47">
        <f ca="1">IFERROR(__xludf.DUMMYFUNCTION("IMPORTRANGE(""https://docs.google.com/spreadsheets/d/1-uDff_7J0KD5mKrp0Vvzr7lt3OU09vwQwhkpOPPYv2Y/edit?usp=sharing"",""งบพรบ!DC76"")"),0)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IFERROR(__xludf.DUMMYFUNCTION("IMPORTRANGE(""https://docs.google.com/spreadsheets/d/1ItG2mGa2ceCfYo0BwxsXqNm01IGEUdYcSSLTEv9YCik/edit?usp=sharing"",""เบิกจ่ายกองทุน!BT76"")"),0)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IFERROR(__xludf.DUMMYFUNCTION("IMPORTRANGE(""https://docs.google.com/spreadsheets/d/1ItG2mGa2ceCfYo0BwxsXqNm01IGEUdYcSSLTEv9YCik/edit?usp=sharing"",""เบิกจ่ายกองทุน!BU76"")"),0)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IFERROR(__xludf.DUMMYFUNCTION("IMPORTRANGE(""https://docs.google.com/spreadsheets/d/1ItG2mGa2ceCfYo0BwxsXqNm01IGEUdYcSSLTEv9YCik/edit?usp=sharing"",""เบิกจ่ายกองทุน!BV76"")"),0)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IFERROR(__xludf.DUMMYFUNCTION("IMPORTRANGE(""https://docs.google.com/spreadsheets/d/1eHaY18a8A9IcSdp1K8H6x8fbOy06t2VsZHhMHf-1x7Y/edit?usp=sharing"",""แผน!AB76"")"),6000)</f>
        <v>6000</v>
      </c>
      <c r="M196" s="46"/>
      <c r="N196" s="768">
        <v>0</v>
      </c>
      <c r="O196" s="132">
        <f ca="1">IF(L196&gt;0,N196*100/L196,0)</f>
        <v>0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IFERROR(__xludf.DUMMYFUNCTION("IMPORTRANGE(""https://docs.google.com/spreadsheets/d/1eHaY18a8A9IcSdp1K8H6x8fbOy06t2VsZHhMHf-1x7Y/edit?usp=sharing"",""แผน!AE76"")"),4)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4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56000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IFERROR(__xludf.DUMMYFUNCTION("IMPORTRANGE(""https://docs.google.com/spreadsheets/d/1eHaY18a8A9IcSdp1K8H6x8fbOy06t2VsZHhMHf-1x7Y/edit?usp=sharing"",""แผน!AG76"")"),4000)</f>
        <v>4000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IFERROR(__xludf.DUMMYFUNCTION("IMPORTRANGE(""https://docs.google.com/spreadsheets/d/1eHaY18a8A9IcSdp1K8H6x8fbOy06t2VsZHhMHf-1x7Y/edit?usp=sharing"",""แผน!AH76"")"),0)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IFERROR(__xludf.DUMMYFUNCTION("IMPORTRANGE(""https://docs.google.com/spreadsheets/d/1eHaY18a8A9IcSdp1K8H6x8fbOy06t2VsZHhMHf-1x7Y/edit?usp=sharing"",""แผน!AI76"")"),0)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IFERROR(__xludf.DUMMYFUNCTION("IMPORTRANGE(""https://docs.google.com/spreadsheets/d/1eHaY18a8A9IcSdp1K8H6x8fbOy06t2VsZHhMHf-1x7Y/edit?usp=sharing"",""แผน!LV76"")"),56000)</f>
        <v>56000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IFERROR(__xludf.DUMMYFUNCTION("IMPORTRANGE(""https://docs.google.com/spreadsheets/d/1eHaY18a8A9IcSdp1K8H6x8fbOy06t2VsZHhMHf-1x7Y/edit?usp=sharing"",""แผน!AJ76"")"),21000)</f>
        <v>21000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IFERROR(__xludf.DUMMYFUNCTION("IMPORTRANGE(""https://docs.google.com/spreadsheets/d/1eHaY18a8A9IcSdp1K8H6x8fbOy06t2VsZHhMHf-1x7Y/edit?usp=sharing"",""แผน!AK76"")"),4)</f>
        <v>4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IFERROR(__xludf.DUMMYFUNCTION("IMPORTRANGE(""https://docs.google.com/spreadsheets/d/1eHaY18a8A9IcSdp1K8H6x8fbOy06t2VsZHhMHf-1x7Y/edit?usp=sharing"",""แผน!JX76"")"),2)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IFERROR(__xludf.DUMMYFUNCTION("IMPORTRANGE(""https://docs.google.com/spreadsheets/d/1eHaY18a8A9IcSdp1K8H6x8fbOy06t2VsZHhMHf-1x7Y/edit?usp=sharing"",""แผน!JY76"")"),1)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1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6000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49700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IFERROR(__xludf.DUMMYFUNCTION("IMPORTRANGE(""https://docs.google.com/spreadsheets/d/1eHaY18a8A9IcSdp1K8H6x8fbOy06t2VsZHhMHf-1x7Y/edit?usp=sharing"",""แผน!AM76"")"),1000)</f>
        <v>1000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IFERROR(__xludf.DUMMYFUNCTION("IMPORTRANGE(""https://docs.google.com/spreadsheets/d/1eHaY18a8A9IcSdp1K8H6x8fbOy06t2VsZHhMHf-1x7Y/edit?usp=sharing"",""แผน!AN76"")"),5000)</f>
        <v>5000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IFERROR(__xludf.DUMMYFUNCTION("IMPORTRANGE(""https://docs.google.com/spreadsheets/d/1eHaY18a8A9IcSdp1K8H6x8fbOy06t2VsZHhMHf-1x7Y/edit?usp=sharing"",""แผน!AO76"")"),0)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IFERROR(__xludf.DUMMYFUNCTION("IMPORTRANGE(""https://docs.google.com/spreadsheets/d/1eHaY18a8A9IcSdp1K8H6x8fbOy06t2VsZHhMHf-1x7Y/edit?usp=sharing"",""แผน!LY76"")"),49700)</f>
        <v>49700</v>
      </c>
      <c r="R217" s="46"/>
      <c r="S217" s="742">
        <v>0</v>
      </c>
      <c r="T217" s="136"/>
      <c r="U217" s="46"/>
    </row>
    <row r="218" spans="1:21" ht="19.5" x14ac:dyDescent="0.3">
      <c r="A218" s="138"/>
      <c r="B218" s="139"/>
      <c r="C218" s="386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IFERROR(__xludf.DUMMYFUNCTION("IMPORTRANGE(""https://docs.google.com/spreadsheets/d/1eHaY18a8A9IcSdp1K8H6x8fbOy06t2VsZHhMHf-1x7Y/edit?usp=sharing"",""แผน!AP76"")"),1)</f>
        <v>1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IFERROR(__xludf.DUMMYFUNCTION("IMPORTRANGE(""https://docs.google.com/spreadsheets/d/1eHaY18a8A9IcSdp1K8H6x8fbOy06t2VsZHhMHf-1x7Y/edit?usp=sharing"",""แผน!AP76"")"),1)</f>
        <v>1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IFERROR(__xludf.DUMMYFUNCTION("IMPORTRANGE(""https://docs.google.com/spreadsheets/d/1eHaY18a8A9IcSdp1K8H6x8fbOy06t2VsZHhMHf-1x7Y/edit?usp=sharing"",""แผน!AR76"")"),3000)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IFERROR(__xludf.DUMMYFUNCTION("IMPORTRANGE(""https://docs.google.com/spreadsheets/d/1eHaY18a8A9IcSdp1K8H6x8fbOy06t2VsZHhMHf-1x7Y/edit?usp=sharing"",""แผน!AS76"")"),1500)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IFERROR(__xludf.DUMMYFUNCTION("IMPORTRANGE(""https://docs.google.com/spreadsheets/d/1eHaY18a8A9IcSdp1K8H6x8fbOy06t2VsZHhMHf-1x7Y/edit?usp=sharing"",""แผน!AT76"")"),0)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IFERROR(__xludf.DUMMYFUNCTION("IMPORTRANGE(""https://docs.google.com/spreadsheets/d/1eHaY18a8A9IcSdp1K8H6x8fbOy06t2VsZHhMHf-1x7Y/edit?usp=sharing"",""แผน!AV76"")"),20000)</f>
        <v>20000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IFERROR(__xludf.DUMMYFUNCTION("IMPORTRANGE(""https://docs.google.com/spreadsheets/d/1eHaY18a8A9IcSdp1K8H6x8fbOy06t2VsZHhMHf-1x7Y/edit?usp=sharing"",""แผน!AV76"")"),20000)</f>
        <v>20000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IFERROR(__xludf.DUMMYFUNCTION("IMPORTRANGE(""https://docs.google.com/spreadsheets/d/1eHaY18a8A9IcSdp1K8H6x8fbOy06t2VsZHhMHf-1x7Y/edit?usp=sharing"",""แผน!AU76"")"),0)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IFERROR(__xludf.DUMMYFUNCTION("IMPORTRANGE(""https://docs.google.com/spreadsheets/d/1eHaY18a8A9IcSdp1K8H6x8fbOy06t2VsZHhMHf-1x7Y/edit?usp=sharing"",""แผน!AX76"")"),0)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IFERROR(__xludf.DUMMYFUNCTION("IMPORTRANGE(""https://docs.google.com/spreadsheets/d/1eHaY18a8A9IcSdp1K8H6x8fbOy06t2VsZHhMHf-1x7Y/edit?usp=sharing"",""แผน!AY76"")"),0)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IFERROR(__xludf.DUMMYFUNCTION("IMPORTRANGE(""https://docs.google.com/spreadsheets/d/1eHaY18a8A9IcSdp1K8H6x8fbOy06t2VsZHhMHf-1x7Y/edit?usp=sharing"",""แผน!AZ76"")"),0)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IFERROR(__xludf.DUMMYFUNCTION("IMPORTRANGE(""https://docs.google.com/spreadsheets/d/1eHaY18a8A9IcSdp1K8H6x8fbOy06t2VsZHhMHf-1x7Y/edit?usp=sharing"",""แผน!BA76"")"),0)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IFERROR(__xludf.DUMMYFUNCTION("IMPORTRANGE(""https://docs.google.com/spreadsheets/d/1eHaY18a8A9IcSdp1K8H6x8fbOy06t2VsZHhMHf-1x7Y/edit?usp=sharing"",""แผน!BG76"")"),0)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IFERROR(__xludf.DUMMYFUNCTION("IMPORTRANGE(""https://docs.google.com/spreadsheets/d/1eHaY18a8A9IcSdp1K8H6x8fbOy06t2VsZHhMHf-1x7Y/edit?usp=sharing"",""แผน!BB76"")"),0)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IFERROR(__xludf.DUMMYFUNCTION("IMPORTRANGE(""https://docs.google.com/spreadsheets/d/1eHaY18a8A9IcSdp1K8H6x8fbOy06t2VsZHhMHf-1x7Y/edit?usp=sharing"",""แผน!BC76"")"),0)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IFERROR(__xludf.DUMMYFUNCTION("IMPORTRANGE(""https://docs.google.com/spreadsheets/d/1eHaY18a8A9IcSdp1K8H6x8fbOy06t2VsZHhMHf-1x7Y/edit?usp=sharing"",""แผน!BD76"")"),0)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IFERROR(__xludf.DUMMYFUNCTION("IMPORTRANGE(""https://docs.google.com/spreadsheets/d/1eHaY18a8A9IcSdp1K8H6x8fbOy06t2VsZHhMHf-1x7Y/edit?usp=sharing"",""แผน!BE76"")"),0)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IFERROR(__xludf.DUMMYFUNCTION("IMPORTRANGE(""https://docs.google.com/spreadsheets/d/1eHaY18a8A9IcSdp1K8H6x8fbOy06t2VsZHhMHf-1x7Y/edit?usp=sharing"",""แผน!BH76"")"),0)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24</v>
      </c>
      <c r="J265" s="725">
        <f>J276</f>
        <v>24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19870</v>
      </c>
      <c r="N266" s="421">
        <f ca="1">N267+N268</f>
        <v>9990</v>
      </c>
      <c r="O266" s="421">
        <f ca="1">IF(L266&gt;0,N266*100/L266,0)</f>
        <v>199.8</v>
      </c>
      <c r="P266" s="421">
        <f ca="1">IF(M266&gt;0,N266*100/M266,0)</f>
        <v>50.276799194765978</v>
      </c>
      <c r="Q266" s="421">
        <f ca="1">Q267+Q268</f>
        <v>53440</v>
      </c>
      <c r="R266" s="421">
        <f ca="1">R267+R268</f>
        <v>53440</v>
      </c>
      <c r="S266" s="421">
        <f ca="1">S267+S268</f>
        <v>46626</v>
      </c>
      <c r="T266" s="421">
        <f ca="1">IF(Q266&gt;0,S266*100/Q266,0)</f>
        <v>87.249251497005986</v>
      </c>
      <c r="U266" s="421">
        <f ca="1">IF(R266&gt;0,S266*100/R266,0)</f>
        <v>87.249251497005986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19870</v>
      </c>
      <c r="N268" s="331">
        <f ca="1">N271+N274</f>
        <v>9990</v>
      </c>
      <c r="O268" s="331">
        <f ca="1">IF(L268&gt;0,N268*100/L268,0)</f>
        <v>199.8</v>
      </c>
      <c r="P268" s="331">
        <f ca="1">IF(M268&gt;0,N268*100/M268,0)</f>
        <v>50.276799194765978</v>
      </c>
      <c r="Q268" s="331">
        <f ca="1">Q271+Q274</f>
        <v>53440</v>
      </c>
      <c r="R268" s="331">
        <f ca="1">R271+R274</f>
        <v>53440</v>
      </c>
      <c r="S268" s="331">
        <f ca="1">S271+S274</f>
        <v>46626</v>
      </c>
      <c r="T268" s="331">
        <f ca="1">IF(Q268&gt;0,S268*100/Q268,0)</f>
        <v>87.249251497005986</v>
      </c>
      <c r="U268" s="331">
        <f ca="1">IF(R268&gt;0,S268*100/R268,0)</f>
        <v>87.249251497005986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19870</v>
      </c>
      <c r="N269" s="331">
        <f ca="1">N270+N271</f>
        <v>9990</v>
      </c>
      <c r="O269" s="331">
        <f ca="1">IF(L269&gt;0,N269*100/L269,0)</f>
        <v>199.8</v>
      </c>
      <c r="P269" s="331">
        <f ca="1">IF(M269&gt;0,N269*100/M269,0)</f>
        <v>50.276799194765978</v>
      </c>
      <c r="Q269" s="331">
        <f ca="1">Q270+Q271</f>
        <v>53440</v>
      </c>
      <c r="R269" s="331">
        <f ca="1">R270+R271</f>
        <v>53440</v>
      </c>
      <c r="S269" s="331">
        <f ca="1">S270+S271</f>
        <v>46626</v>
      </c>
      <c r="T269" s="331">
        <f ca="1">IF(Q269&gt;0,S269*100/Q269,0)</f>
        <v>87.249251497005986</v>
      </c>
      <c r="U269" s="331">
        <f ca="1">IF(R269&gt;0,S269*100/R269,0)</f>
        <v>87.249251497005986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IFERROR(__xludf.DUMMYFUNCTION("IMPORTRANGE(""https://docs.google.com/spreadsheets/d/1-uDff_7J0KD5mKrp0Vvzr7lt3OU09vwQwhkpOPPYv2Y/edit?usp=sharing"",""งบพรบ!DE76"")"),5000)</f>
        <v>5000</v>
      </c>
      <c r="M271" s="331">
        <f ca="1">IFERROR(__xludf.DUMMYFUNCTION("IMPORTRANGE(""https://docs.google.com/spreadsheets/d/1-uDff_7J0KD5mKrp0Vvzr7lt3OU09vwQwhkpOPPYv2Y/edit?usp=sharing"",""งบพรบ!DJ76"")"),19870)</f>
        <v>19870</v>
      </c>
      <c r="N271" s="331">
        <f ca="1">IFERROR(__xludf.DUMMYFUNCTION("IMPORTRANGE(""https://docs.google.com/spreadsheets/d/1-uDff_7J0KD5mKrp0Vvzr7lt3OU09vwQwhkpOPPYv2Y/edit?usp=sharing"",""งบพรบ!DL76"")"),9990)</f>
        <v>9990</v>
      </c>
      <c r="O271" s="331">
        <f ca="1">IF(L271&gt;0,N271*100/L271,0)</f>
        <v>199.8</v>
      </c>
      <c r="P271" s="331">
        <f ca="1">IF(M271&gt;0,N271*100/M271,0)</f>
        <v>50.276799194765978</v>
      </c>
      <c r="Q271" s="331">
        <f ca="1">IFERROR(__xludf.DUMMYFUNCTION("IMPORTRANGE(""https://docs.google.com/spreadsheets/d/1ItG2mGa2ceCfYo0BwxsXqNm01IGEUdYcSSLTEv9YCik/edit?usp=sharing"",""เบิกจ่ายกองทุน!AP76"")"),53440)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IFERROR(__xludf.DUMMYFUNCTION("IMPORTRANGE(""https://docs.google.com/spreadsheets/d/1ItG2mGa2ceCfYo0BwxsXqNm01IGEUdYcSSLTEv9YCik/edit?usp=sharing"",""เบิกจ่ายกองทุน!AQ76"")"),53440)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IFERROR(__xludf.DUMMYFUNCTION("IMPORTRANGE(""https://docs.google.com/spreadsheets/d/1ItG2mGa2ceCfYo0BwxsXqNm01IGEUdYcSSLTEv9YCik/edit?usp=sharing"",""เบิกจ่ายกองทุน!AR76"")"),46626)</f>
        <v>46626</v>
      </c>
      <c r="T271" s="331">
        <f ca="1">IF(Q271&gt;0,S271*100/Q271,0)</f>
        <v>87.249251497005986</v>
      </c>
      <c r="U271" s="331">
        <f ca="1">IF(R271&gt;0,S271*100/R271,0)</f>
        <v>87.249251497005986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IFERROR(__xludf.DUMMYFUNCTION("IMPORTRANGE(""https://docs.google.com/spreadsheets/d/1-uDff_7J0KD5mKrp0Vvzr7lt3OU09vwQwhkpOPPYv2Y/edit?usp=sharing"",""งบพรบ!DH76"")"),0)</f>
        <v>0</v>
      </c>
      <c r="M274" s="331">
        <f ca="1">IFERROR(__xludf.DUMMYFUNCTION("IMPORTRANGE(""https://docs.google.com/spreadsheets/d/1-uDff_7J0KD5mKrp0Vvzr7lt3OU09vwQwhkpOPPYv2Y/edit?usp=sharing"",""งบพรบ!DK76"")"),0)</f>
        <v>0</v>
      </c>
      <c r="N274" s="331">
        <f ca="1">IFERROR(__xludf.DUMMYFUNCTION("IMPORTRANGE(""https://docs.google.com/spreadsheets/d/1-uDff_7J0KD5mKrp0Vvzr7lt3OU09vwQwhkpOPPYv2Y/edit?usp=sharing"",""งบพรบ!DM76"")"),0)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IFERROR(__xludf.DUMMYFUNCTION("IMPORTRANGE(""https://docs.google.com/spreadsheets/d/1eHaY18a8A9IcSdp1K8H6x8fbOy06t2VsZHhMHf-1x7Y/edit?usp=sharing"",""แผน!EC76"")"),24)</f>
        <v>24</v>
      </c>
      <c r="J276" s="175">
        <v>24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IFERROR(__xludf.DUMMYFUNCTION("IMPORTRANGE(""https://docs.google.com/spreadsheets/d/1-uDff_7J0KD5mKrp0Vvzr7lt3OU09vwQwhkpOPPYv2Y/edit?usp=sharing"",""งบพรบ!DO76"")"),0)</f>
        <v>0</v>
      </c>
      <c r="M287" s="47">
        <f ca="1">IFERROR(__xludf.DUMMYFUNCTION("IMPORTRANGE(""https://docs.google.com/spreadsheets/d/1-uDff_7J0KD5mKrp0Vvzr7lt3OU09vwQwhkpOPPYv2Y/edit?usp=sharing"",""งบพรบ!DT76"")"),0)</f>
        <v>0</v>
      </c>
      <c r="N287" s="47">
        <f ca="1">IFERROR(__xludf.DUMMYFUNCTION("IMPORTRANGE(""https://docs.google.com/spreadsheets/d/1-uDff_7J0KD5mKrp0Vvzr7lt3OU09vwQwhkpOPPYv2Y/edit?usp=sharing"",""งบพรบ!DV76"")"),0)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IFERROR(__xludf.DUMMYFUNCTION("IMPORTRANGE(""https://docs.google.com/spreadsheets/d/1-uDff_7J0KD5mKrp0Vvzr7lt3OU09vwQwhkpOPPYv2Y/edit?usp=sharing"",""งบพรบ!DR76"")"),0)</f>
        <v>0</v>
      </c>
      <c r="M290" s="47">
        <f ca="1">IFERROR(__xludf.DUMMYFUNCTION("IMPORTRANGE(""https://docs.google.com/spreadsheets/d/1-uDff_7J0KD5mKrp0Vvzr7lt3OU09vwQwhkpOPPYv2Y/edit?usp=sharing"",""งบพรบ!DU76"")"),0)</f>
        <v>0</v>
      </c>
      <c r="N290" s="47">
        <f ca="1">IFERROR(__xludf.DUMMYFUNCTION("IMPORTRANGE(""https://docs.google.com/spreadsheets/d/1-uDff_7J0KD5mKrp0Vvzr7lt3OU09vwQwhkpOPPYv2Y/edit?usp=sharing"",""งบพรบ!DW76"")"),0)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IFERROR(__xludf.DUMMYFUNCTION("IMPORTRANGE(""https://docs.google.com/spreadsheets/d/1eHaY18a8A9IcSdp1K8H6x8fbOy06t2VsZHhMHf-1x7Y/edit?usp=sharing"",""แผน!EE76"")"),0)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IFERROR(__xludf.DUMMYFUNCTION("IMPORTRANGE(""https://docs.google.com/spreadsheets/d/1eHaY18a8A9IcSdp1K8H6x8fbOy06t2VsZHhMHf-1x7Y/edit?usp=sharing"",""แผน!ED76"")"),0)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IFERROR(__xludf.DUMMYFUNCTION("IMPORTRANGE(""https://docs.google.com/spreadsheets/d/1eHaY18a8A9IcSdp1K8H6x8fbOy06t2VsZHhMHf-1x7Y/edit?usp=sharing"",""แผน!ED76"")"),0)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IFERROR(__xludf.DUMMYFUNCTION("IMPORTRANGE(""https://docs.google.com/spreadsheets/d/1eHaY18a8A9IcSdp1K8H6x8fbOy06t2VsZHhMHf-1x7Y/edit?usp=sharing"",""แผน!ED76"")"),0)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30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42893</v>
      </c>
      <c r="T303" s="132">
        <f ca="1">IF(Q303&gt;0,S303*100/Q303,0)</f>
        <v>16.436720045674715</v>
      </c>
      <c r="U303" s="132">
        <f ca="1">IF(R303&gt;0,S303*100/R303,0)</f>
        <v>16.436744610243792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42893</v>
      </c>
      <c r="T305" s="47">
        <f ca="1">IF(Q305&gt;0,S305*100/Q305,0)</f>
        <v>16.436720045674715</v>
      </c>
      <c r="U305" s="47">
        <f ca="1">IF(R305&gt;0,S305*100/R305,0)</f>
        <v>16.436744610243792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42893</v>
      </c>
      <c r="T306" s="47">
        <f ca="1">IF(Q306&gt;0,S306*100/Q306,0)</f>
        <v>16.436720045674715</v>
      </c>
      <c r="U306" s="47">
        <f ca="1">IF(R306&gt;0,S306*100/R306,0)</f>
        <v>16.436744610243792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IFERROR(__xludf.DUMMYFUNCTION("IMPORTRANGE(""https://docs.google.com/spreadsheets/d/1-uDff_7J0KD5mKrp0Vvzr7lt3OU09vwQwhkpOPPYv2Y/edit?usp=sharing"",""งบพรบ!DY76"")"),0)</f>
        <v>0</v>
      </c>
      <c r="M308" s="47">
        <f ca="1">IFERROR(__xludf.DUMMYFUNCTION("IMPORTRANGE(""https://docs.google.com/spreadsheets/d/1-uDff_7J0KD5mKrp0Vvzr7lt3OU09vwQwhkpOPPYv2Y/edit?usp=sharing"",""งบพรบ!ED76"")"),0)</f>
        <v>0</v>
      </c>
      <c r="N308" s="47">
        <f ca="1">IFERROR(__xludf.DUMMYFUNCTION("IMPORTRANGE(""https://docs.google.com/spreadsheets/d/1-uDff_7J0KD5mKrp0Vvzr7lt3OU09vwQwhkpOPPYv2Y/edit?usp=sharing"",""งบพรบ!EF76"")"),0)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IFERROR(__xludf.DUMMYFUNCTION("IMPORTRANGE(""https://docs.google.com/spreadsheets/d/1ItG2mGa2ceCfYo0BwxsXqNm01IGEUdYcSSLTEv9YCik/edit?usp=sharing"",""เบิกจ่ายกองทุน!BB76"")"),260958.39)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IFERROR(__xludf.DUMMYFUNCTION("IMPORTRANGE(""https://docs.google.com/spreadsheets/d/1ItG2mGa2ceCfYo0BwxsXqNm01IGEUdYcSSLTEv9YCik/edit?usp=sharing"",""เบิกจ่ายกองทุน!BC76"")"),260958)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IFERROR(__xludf.DUMMYFUNCTION("IMPORTRANGE(""https://docs.google.com/spreadsheets/d/1ItG2mGa2ceCfYo0BwxsXqNm01IGEUdYcSSLTEv9YCik/edit?usp=sharing"",""เบิกจ่ายกองทุน!BD76"")"),42893)</f>
        <v>42893</v>
      </c>
      <c r="T308" s="47">
        <f ca="1">IF(Q308&gt;0,S308*100/Q308,0)</f>
        <v>16.436720045674715</v>
      </c>
      <c r="U308" s="47">
        <f ca="1">IF(R308&gt;0,S308*100/R308,0)</f>
        <v>16.436744610243792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IFERROR(__xludf.DUMMYFUNCTION("IMPORTRANGE(""https://docs.google.com/spreadsheets/d/1-uDff_7J0KD5mKrp0Vvzr7lt3OU09vwQwhkpOPPYv2Y/edit?usp=sharing"",""งบพรบ!EB76"")"),0)</f>
        <v>0</v>
      </c>
      <c r="M311" s="47">
        <f ca="1">IFERROR(__xludf.DUMMYFUNCTION("IMPORTRANGE(""https://docs.google.com/spreadsheets/d/1-uDff_7J0KD5mKrp0Vvzr7lt3OU09vwQwhkpOPPYv2Y/edit?usp=sharing"",""งบพรบ!EE76"")"),0)</f>
        <v>0</v>
      </c>
      <c r="N311" s="47">
        <f ca="1">IFERROR(__xludf.DUMMYFUNCTION("IMPORTRANGE(""https://docs.google.com/spreadsheets/d/1-uDff_7J0KD5mKrp0Vvzr7lt3OU09vwQwhkpOPPYv2Y/edit?usp=sharing"",""งบพรบ!EG76"")"),0)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IFERROR(__xludf.DUMMYFUNCTION("IMPORTRANGE(""https://docs.google.com/spreadsheets/d/1eHaY18a8A9IcSdp1K8H6x8fbOy06t2VsZHhMHf-1x7Y/edit?usp=sharing"",""แผน!EF76"")"),30)</f>
        <v>30</v>
      </c>
      <c r="J314" s="167">
        <v>30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1</v>
      </c>
      <c r="J319" s="310">
        <f>J330</f>
        <v>1</v>
      </c>
      <c r="K319" s="311">
        <f ca="1">IF(I319&gt;0,J319*100/I319,0)</f>
        <v>100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x14ac:dyDescent="0.3">
      <c r="A320" s="128"/>
      <c r="B320" s="41"/>
      <c r="C320" s="386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4612000</v>
      </c>
      <c r="M320" s="132">
        <f ca="1">M321+M322</f>
        <v>4612000</v>
      </c>
      <c r="N320" s="132">
        <f ca="1">N321+N322</f>
        <v>3790542.1</v>
      </c>
      <c r="O320" s="132">
        <f ca="1">IF(L320&gt;0,N320*100/L320,0)</f>
        <v>82.188683868169989</v>
      </c>
      <c r="P320" s="132">
        <f ca="1">IF(M320&gt;0,N320*100/M320,0)</f>
        <v>82.188683868169989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4612000</v>
      </c>
      <c r="M322" s="47">
        <f ca="1">M325+M328</f>
        <v>4612000</v>
      </c>
      <c r="N322" s="47">
        <f ca="1">N325+N328</f>
        <v>3790542.1</v>
      </c>
      <c r="O322" s="47">
        <f ca="1">IF(L322&gt;0,N322*100/L322,0)</f>
        <v>82.188683868169989</v>
      </c>
      <c r="P322" s="47">
        <f ca="1">IF(M322&gt;0,N322*100/M322,0)</f>
        <v>82.188683868169989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125000</v>
      </c>
      <c r="M323" s="47">
        <f ca="1">M324+M325</f>
        <v>125000</v>
      </c>
      <c r="N323" s="47">
        <f ca="1">N324+N325</f>
        <v>15742.1</v>
      </c>
      <c r="O323" s="47">
        <f ca="1">IF(L323&gt;0,N323*100/L323,0)</f>
        <v>12.593680000000001</v>
      </c>
      <c r="P323" s="47">
        <f ca="1">IF(M323&gt;0,N323*100/M323,0)</f>
        <v>12.593680000000001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IFERROR(__xludf.DUMMYFUNCTION("IMPORTRANGE(""https://docs.google.com/spreadsheets/d/1-uDff_7J0KD5mKrp0Vvzr7lt3OU09vwQwhkpOPPYv2Y/edit?usp=sharing"",""งบพรบ!EI76"")"),125000)</f>
        <v>125000</v>
      </c>
      <c r="M325" s="47">
        <f ca="1">IFERROR(__xludf.DUMMYFUNCTION("IMPORTRANGE(""https://docs.google.com/spreadsheets/d/1-uDff_7J0KD5mKrp0Vvzr7lt3OU09vwQwhkpOPPYv2Y/edit?usp=sharing"",""งบพรบ!EN76"")"),125000)</f>
        <v>125000</v>
      </c>
      <c r="N325" s="47">
        <f ca="1">IFERROR(__xludf.DUMMYFUNCTION("IMPORTRANGE(""https://docs.google.com/spreadsheets/d/1-uDff_7J0KD5mKrp0Vvzr7lt3OU09vwQwhkpOPPYv2Y/edit?usp=sharing"",""งบพรบ!EP76"")"),15742.1)</f>
        <v>15742.1</v>
      </c>
      <c r="O325" s="47">
        <f ca="1">IF(L325&gt;0,N325*100/L325,0)</f>
        <v>12.593680000000001</v>
      </c>
      <c r="P325" s="47">
        <f ca="1">IF(M325&gt;0,N325*100/M325,0)</f>
        <v>12.593680000000001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4487000</v>
      </c>
      <c r="M326" s="47">
        <f ca="1">M327+M328</f>
        <v>4487000</v>
      </c>
      <c r="N326" s="47">
        <f ca="1">N327+N328</f>
        <v>3774800</v>
      </c>
      <c r="O326" s="47">
        <f ca="1">IF(L326&gt;0,N326*100/L326,0)</f>
        <v>84.127479384889682</v>
      </c>
      <c r="P326" s="47">
        <f ca="1">IF(M326&gt;0,N326*100/M326,0)</f>
        <v>84.127479384889682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IFERROR(__xludf.DUMMYFUNCTION("IMPORTRANGE(""https://docs.google.com/spreadsheets/d/1-uDff_7J0KD5mKrp0Vvzr7lt3OU09vwQwhkpOPPYv2Y/edit?usp=sharing"",""งบพรบ!EL76"")"),4487000)</f>
        <v>4487000</v>
      </c>
      <c r="M328" s="47">
        <f ca="1">IFERROR(__xludf.DUMMYFUNCTION("IMPORTRANGE(""https://docs.google.com/spreadsheets/d/1-uDff_7J0KD5mKrp0Vvzr7lt3OU09vwQwhkpOPPYv2Y/edit?usp=sharing"",""งบพรบ!EO76"")"),4487000)</f>
        <v>4487000</v>
      </c>
      <c r="N328" s="47">
        <f ca="1">IFERROR(__xludf.DUMMYFUNCTION("IMPORTRANGE(""https://docs.google.com/spreadsheets/d/1-uDff_7J0KD5mKrp0Vvzr7lt3OU09vwQwhkpOPPYv2Y/edit?usp=sharing"",""งบพรบ!EQ76"")"),3774800)</f>
        <v>3774800</v>
      </c>
      <c r="O328" s="47">
        <f ca="1">IF(L328&gt;0,N328*100/L328,0)</f>
        <v>84.127479384889682</v>
      </c>
      <c r="P328" s="47">
        <f ca="1">IF(M328&gt;0,N328*100/M328,0)</f>
        <v>84.127479384889682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x14ac:dyDescent="0.3">
      <c r="A329" s="138"/>
      <c r="B329" s="139"/>
      <c r="C329" s="386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IFERROR(__xludf.DUMMYFUNCTION("IMPORTRANGE(""https://docs.google.com/spreadsheets/d/1eHaY18a8A9IcSdp1K8H6x8fbOy06t2VsZHhMHf-1x7Y/edit?usp=sharing"",""แผน!EJ76"")"),1)</f>
        <v>1</v>
      </c>
      <c r="J330" s="167">
        <v>1</v>
      </c>
      <c r="K330" s="47">
        <f ca="1">IF(I330&gt;0,J330*100/I330,0)</f>
        <v>100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2060</v>
      </c>
      <c r="J332" s="697">
        <f ca="1">J344+J347+J348+J349+J353</f>
        <v>11256</v>
      </c>
      <c r="K332" s="696">
        <f ca="1">IF(I332&gt;0,J332*100/I332,0)</f>
        <v>546.40776699029129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188000</v>
      </c>
      <c r="M333" s="132">
        <f ca="1">M334+M335</f>
        <v>188000</v>
      </c>
      <c r="N333" s="132">
        <f ca="1">N334+N335</f>
        <v>69774</v>
      </c>
      <c r="O333" s="132">
        <f ca="1">IF(L333&gt;0,N333*100/L333,0)</f>
        <v>37.113829787234046</v>
      </c>
      <c r="P333" s="132">
        <f ca="1">IF(M333&gt;0,N333*100/M333,0)</f>
        <v>37.113829787234046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188000</v>
      </c>
      <c r="M335" s="47">
        <f ca="1">M338+M341</f>
        <v>188000</v>
      </c>
      <c r="N335" s="47">
        <f ca="1">N338+N341</f>
        <v>69774</v>
      </c>
      <c r="O335" s="47">
        <f ca="1">IF(L335&gt;0,N335*100/L335,0)</f>
        <v>37.113829787234046</v>
      </c>
      <c r="P335" s="47">
        <f ca="1">IF(M335&gt;0,N335*100/M335,0)</f>
        <v>37.113829787234046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188000</v>
      </c>
      <c r="M336" s="47">
        <f ca="1">M337+M338</f>
        <v>188000</v>
      </c>
      <c r="N336" s="47">
        <f ca="1">N337+N338</f>
        <v>69774</v>
      </c>
      <c r="O336" s="47">
        <f ca="1">IF(L336&gt;0,N336*100/L336,0)</f>
        <v>37.113829787234046</v>
      </c>
      <c r="P336" s="47">
        <f ca="1">IF(M336&gt;0,N336*100/M336,0)</f>
        <v>37.113829787234046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IFERROR(__xludf.DUMMYFUNCTION("IMPORTRANGE(""https://docs.google.com/spreadsheets/d/1-uDff_7J0KD5mKrp0Vvzr7lt3OU09vwQwhkpOPPYv2Y/edit?usp=sharing"",""งบพรบ!ES76"")"),188000)</f>
        <v>188000</v>
      </c>
      <c r="M338" s="47">
        <f ca="1">IFERROR(__xludf.DUMMYFUNCTION("IMPORTRANGE(""https://docs.google.com/spreadsheets/d/1-uDff_7J0KD5mKrp0Vvzr7lt3OU09vwQwhkpOPPYv2Y/edit?usp=sharing"",""งบพรบ!EX76"")"),188000)</f>
        <v>188000</v>
      </c>
      <c r="N338" s="47">
        <f ca="1">IFERROR(__xludf.DUMMYFUNCTION("IMPORTRANGE(""https://docs.google.com/spreadsheets/d/1-uDff_7J0KD5mKrp0Vvzr7lt3OU09vwQwhkpOPPYv2Y/edit?usp=sharing"",""งบพรบ!EZ76"")"),69774)</f>
        <v>69774</v>
      </c>
      <c r="O338" s="47">
        <f ca="1">IF(L338&gt;0,N338*100/L338,0)</f>
        <v>37.113829787234046</v>
      </c>
      <c r="P338" s="47">
        <f ca="1">IF(M338&gt;0,N338*100/M338,0)</f>
        <v>37.113829787234046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IFERROR(__xludf.DUMMYFUNCTION("IMPORTRANGE(""https://docs.google.com/spreadsheets/d/1-uDff_7J0KD5mKrp0Vvzr7lt3OU09vwQwhkpOPPYv2Y/edit?usp=sharing"",""งบพรบ!EV76"")"),0)</f>
        <v>0</v>
      </c>
      <c r="M341" s="47">
        <f ca="1">IFERROR(__xludf.DUMMYFUNCTION("IMPORTRANGE(""https://docs.google.com/spreadsheets/d/1-uDff_7J0KD5mKrp0Vvzr7lt3OU09vwQwhkpOPPYv2Y/edit?usp=sharing"",""งบพรบ!EY76"")"),0)</f>
        <v>0</v>
      </c>
      <c r="N341" s="47">
        <f ca="1">IFERROR(__xludf.DUMMYFUNCTION("IMPORTRANGE(""https://docs.google.com/spreadsheets/d/1-uDff_7J0KD5mKrp0Vvzr7lt3OU09vwQwhkpOPPYv2Y/edit?usp=sharing"",""งบพรบ!FA76"")"),0)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5001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IFERROR(__xludf.DUMMYFUNCTION("IMPORTRANGE(""https://docs.google.com/spreadsheets/d/1eHaY18a8A9IcSdp1K8H6x8fbOy06t2VsZHhMHf-1x7Y/edit?usp=sharing"",""แผน!EK76"")"),2060)</f>
        <v>2060</v>
      </c>
      <c r="J344" s="152">
        <f ca="1">IFERROR(__xludf.DUMMYFUNCTION("IMPORTRANGE(""https://docs.google.com/spreadsheets/d/1awYsYK3VOup2i3Pq_Yjnu8DRu_mYwSBnCR2QPthd0rU/edit?usp=sharing"",""ศูนย์ยกเว้นโฉนด!D76"")"),4999)</f>
        <v>4999</v>
      </c>
      <c r="K344" s="47">
        <f ca="1">IF(I344&gt;0,J344*100/I344,0)</f>
        <v>242.66990291262135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IFERROR(__xludf.DUMMYFUNCTION("IMPORTRANGE(""https://docs.google.com/spreadsheets/d/1eHaY18a8A9IcSdp1K8H6x8fbOy06t2VsZHhMHf-1x7Y/edit?usp=sharing"",""แผน!EL76"")"),3)</f>
        <v>3</v>
      </c>
      <c r="J346" s="152">
        <f ca="1">IFERROR(__xludf.DUMMYFUNCTION("IMPORTRANGE(""https://docs.google.com/spreadsheets/d/1awYsYK3VOup2i3Pq_Yjnu8DRu_mYwSBnCR2QPthd0rU/edit?usp=sharing"",""ศูนย์รวม!E76"")"),3)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IFERROR(__xludf.DUMMYFUNCTION("IMPORTRANGE(""https://docs.google.com/spreadsheets/d/1awYsYK3VOup2i3Pq_Yjnu8DRu_mYwSBnCR2QPthd0rU/edit?usp=sharing"",""ศูนย์ยกเว้นโฉนด!F76"")"),0)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IFERROR(__xludf.DUMMYFUNCTION("IMPORTRANGE(""https://docs.google.com/spreadsheets/d/1awYsYK3VOup2i3Pq_Yjnu8DRu_mYwSBnCR2QPthd0rU/edit?usp=sharing"",""ศูนย์ยกเว้นโฉนด!G76"")"),2)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IFERROR(__xludf.DUMMYFUNCTION("IMPORTRANGE(""https://docs.google.com/spreadsheets/d/1awYsYK3VOup2i3Pq_Yjnu8DRu_mYwSBnCR2QPthd0rU/edit?usp=sharing"",""ศูนย์ยกเว้นโฉนด!H76"")"),0)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7049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IFERROR(__xludf.DUMMYFUNCTION("IMPORTRANGE(""https://docs.google.com/spreadsheets/d/1awYsYK3VOup2i3Pq_Yjnu8DRu_mYwSBnCR2QPthd0rU/edit?usp=sharing"",""โฉนดM3!G76"")"),794)</f>
        <v>794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IFERROR(__xludf.DUMMYFUNCTION("IMPORTRANGE(""https://docs.google.com/spreadsheets/d/1awYsYK3VOup2i3Pq_Yjnu8DRu_mYwSBnCR2QPthd0rU/edit?usp=sharing"",""โฉนดM3!H76"")"),6255)</f>
        <v>6255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770060</v>
      </c>
      <c r="M356" s="132">
        <f ca="1">M357+M358</f>
        <v>784460</v>
      </c>
      <c r="N356" s="132">
        <f ca="1">N357+N358</f>
        <v>433929.28</v>
      </c>
      <c r="O356" s="132">
        <f ca="1">IF(L356&gt;0,N356*100/L356,0)</f>
        <v>56.350061034205126</v>
      </c>
      <c r="P356" s="132">
        <f ca="1">IF(M356&gt;0,N356*100/M356,0)</f>
        <v>55.31566682813655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770060</v>
      </c>
      <c r="M358" s="47">
        <f ca="1">M361+M364</f>
        <v>784460</v>
      </c>
      <c r="N358" s="47">
        <f ca="1">N361+N364</f>
        <v>433929.28</v>
      </c>
      <c r="O358" s="47">
        <f ca="1">IF(L358&gt;0,N358*100/L358,0)</f>
        <v>56.350061034205126</v>
      </c>
      <c r="P358" s="47">
        <f ca="1">IF(M358&gt;0,N358*100/M358,0)</f>
        <v>55.31566682813655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770060</v>
      </c>
      <c r="M359" s="47">
        <f ca="1">M360+M361</f>
        <v>784460</v>
      </c>
      <c r="N359" s="47">
        <f ca="1">N360+N361</f>
        <v>433929.28</v>
      </c>
      <c r="O359" s="47">
        <f ca="1">IF(L359&gt;0,N359*100/L359,0)</f>
        <v>56.350061034205126</v>
      </c>
      <c r="P359" s="47">
        <f ca="1">IF(M359&gt;0,N359*100/M359,0)</f>
        <v>55.31566682813655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IFERROR(__xludf.DUMMYFUNCTION("IMPORTRANGE(""https://docs.google.com/spreadsheets/d/1-uDff_7J0KD5mKrp0Vvzr7lt3OU09vwQwhkpOPPYv2Y/edit?usp=sharing"",""งบพรบ!FC76"")"),770060)</f>
        <v>770060</v>
      </c>
      <c r="M361" s="47">
        <f ca="1">IFERROR(__xludf.DUMMYFUNCTION("IMPORTRANGE(""https://docs.google.com/spreadsheets/d/1-uDff_7J0KD5mKrp0Vvzr7lt3OU09vwQwhkpOPPYv2Y/edit?usp=sharing"",""งบพรบ!FH76"")"),784460)</f>
        <v>784460</v>
      </c>
      <c r="N361" s="47">
        <f ca="1">IFERROR(__xludf.DUMMYFUNCTION("IMPORTRANGE(""https://docs.google.com/spreadsheets/d/1-uDff_7J0KD5mKrp0Vvzr7lt3OU09vwQwhkpOPPYv2Y/edit?usp=sharing"",""งบพรบ!FJ76"")"),433929.28)</f>
        <v>433929.28</v>
      </c>
      <c r="O361" s="47">
        <f ca="1">IF(L361&gt;0,N361*100/L361,0)</f>
        <v>56.350061034205126</v>
      </c>
      <c r="P361" s="47">
        <f ca="1">IF(M361&gt;0,N361*100/M361,0)</f>
        <v>55.31566682813655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IFERROR(__xludf.DUMMYFUNCTION("IMPORTRANGE(""https://docs.google.com/spreadsheets/d/1-uDff_7J0KD5mKrp0Vvzr7lt3OU09vwQwhkpOPPYv2Y/edit?usp=sharing"",""งบพรบ!FF76"")"),0)</f>
        <v>0</v>
      </c>
      <c r="M364" s="47">
        <f ca="1">IFERROR(__xludf.DUMMYFUNCTION("IMPORTRANGE(""https://docs.google.com/spreadsheets/d/1-uDff_7J0KD5mKrp0Vvzr7lt3OU09vwQwhkpOPPYv2Y/edit?usp=sharing"",""งบพรบ!FI76"")"),0)</f>
        <v>0</v>
      </c>
      <c r="N364" s="47">
        <f ca="1">IFERROR(__xludf.DUMMYFUNCTION("IMPORTRANGE(""https://docs.google.com/spreadsheets/d/1-uDff_7J0KD5mKrp0Vvzr7lt3OU09vwQwhkpOPPYv2Y/edit?usp=sharing"",""งบพรบ!FK76"")"),0)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495</v>
      </c>
      <c r="J365" s="228">
        <f ca="1">J371</f>
        <v>447</v>
      </c>
      <c r="K365" s="229">
        <f ca="1">IF(I365&gt;0,J365*100/I365,0)</f>
        <v>90.303030303030297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IFERROR(__xludf.DUMMYFUNCTION("IMPORTRANGE(""https://docs.google.com/spreadsheets/d/1tdoBKaGub7dwA3U6UFTqxio9LNnvDCQjHKmttSEBsFQ/edit?usp=sharing"",""จัดที่ดิน!AB76"")"),192)</f>
        <v>192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IFERROR(__xludf.DUMMYFUNCTION("IMPORTRANGE(""https://docs.google.com/spreadsheets/d/1eHaY18a8A9IcSdp1K8H6x8fbOy06t2VsZHhMHf-1x7Y/edit?usp=sharing"",""แผน!EW76"")"),1900)</f>
        <v>1900</v>
      </c>
      <c r="J368" s="685">
        <f ca="1">IFERROR(__xludf.DUMMYFUNCTION("IMPORTRANGE(""https://docs.google.com/spreadsheets/d/1tdoBKaGub7dwA3U6UFTqxio9LNnvDCQjHKmttSEBsFQ/edit?usp=sharing"",""จัดที่ดิน!AC76"")"),1760.63999999999)</f>
        <v>1760.6399999999901</v>
      </c>
      <c r="K368" s="47">
        <f ca="1">IF(I368&gt;0,J368*100/I368,0)</f>
        <v>92.665263157894216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IFERROR(__xludf.DUMMYFUNCTION("IMPORTRANGE(""https://docs.google.com/spreadsheets/d/1eHaY18a8A9IcSdp1K8H6x8fbOy06t2VsZHhMHf-1x7Y/edit?usp=sharing"",""แผน!EX76"")"),495)</f>
        <v>495</v>
      </c>
      <c r="J369" s="152">
        <f ca="1">IFERROR(__xludf.DUMMYFUNCTION("IMPORTRANGE(""https://docs.google.com/spreadsheets/d/1tdoBKaGub7dwA3U6UFTqxio9LNnvDCQjHKmttSEBsFQ/edit?usp=sharing"",""จัดที่ดิน!AD76"")"),520)</f>
        <v>520</v>
      </c>
      <c r="K369" s="47">
        <f ca="1">IF(I369&gt;0,J369*100/I369,0)</f>
        <v>105.05050505050505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IFERROR(__xludf.DUMMYFUNCTION("IMPORTRANGE(""https://docs.google.com/spreadsheets/d/1tdoBKaGub7dwA3U6UFTqxio9LNnvDCQjHKmttSEBsFQ/edit?usp=sharing"",""จัดที่ดิน!AE76"")"),6430.37)</f>
        <v>6430.37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IFERROR(__xludf.DUMMYFUNCTION("IMPORTRANGE(""https://docs.google.com/spreadsheets/d/1eHaY18a8A9IcSdp1K8H6x8fbOy06t2VsZHhMHf-1x7Y/edit?usp=sharing"",""แผน!EY76"")"),495)</f>
        <v>495</v>
      </c>
      <c r="J371" s="152">
        <f ca="1">IFERROR(__xludf.DUMMYFUNCTION("IMPORTRANGE(""https://docs.google.com/spreadsheets/d/1tdoBKaGub7dwA3U6UFTqxio9LNnvDCQjHKmttSEBsFQ/edit?usp=sharing"",""จัดที่ดิน!AF76"")"),447)</f>
        <v>447</v>
      </c>
      <c r="K371" s="47">
        <f ca="1">IF(I371&gt;0,J371*100/I371,0)</f>
        <v>90.303030303030297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IFERROR(__xludf.DUMMYFUNCTION("IMPORTRANGE(""https://docs.google.com/spreadsheets/d/1tdoBKaGub7dwA3U6UFTqxio9LNnvDCQjHKmttSEBsFQ/edit?usp=sharing"",""จัดที่ดิน!AG76"")"),5710.50999999999)</f>
        <v>5710.5099999999902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2000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43900</v>
      </c>
      <c r="M375" s="132">
        <f ca="1">M376+M377</f>
        <v>43900</v>
      </c>
      <c r="N375" s="132">
        <f ca="1">N376+N377</f>
        <v>255</v>
      </c>
      <c r="O375" s="132">
        <f ca="1">IF(L375&gt;0,N375*100/L375,0)</f>
        <v>0.5808656036446469</v>
      </c>
      <c r="P375" s="132">
        <f ca="1">IF(M375&gt;0,N375*100/M375,0)</f>
        <v>0.5808656036446469</v>
      </c>
      <c r="Q375" s="132">
        <f ca="1">Q376+Q377</f>
        <v>125000</v>
      </c>
      <c r="R375" s="132">
        <f ca="1">R376+R377</f>
        <v>125000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43900</v>
      </c>
      <c r="M377" s="47">
        <f ca="1">M380+M383</f>
        <v>43900</v>
      </c>
      <c r="N377" s="47">
        <f ca="1">N380+N383</f>
        <v>255</v>
      </c>
      <c r="O377" s="47">
        <f ca="1">IF(L377&gt;0,N377*100/L377,0)</f>
        <v>0.5808656036446469</v>
      </c>
      <c r="P377" s="47">
        <f ca="1">IF(M377&gt;0,N377*100/M377,0)</f>
        <v>0.5808656036446469</v>
      </c>
      <c r="Q377" s="47">
        <f ca="1">Q380+Q383</f>
        <v>125000</v>
      </c>
      <c r="R377" s="47">
        <f ca="1">R380+R383</f>
        <v>125000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43900</v>
      </c>
      <c r="M378" s="47">
        <f ca="1">M379+M380</f>
        <v>43900</v>
      </c>
      <c r="N378" s="47">
        <f ca="1">N379+N380</f>
        <v>255</v>
      </c>
      <c r="O378" s="47">
        <f ca="1">IF(L378&gt;0,N378*100/L378,0)</f>
        <v>0.5808656036446469</v>
      </c>
      <c r="P378" s="47">
        <f ca="1">IF(M378&gt;0,N378*100/M378,0)</f>
        <v>0.5808656036446469</v>
      </c>
      <c r="Q378" s="47">
        <f ca="1">Q379+Q380</f>
        <v>125000</v>
      </c>
      <c r="R378" s="47">
        <f ca="1">R379+R380</f>
        <v>125000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IFERROR(__xludf.DUMMYFUNCTION("IMPORTRANGE(""https://docs.google.com/spreadsheets/d/1-uDff_7J0KD5mKrp0Vvzr7lt3OU09vwQwhkpOPPYv2Y/edit?usp=sharing"",""งบพรบ!IE76"")"),43900)</f>
        <v>43900</v>
      </c>
      <c r="M380" s="47">
        <f ca="1">IFERROR(__xludf.DUMMYFUNCTION("IMPORTRANGE(""https://docs.google.com/spreadsheets/d/1-uDff_7J0KD5mKrp0Vvzr7lt3OU09vwQwhkpOPPYv2Y/edit?usp=sharing"",""งบพรบ!IJ76"")"),43900)</f>
        <v>43900</v>
      </c>
      <c r="N380" s="47">
        <f ca="1">IFERROR(__xludf.DUMMYFUNCTION("IMPORTRANGE(""https://docs.google.com/spreadsheets/d/1-uDff_7J0KD5mKrp0Vvzr7lt3OU09vwQwhkpOPPYv2Y/edit?usp=sharing"",""งบพรบ!IL76"")"),255)</f>
        <v>255</v>
      </c>
      <c r="O380" s="47">
        <f ca="1">IF(L380&gt;0,N380*100/L380,0)</f>
        <v>0.5808656036446469</v>
      </c>
      <c r="P380" s="47">
        <f ca="1">IF(M380&gt;0,N380*100/M380,0)</f>
        <v>0.5808656036446469</v>
      </c>
      <c r="Q380" s="47">
        <f ca="1">IFERROR(__xludf.DUMMYFUNCTION("IMPORTRANGE(""https://docs.google.com/spreadsheets/d/1ItG2mGa2ceCfYo0BwxsXqNm01IGEUdYcSSLTEv9YCik/edit?usp=sharing"",""เบิกจ่ายกองทุน!BW76"")"),125000)</f>
        <v>125000</v>
      </c>
      <c r="R380" s="47">
        <f ca="1">IFERROR(__xludf.DUMMYFUNCTION("IMPORTRANGE(""https://docs.google.com/spreadsheets/d/1ItG2mGa2ceCfYo0BwxsXqNm01IGEUdYcSSLTEv9YCik/edit?usp=sharing"",""เบิกจ่ายกองทุน!BX76"")"),125000)</f>
        <v>125000</v>
      </c>
      <c r="S380" s="47">
        <f ca="1">IFERROR(__xludf.DUMMYFUNCTION("IMPORTRANGE(""https://docs.google.com/spreadsheets/d/1ItG2mGa2ceCfYo0BwxsXqNm01IGEUdYcSSLTEv9YCik/edit?usp=sharing"",""เบิกจ่ายกองทุน!BY76"")"),0)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IFERROR(__xludf.DUMMYFUNCTION("IMPORTRANGE(""https://docs.google.com/spreadsheets/d/1-uDff_7J0KD5mKrp0Vvzr7lt3OU09vwQwhkpOPPYv2Y/edit?usp=sharing"",""งบพรบ!IH76"")"),0)</f>
        <v>0</v>
      </c>
      <c r="M383" s="47">
        <f ca="1">IFERROR(__xludf.DUMMYFUNCTION("IMPORTRANGE(""https://docs.google.com/spreadsheets/d/1-uDff_7J0KD5mKrp0Vvzr7lt3OU09vwQwhkpOPPYv2Y/edit?usp=sharing"",""งบพรบ!IK76"")"),0)</f>
        <v>0</v>
      </c>
      <c r="N383" s="47">
        <f ca="1">IFERROR(__xludf.DUMMYFUNCTION("IMPORTRANGE(""https://docs.google.com/spreadsheets/d/1-uDff_7J0KD5mKrp0Vvzr7lt3OU09vwQwhkpOPPYv2Y/edit?usp=sharing"",""งบพรบ!IM76"")"),0)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IFERROR(__xludf.DUMMYFUNCTION("IMPORTRANGE(""https://docs.google.com/spreadsheets/d/1w5rwWK1o49a35cNtocGL0gxDwhFSTZUQu90BiH9_zqM/edit?usp=sharing"",""RTK!H76"")"),0)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IFERROR(__xludf.DUMMYFUNCTION("IMPORTRANGE(""https://docs.google.com/spreadsheets/d/1w5rwWK1o49a35cNtocGL0gxDwhFSTZUQu90BiH9_zqM/edit?usp=sharing"",""RTK!G76"")"),2000)</f>
        <v>2000</v>
      </c>
      <c r="J386" s="152">
        <f ca="1">IFERROR(__xludf.DUMMYFUNCTION("IMPORTRANGE(""https://docs.google.com/spreadsheets/d/1w5rwWK1o49a35cNtocGL0gxDwhFSTZUQu90BiH9_zqM/edit?usp=sharing"",""RTK!I76"")"),0)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IFERROR(__xludf.DUMMYFUNCTION("IMPORTRANGE(""https://docs.google.com/spreadsheets/d/1w5rwWK1o49a35cNtocGL0gxDwhFSTZUQu90BiH9_zqM/edit?usp=sharing"",""RTK!L76"")"),0)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IFERROR(__xludf.DUMMYFUNCTION("IMPORTRANGE(""https://docs.google.com/spreadsheets/d/1w5rwWK1o49a35cNtocGL0gxDwhFSTZUQu90BiH9_zqM/edit?usp=sharing"",""RTK!K76"")"),0)</f>
        <v>0</v>
      </c>
      <c r="J388" s="330">
        <f ca="1">IFERROR(__xludf.DUMMYFUNCTION("IMPORTRANGE(""https://docs.google.com/spreadsheets/d/1w5rwWK1o49a35cNtocGL0gxDwhFSTZUQu90BiH9_zqM/edit?usp=sharing"",""RTK!M76"")"),0)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IFERROR(__xludf.DUMMYFUNCTION("IMPORTRANGE(""https://docs.google.com/spreadsheets/d/1ItG2mGa2ceCfYo0BwxsXqNm01IGEUdYcSSLTEv9YCik/edit?usp=sharing"",""เบิกจ่ายกองทุน!CL76"")"),0)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IFERROR(__xludf.DUMMYFUNCTION("IMPORTRANGE(""https://docs.google.com/spreadsheets/d/1ItG2mGa2ceCfYo0BwxsXqNm01IGEUdYcSSLTEv9YCik/edit?usp=sharing"",""เบิกจ่ายกองทุน!CM76"")"),0)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IFERROR(__xludf.DUMMYFUNCTION("IMPORTRANGE(""https://docs.google.com/spreadsheets/d/1ItG2mGa2ceCfYo0BwxsXqNm01IGEUdYcSSLTEv9YCik/edit?usp=sharing"",""เบิกจ่ายกองทุน!CN76"")"),0)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170340</v>
      </c>
      <c r="M413" s="132">
        <f ca="1">M414+M415</f>
        <v>420340</v>
      </c>
      <c r="N413" s="132">
        <f ca="1">N414+N415</f>
        <v>250000</v>
      </c>
      <c r="O413" s="132">
        <f ca="1">IF(L413&gt;0,N413*100/L413,0)</f>
        <v>146.76529294352471</v>
      </c>
      <c r="P413" s="132">
        <f ca="1">IF(M413&gt;0,N413*100/M413,0)</f>
        <v>59.475662558880906</v>
      </c>
      <c r="Q413" s="132">
        <f ca="1">Q414+Q415</f>
        <v>18050</v>
      </c>
      <c r="R413" s="132">
        <f ca="1">R414+R415</f>
        <v>18050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170340</v>
      </c>
      <c r="M415" s="47">
        <f ca="1">M418+M421</f>
        <v>420340</v>
      </c>
      <c r="N415" s="47">
        <f ca="1">N418+N421</f>
        <v>250000</v>
      </c>
      <c r="O415" s="47">
        <f ca="1">IF(L415&gt;0,N415*100/L415,0)</f>
        <v>146.76529294352471</v>
      </c>
      <c r="P415" s="47">
        <f ca="1">IF(M415&gt;0,N415*100/M415,0)</f>
        <v>59.475662558880906</v>
      </c>
      <c r="Q415" s="47">
        <f ca="1">Q418+Q421</f>
        <v>18050</v>
      </c>
      <c r="R415" s="47">
        <f ca="1">R418+R421</f>
        <v>18050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170340</v>
      </c>
      <c r="M416" s="47">
        <f ca="1">M417+M418</f>
        <v>420340</v>
      </c>
      <c r="N416" s="47">
        <f ca="1">N417+N418</f>
        <v>250000</v>
      </c>
      <c r="O416" s="47">
        <f ca="1">IF(L416&gt;0,N416*100/L416,0)</f>
        <v>146.76529294352471</v>
      </c>
      <c r="P416" s="47">
        <f ca="1">IF(M416&gt;0,N416*100/M416,0)</f>
        <v>59.475662558880906</v>
      </c>
      <c r="Q416" s="47">
        <f ca="1">Q417+Q418</f>
        <v>18050</v>
      </c>
      <c r="R416" s="47">
        <f ca="1">R417+R418</f>
        <v>18050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IFERROR(__xludf.DUMMYFUNCTION("IMPORTRANGE(""https://docs.google.com/spreadsheets/d/1-uDff_7J0KD5mKrp0Vvzr7lt3OU09vwQwhkpOPPYv2Y/edit?usp=sharing"",""งบพรบ!IO76"")"),170340)</f>
        <v>170340</v>
      </c>
      <c r="M418" s="47">
        <f ca="1">IFERROR(__xludf.DUMMYFUNCTION("IMPORTRANGE(""https://docs.google.com/spreadsheets/d/1-uDff_7J0KD5mKrp0Vvzr7lt3OU09vwQwhkpOPPYv2Y/edit?usp=sharing"",""งบพรบ!IT76"")"),420340)</f>
        <v>420340</v>
      </c>
      <c r="N418" s="47">
        <f ca="1">IFERROR(__xludf.DUMMYFUNCTION("IMPORTRANGE(""https://docs.google.com/spreadsheets/d/1-uDff_7J0KD5mKrp0Vvzr7lt3OU09vwQwhkpOPPYv2Y/edit?usp=sharing"",""งบพรบ!IV76"")"),250000)</f>
        <v>250000</v>
      </c>
      <c r="O418" s="47">
        <f ca="1">IF(L418&gt;0,N418*100/L418,0)</f>
        <v>146.76529294352471</v>
      </c>
      <c r="P418" s="47">
        <f ca="1">IF(M418&gt;0,N418*100/M418,0)</f>
        <v>59.475662558880906</v>
      </c>
      <c r="Q418" s="47">
        <f ca="1">IFERROR(__xludf.DUMMYFUNCTION("IMPORTRANGE(""https://docs.google.com/spreadsheets/d/1ItG2mGa2ceCfYo0BwxsXqNm01IGEUdYcSSLTEv9YCik/edit?usp=sharing"",""เบิกจ่ายกองทุน!BZ76"")"),18050)</f>
        <v>18050</v>
      </c>
      <c r="R418" s="47">
        <f ca="1">IFERROR(__xludf.DUMMYFUNCTION("IMPORTRANGE(""https://docs.google.com/spreadsheets/d/1ItG2mGa2ceCfYo0BwxsXqNm01IGEUdYcSSLTEv9YCik/edit?usp=sharing"",""เบิกจ่ายกองทุน!CA76"")"),18050)</f>
        <v>18050</v>
      </c>
      <c r="S418" s="47">
        <f ca="1">IFERROR(__xludf.DUMMYFUNCTION("IMPORTRANGE(""https://docs.google.com/spreadsheets/d/1ItG2mGa2ceCfYo0BwxsXqNm01IGEUdYcSSLTEv9YCik/edit?usp=sharing"",""เบิกจ่ายกองทุน!CB76"")"),0)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IFERROR(__xludf.DUMMYFUNCTION("IMPORTRANGE(""https://docs.google.com/spreadsheets/d/1-uDff_7J0KD5mKrp0Vvzr7lt3OU09vwQwhkpOPPYv2Y/edit?usp=sharing"",""งบพรบ!IR76"")"),0)</f>
        <v>0</v>
      </c>
      <c r="M421" s="47">
        <f ca="1">IFERROR(__xludf.DUMMYFUNCTION("IMPORTRANGE(""https://docs.google.com/spreadsheets/d/1-uDff_7J0KD5mKrp0Vvzr7lt3OU09vwQwhkpOPPYv2Y/edit?usp=sharing"",""งบพรบ!IU76"")"),0)</f>
        <v>0</v>
      </c>
      <c r="N421" s="47">
        <f ca="1">IFERROR(__xludf.DUMMYFUNCTION("IMPORTRANGE(""https://docs.google.com/spreadsheets/d/1-uDff_7J0KD5mKrp0Vvzr7lt3OU09vwQwhkpOPPYv2Y/edit?usp=sharing"",""งบพรบ!IW76"")"),0)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IFERROR(__xludf.DUMMYFUNCTION("IMPORTRANGE(""https://docs.google.com/spreadsheets/d/1eHaY18a8A9IcSdp1K8H6x8fbOy06t2VsZHhMHf-1x7Y/edit?usp=sharing"",""แผน!HJ76"")"),0)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IFERROR(__xludf.DUMMYFUNCTION("IMPORTRANGE(""https://docs.google.com/spreadsheets/d/1eHaY18a8A9IcSdp1K8H6x8fbOy06t2VsZHhMHf-1x7Y/edit?usp=sharing"",""แผน!HK76"")"),0)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IFERROR(__xludf.DUMMYFUNCTION("IMPORTRANGE(""https://docs.google.com/spreadsheets/d/1eHaY18a8A9IcSdp1K8H6x8fbOy06t2VsZHhMHf-1x7Y/edit?usp=sharing"",""แผน!HJ76"")"),0)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IFERROR(__xludf.DUMMYFUNCTION("IMPORTRANGE(""https://docs.google.com/spreadsheets/d/1eHaY18a8A9IcSdp1K8H6x8fbOy06t2VsZHhMHf-1x7Y/edit?usp=sharing"",""แผน!HK76"")"),0)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IFERROR(__xludf.DUMMYFUNCTION("IMPORTRANGE(""https://docs.google.com/spreadsheets/d/1eHaY18a8A9IcSdp1K8H6x8fbOy06t2VsZHhMHf-1x7Y/edit?usp=sharing"",""แผน!HJ76"")"),0)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IFERROR(__xludf.DUMMYFUNCTION("IMPORTRANGE(""https://docs.google.com/spreadsheets/d/1eHaY18a8A9IcSdp1K8H6x8fbOy06t2VsZHhMHf-1x7Y/edit?usp=sharing"",""แผน!HK76"")"),0)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424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IFERROR(__xludf.DUMMYFUNCTION("IMPORTRANGE(""https://docs.google.com/spreadsheets/d/1eHaY18a8A9IcSdp1K8H6x8fbOy06t2VsZHhMHf-1x7Y/edit?usp=sharing"",""แผน!HL76"")"),424)</f>
        <v>424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IFERROR(__xludf.DUMMYFUNCTION("IMPORTRANGE(""https://docs.google.com/spreadsheets/d/1eHaY18a8A9IcSdp1K8H6x8fbOy06t2VsZHhMHf-1x7Y/edit?usp=sharing"",""แผน!HM76"")"),0)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50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x14ac:dyDescent="0.3">
      <c r="A493" s="128"/>
      <c r="B493" s="159"/>
      <c r="C493" s="386" t="s">
        <v>18</v>
      </c>
      <c r="D493" s="650" t="s">
        <v>19</v>
      </c>
      <c r="E493" s="530"/>
      <c r="F493" s="530"/>
      <c r="G493" s="531"/>
      <c r="H493" s="232" t="s">
        <v>14</v>
      </c>
      <c r="I493" s="45"/>
      <c r="J493" s="45"/>
      <c r="K493" s="46"/>
      <c r="L493" s="550">
        <f ca="1">L494+L495</f>
        <v>28100</v>
      </c>
      <c r="M493" s="132">
        <f ca="1">M494+M495</f>
        <v>28100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648025</v>
      </c>
      <c r="R493" s="132">
        <f ca="1">R494+R495</f>
        <v>648025</v>
      </c>
      <c r="S493" s="132">
        <f ca="1">S494+S495</f>
        <v>258007</v>
      </c>
      <c r="T493" s="132">
        <f ca="1">IF(Q493&gt;0,S493*100/Q493,0)</f>
        <v>39.814359013926932</v>
      </c>
      <c r="U493" s="132">
        <f ca="1">IF(R493&gt;0,S493*100/R493,0)</f>
        <v>39.814359013926932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28100</v>
      </c>
      <c r="M495" s="47">
        <f ca="1">M498+M501</f>
        <v>28100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648025</v>
      </c>
      <c r="R495" s="47">
        <f ca="1">R498+R501</f>
        <v>648025</v>
      </c>
      <c r="S495" s="47">
        <f ca="1">S498+S501</f>
        <v>258007</v>
      </c>
      <c r="T495" s="47">
        <f ca="1">IF(Q495&gt;0,S495*100/Q495,0)</f>
        <v>39.814359013926932</v>
      </c>
      <c r="U495" s="47">
        <f ca="1">IF(R495&gt;0,S495*100/R495,0)</f>
        <v>39.814359013926932</v>
      </c>
    </row>
    <row r="496" spans="1:21" ht="18.75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28100</v>
      </c>
      <c r="M496" s="47">
        <f ca="1">M497+M498</f>
        <v>28100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648025</v>
      </c>
      <c r="R496" s="47">
        <f ca="1">R497+R498</f>
        <v>648025</v>
      </c>
      <c r="S496" s="47">
        <f ca="1">S497+S498</f>
        <v>258007</v>
      </c>
      <c r="T496" s="47">
        <f ca="1">IF(Q496&gt;0,S496*100/Q496,0)</f>
        <v>39.814359013926932</v>
      </c>
      <c r="U496" s="47">
        <f ca="1">IF(R496&gt;0,S496*100/R496,0)</f>
        <v>39.814359013926932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IFERROR(__xludf.DUMMYFUNCTION("IMPORTRANGE(""https://docs.google.com/spreadsheets/d/1-uDff_7J0KD5mKrp0Vvzr7lt3OU09vwQwhkpOPPYv2Y/edit?usp=sharing"",""งบพรบ!HU76"")"),28100)</f>
        <v>28100</v>
      </c>
      <c r="M498" s="47">
        <f ca="1">IFERROR(__xludf.DUMMYFUNCTION("IMPORTRANGE(""https://docs.google.com/spreadsheets/d/1-uDff_7J0KD5mKrp0Vvzr7lt3OU09vwQwhkpOPPYv2Y/edit?usp=sharing"",""งบพรบ!HZ76"")"),28100)</f>
        <v>28100</v>
      </c>
      <c r="N498" s="47">
        <f ca="1">IFERROR(__xludf.DUMMYFUNCTION("IMPORTRANGE(""https://docs.google.com/spreadsheets/d/1-uDff_7J0KD5mKrp0Vvzr7lt3OU09vwQwhkpOPPYv2Y/edit?usp=sharing"",""งบพรบ!IB76"")"),0)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IFERROR(__xludf.DUMMYFUNCTION("IMPORTRANGE(""https://docs.google.com/spreadsheets/d/1ItG2mGa2ceCfYo0BwxsXqNm01IGEUdYcSSLTEv9YCik/edit?usp=sharing"",""เบิกจ่ายกองทุน!AD76"")"),648025)</f>
        <v>648025</v>
      </c>
      <c r="R498" s="47">
        <f ca="1">IFERROR(__xludf.DUMMYFUNCTION("IMPORTRANGE(""https://docs.google.com/spreadsheets/d/1ItG2mGa2ceCfYo0BwxsXqNm01IGEUdYcSSLTEv9YCik/edit?usp=sharing"",""เบิกจ่ายกองทุน!AE76"")"),648025)</f>
        <v>648025</v>
      </c>
      <c r="S498" s="47">
        <f ca="1">IFERROR(__xludf.DUMMYFUNCTION("IMPORTRANGE(""https://docs.google.com/spreadsheets/d/1ItG2mGa2ceCfYo0BwxsXqNm01IGEUdYcSSLTEv9YCik/edit?usp=sharing"",""เบิกจ่ายกองทุน!AF76"")"),258007)</f>
        <v>258007</v>
      </c>
      <c r="T498" s="47">
        <f ca="1">IF(Q498&gt;0,S498*100/Q498,0)</f>
        <v>39.814359013926932</v>
      </c>
      <c r="U498" s="47">
        <f ca="1">IF(R498&gt;0,S498*100/R498,0)</f>
        <v>39.814359013926932</v>
      </c>
    </row>
    <row r="499" spans="1:21" ht="18.75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IFERROR(__xludf.DUMMYFUNCTION("IMPORTRANGE(""https://docs.google.com/spreadsheets/d/1-uDff_7J0KD5mKrp0Vvzr7lt3OU09vwQwhkpOPPYv2Y/edit?usp=sharing"",""งบพรบ!HX76"")"),0)</f>
        <v>0</v>
      </c>
      <c r="M501" s="47">
        <f ca="1">IFERROR(__xludf.DUMMYFUNCTION("IMPORTRANGE(""https://docs.google.com/spreadsheets/d/1-uDff_7J0KD5mKrp0Vvzr7lt3OU09vwQwhkpOPPYv2Y/edit?usp=sharing"",""งบพรบ!IA76"")"),0)</f>
        <v>0</v>
      </c>
      <c r="N501" s="47">
        <f ca="1">IFERROR(__xludf.DUMMYFUNCTION("IMPORTRANGE(""https://docs.google.com/spreadsheets/d/1-uDff_7J0KD5mKrp0Vvzr7lt3OU09vwQwhkpOPPYv2Y/edit?usp=sharing"",""งบพรบ!IC76"")"),0)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x14ac:dyDescent="0.3">
      <c r="A502" s="138"/>
      <c r="B502" s="139"/>
      <c r="C502" s="386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IFERROR(__xludf.DUMMYFUNCTION("IMPORTRANGE(""https://docs.google.com/spreadsheets/d/1eHaY18a8A9IcSdp1K8H6x8fbOy06t2VsZHhMHf-1x7Y/edit?usp=sharing"",""แผน!GX76"")"),50)</f>
        <v>50</v>
      </c>
      <c r="J503" s="147">
        <f ca="1">IF(AND(J504=I503,J505=I503,J506=I503,J507=I503),I503,0)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IFERROR(__xludf.DUMMYFUNCTION("IMPORTRANGE(""https://docs.google.com/spreadsheets/d/1eHaY18a8A9IcSdp1K8H6x8fbOy06t2VsZHhMHf-1x7Y/edit?usp=sharing"",""แผน!GY76"")"),0)</f>
        <v>0</v>
      </c>
      <c r="J504" s="167">
        <v>50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IFERROR(__xludf.DUMMYFUNCTION("IMPORTRANGE(""https://docs.google.com/spreadsheets/d/1eHaY18a8A9IcSdp1K8H6x8fbOy06t2VsZHhMHf-1x7Y/edit?usp=sharing"",""แผน!GZ76"")"),0)</f>
        <v>0</v>
      </c>
      <c r="J505" s="167">
        <v>50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IFERROR(__xludf.DUMMYFUNCTION("IMPORTRANGE(""https://docs.google.com/spreadsheets/d/1eHaY18a8A9IcSdp1K8H6x8fbOy06t2VsZHhMHf-1x7Y/edit?usp=sharing"",""แผน!HA76"")"),0)</f>
        <v>0</v>
      </c>
      <c r="J506" s="167">
        <v>50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IFERROR(__xludf.DUMMYFUNCTION("IMPORTRANGE(""https://docs.google.com/spreadsheets/d/1eHaY18a8A9IcSdp1K8H6x8fbOy06t2VsZHhMHf-1x7Y/edit?usp=sharing"",""แผน!HB76"")"),0)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IFERROR(__xludf.DUMMYFUNCTION("IMPORTRANGE(""https://docs.google.com/spreadsheets/d/1eHaY18a8A9IcSdp1K8H6x8fbOy06t2VsZHhMHf-1x7Y/edit?usp=sharing"",""แผน!HC76"")"),0)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6"/>
      <c r="M510" s="835"/>
      <c r="N510" s="835"/>
      <c r="O510" s="835"/>
      <c r="P510" s="835"/>
      <c r="Q510" s="835"/>
      <c r="R510" s="835"/>
      <c r="S510" s="835"/>
      <c r="T510" s="835"/>
      <c r="U510" s="835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IFERROR(__xludf.DUMMYFUNCTION("IMPORTRANGE(""https://docs.google.com/spreadsheets/d/1-uDff_7J0KD5mKrp0Vvzr7lt3OU09vwQwhkpOPPYv2Y/edit?usp=sharing"",""งบพรบ!FM76"")"),0)</f>
        <v>0</v>
      </c>
      <c r="M518" s="47">
        <f ca="1">IFERROR(__xludf.DUMMYFUNCTION("IMPORTRANGE(""https://docs.google.com/spreadsheets/d/1-uDff_7J0KD5mKrp0Vvzr7lt3OU09vwQwhkpOPPYv2Y/edit?usp=sharing"",""งบพรบ!FR76"")"),0)</f>
        <v>0</v>
      </c>
      <c r="N518" s="47">
        <f ca="1">IFERROR(__xludf.DUMMYFUNCTION("IMPORTRANGE(""https://docs.google.com/spreadsheets/d/1-uDff_7J0KD5mKrp0Vvzr7lt3OU09vwQwhkpOPPYv2Y/edit?usp=sharing"",""งบพรบ!FT76"")"),0)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IFERROR(__xludf.DUMMYFUNCTION("IMPORTRANGE(""https://docs.google.com/spreadsheets/d/1-uDff_7J0KD5mKrp0Vvzr7lt3OU09vwQwhkpOPPYv2Y/edit?usp=sharing"",""งบพรบ!FP76"")"),0)</f>
        <v>0</v>
      </c>
      <c r="M521" s="47">
        <f ca="1">IFERROR(__xludf.DUMMYFUNCTION("IMPORTRANGE(""https://docs.google.com/spreadsheets/d/1-uDff_7J0KD5mKrp0Vvzr7lt3OU09vwQwhkpOPPYv2Y/edit?usp=sharing"",""งบพรบ!FS76"")"),0)</f>
        <v>0</v>
      </c>
      <c r="N521" s="47">
        <f ca="1">IFERROR(__xludf.DUMMYFUNCTION("IMPORTRANGE(""https://docs.google.com/spreadsheets/d/1-uDff_7J0KD5mKrp0Vvzr7lt3OU09vwQwhkpOPPYv2Y/edit?usp=sharing"",""งบพรบ!FU76"")"),0)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IFERROR(__xludf.DUMMYFUNCTION("IMPORTRANGE(""https://docs.google.com/spreadsheets/d/1-uDff_7J0KD5mKrp0Vvzr7lt3OU09vwQwhkpOPPYv2Y/edit?usp=sharing"",""งบพรบ!FW76"")"),0)</f>
        <v>0</v>
      </c>
      <c r="M539" s="47">
        <f ca="1">IFERROR(__xludf.DUMMYFUNCTION("IMPORTRANGE(""https://docs.google.com/spreadsheets/d/1-uDff_7J0KD5mKrp0Vvzr7lt3OU09vwQwhkpOPPYv2Y/edit?usp=sharing"",""งบพรบ!GB76"")"),0)</f>
        <v>0</v>
      </c>
      <c r="N539" s="47">
        <f ca="1">IFERROR(__xludf.DUMMYFUNCTION("IMPORTRANGE(""https://docs.google.com/spreadsheets/d/1-uDff_7J0KD5mKrp0Vvzr7lt3OU09vwQwhkpOPPYv2Y/edit?usp=sharing"",""งบพรบ!GD76"")"),0)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IFERROR(__xludf.DUMMYFUNCTION("IMPORTRANGE(""https://docs.google.com/spreadsheets/d/1-uDff_7J0KD5mKrp0Vvzr7lt3OU09vwQwhkpOPPYv2Y/edit?usp=sharing"",""งบพรบ!FZ76"")"),0)</f>
        <v>0</v>
      </c>
      <c r="M542" s="47">
        <f ca="1">IFERROR(__xludf.DUMMYFUNCTION("IMPORTRANGE(""https://docs.google.com/spreadsheets/d/1-uDff_7J0KD5mKrp0Vvzr7lt3OU09vwQwhkpOPPYv2Y/edit?usp=sharing"",""งบพรบ!GC76"")"),0)</f>
        <v>0</v>
      </c>
      <c r="N542" s="47">
        <f ca="1">IFERROR(__xludf.DUMMYFUNCTION("IMPORTRANGE(""https://docs.google.com/spreadsheets/d/1-uDff_7J0KD5mKrp0Vvzr7lt3OU09vwQwhkpOPPYv2Y/edit?usp=sharing"",""งบพรบ!GE76"")"),0)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IFERROR(__xludf.DUMMYFUNCTION("IMPORTRANGE(""https://docs.google.com/spreadsheets/d/1-uDff_7J0KD5mKrp0Vvzr7lt3OU09vwQwhkpOPPYv2Y/edit?usp=sharing"",""งบพรบ!GG76"")"),0)</f>
        <v>0</v>
      </c>
      <c r="M560" s="47">
        <f ca="1">IFERROR(__xludf.DUMMYFUNCTION("IMPORTRANGE(""https://docs.google.com/spreadsheets/d/1-uDff_7J0KD5mKrp0Vvzr7lt3OU09vwQwhkpOPPYv2Y/edit?usp=sharing"",""งบพรบ!GL76"")"),0)</f>
        <v>0</v>
      </c>
      <c r="N560" s="47">
        <f ca="1">IFERROR(__xludf.DUMMYFUNCTION("IMPORTRANGE(""https://docs.google.com/spreadsheets/d/1-uDff_7J0KD5mKrp0Vvzr7lt3OU09vwQwhkpOPPYv2Y/edit?usp=sharing"",""งบพรบ!GN76"")"),0)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IFERROR(__xludf.DUMMYFUNCTION("IMPORTRANGE(""https://docs.google.com/spreadsheets/d/1-uDff_7J0KD5mKrp0Vvzr7lt3OU09vwQwhkpOPPYv2Y/edit?usp=sharing"",""งบพรบ!GJ76"")"),0)</f>
        <v>0</v>
      </c>
      <c r="M563" s="47">
        <f ca="1">IFERROR(__xludf.DUMMYFUNCTION("IMPORTRANGE(""https://docs.google.com/spreadsheets/d/1-uDff_7J0KD5mKrp0Vvzr7lt3OU09vwQwhkpOPPYv2Y/edit?usp=sharing"",""งบพรบ!GM76"")"),0)</f>
        <v>0</v>
      </c>
      <c r="N563" s="47">
        <f ca="1">IFERROR(__xludf.DUMMYFUNCTION("IMPORTRANGE(""https://docs.google.com/spreadsheets/d/1-uDff_7J0KD5mKrp0Vvzr7lt3OU09vwQwhkpOPPYv2Y/edit?usp=sharing"",""งบพรบ!GO76"")"),0)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5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326820</v>
      </c>
      <c r="M576" s="132">
        <f ca="1">M577+M578</f>
        <v>326820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326820</v>
      </c>
      <c r="M578" s="47">
        <f ca="1">M581+M584</f>
        <v>326820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326820</v>
      </c>
      <c r="M579" s="47">
        <f ca="1">M580+M581</f>
        <v>326820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IFERROR(__xludf.DUMMYFUNCTION("IMPORTRANGE(""https://docs.google.com/spreadsheets/d/1-uDff_7J0KD5mKrp0Vvzr7lt3OU09vwQwhkpOPPYv2Y/edit?usp=sharing"",""งบพรบ!GQ76"")"),326820)</f>
        <v>326820</v>
      </c>
      <c r="M581" s="47">
        <f ca="1">IFERROR(__xludf.DUMMYFUNCTION("IMPORTRANGE(""https://docs.google.com/spreadsheets/d/1-uDff_7J0KD5mKrp0Vvzr7lt3OU09vwQwhkpOPPYv2Y/edit?usp=sharing"",""งบพรบ!GV76"")"),326820)</f>
        <v>326820</v>
      </c>
      <c r="N581" s="47">
        <f ca="1">IFERROR(__xludf.DUMMYFUNCTION("IMPORTRANGE(""https://docs.google.com/spreadsheets/d/1-uDff_7J0KD5mKrp0Vvzr7lt3OU09vwQwhkpOPPYv2Y/edit?usp=sharing"",""งบพรบ!GX76"")"),0)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IFERROR(__xludf.DUMMYFUNCTION("IMPORTRANGE(""https://docs.google.com/spreadsheets/d/1-uDff_7J0KD5mKrp0Vvzr7lt3OU09vwQwhkpOPPYv2Y/edit?usp=sharing"",""งบพรบ!GT76"")"),0)</f>
        <v>0</v>
      </c>
      <c r="M584" s="47">
        <f ca="1">IFERROR(__xludf.DUMMYFUNCTION("IMPORTRANGE(""https://docs.google.com/spreadsheets/d/1-uDff_7J0KD5mKrp0Vvzr7lt3OU09vwQwhkpOPPYv2Y/edit?usp=sharing"",""งบพรบ!GW76"")"),0)</f>
        <v>0</v>
      </c>
      <c r="N584" s="47">
        <f ca="1">IFERROR(__xludf.DUMMYFUNCTION("IMPORTRANGE(""https://docs.google.com/spreadsheets/d/1-uDff_7J0KD5mKrp0Vvzr7lt3OU09vwQwhkpOPPYv2Y/edit?usp=sharing"",""งบพรบ!GY76"")"),0)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5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IFERROR(__xludf.DUMMYFUNCTION("IMPORTRANGE(""https://docs.google.com/spreadsheets/d/1-uDff_7J0KD5mKrp0Vvzr7lt3OU09vwQwhkpOPPYv2Y/edit?usp=sharing"",""งบพรบ!HK76"")"),0)</f>
        <v>0</v>
      </c>
      <c r="M604" s="47">
        <f ca="1">IFERROR(__xludf.DUMMYFUNCTION("IMPORTRANGE(""https://docs.google.com/spreadsheets/d/1-uDff_7J0KD5mKrp0Vvzr7lt3OU09vwQwhkpOPPYv2Y/edit?usp=sharing"",""งบพรบ!HP76"")"),0)</f>
        <v>0</v>
      </c>
      <c r="N604" s="47">
        <f ca="1">IFERROR(__xludf.DUMMYFUNCTION("IMPORTRANGE(""https://docs.google.com/spreadsheets/d/1-uDff_7J0KD5mKrp0Vvzr7lt3OU09vwQwhkpOPPYv2Y/edit?usp=sharing"",""งบพรบ!HR76"")"),0)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IFERROR(__xludf.DUMMYFUNCTION("IMPORTRANGE(""https://docs.google.com/spreadsheets/d/1ItG2mGa2ceCfYo0BwxsXqNm01IGEUdYcSSLTEv9YCik/edit?usp=sharing"",""เบิกจ่ายกองทุน!AV76"")"),0)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IFERROR(__xludf.DUMMYFUNCTION("IMPORTRANGE(""https://docs.google.com/spreadsheets/d/1ItG2mGa2ceCfYo0BwxsXqNm01IGEUdYcSSLTEv9YCik/edit?usp=sharing"",""เบิกจ่ายกองทุน!AW76"")"),0)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IFERROR(__xludf.DUMMYFUNCTION("IMPORTRANGE(""https://docs.google.com/spreadsheets/d/1ItG2mGa2ceCfYo0BwxsXqNm01IGEUdYcSSLTEv9YCik/edit?usp=sharing"",""เบิกจ่ายกองทุน!AX76"")"),0)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IFERROR(__xludf.DUMMYFUNCTION("IMPORTRANGE(""https://docs.google.com/spreadsheets/d/1-uDff_7J0KD5mKrp0Vvzr7lt3OU09vwQwhkpOPPYv2Y/edit?usp=sharing"",""งบพรบ!HN76"")"),0)</f>
        <v>0</v>
      </c>
      <c r="M607" s="47">
        <f ca="1">IFERROR(__xludf.DUMMYFUNCTION("IMPORTRANGE(""https://docs.google.com/spreadsheets/d/1-uDff_7J0KD5mKrp0Vvzr7lt3OU09vwQwhkpOPPYv2Y/edit?usp=sharing"",""งบพรบ!HQ76"")"),0)</f>
        <v>0</v>
      </c>
      <c r="N607" s="47">
        <f ca="1">IFERROR(__xludf.DUMMYFUNCTION("IMPORTRANGE(""https://docs.google.com/spreadsheets/d/1-uDff_7J0KD5mKrp0Vvzr7lt3OU09vwQwhkpOPPYv2Y/edit?usp=sharing"",""งบพรบ!HS76"")"),0)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IFERROR(__xludf.DUMMYFUNCTION("IMPORTRANGE(""https://docs.google.com/spreadsheets/d/1ItG2mGa2ceCfYo0BwxsXqNm01IGEUdYcSSLTEv9YCik/edit?usp=sharing"",""เบิกจ่ายกองทุน!AY76"")"),0)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IFERROR(__xludf.DUMMYFUNCTION("IMPORTRANGE(""https://docs.google.com/spreadsheets/d/1ItG2mGa2ceCfYo0BwxsXqNm01IGEUdYcSSLTEv9YCik/edit?usp=sharing"",""เบิกจ่ายกองทุน!AZ76"")"),0)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IFERROR(__xludf.DUMMYFUNCTION("IMPORTRANGE(""https://docs.google.com/spreadsheets/d/1ItG2mGa2ceCfYo0BwxsXqNm01IGEUdYcSSLTEv9YCik/edit?usp=sharing"",""เบิกจ่ายกองทุน!BA76"")"),0)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IFERROR(__xludf.DUMMYFUNCTION("IMPORTRANGE(""https://docs.google.com/spreadsheets/d/1ItG2mGa2ceCfYo0BwxsXqNm01IGEUdYcSSLTEv9YCik/edit?usp=sharing"",""เบิกจ่ายกองทุน!F76"")"),7300)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IFERROR(__xludf.DUMMYFUNCTION("IMPORTRANGE(""https://docs.google.com/spreadsheets/d/1ItG2mGa2ceCfYo0BwxsXqNm01IGEUdYcSSLTEv9YCik/edit?usp=sharing"",""เบิกจ่ายกองทุน!G76"")"),7300)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IFERROR(__xludf.DUMMYFUNCTION("IMPORTRANGE(""https://docs.google.com/spreadsheets/d/1ItG2mGa2ceCfYo0BwxsXqNm01IGEUdYcSSLTEv9YCik/edit?usp=sharing"",""เบิกจ่ายกองทุน!H76"")"),0)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IFERROR(__xludf.DUMMYFUNCTION("IMPORTRANGE(""https://docs.google.com/spreadsheets/d/1eHaY18a8A9IcSdp1K8H6x8fbOy06t2VsZHhMHf-1x7Y/edit?usp=sharing"",""แผน!ID76"")"),50)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IFERROR(__xludf.DUMMYFUNCTION("IMPORTRANGE(""https://docs.google.com/spreadsheets/d/1eHaY18a8A9IcSdp1K8H6x8fbOy06t2VsZHhMHf-1x7Y/edit?usp=sharing"",""แผน!IC76"")"),1)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IFERROR(__xludf.DUMMYFUNCTION("IMPORTRANGE(""https://docs.google.com/spreadsheets/d/1eHaY18a8A9IcSdp1K8H6x8fbOy06t2VsZHhMHf-1x7Y/edit?usp=sharing"",""แผน!IC76"")"),1)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IFERROR(__xludf.DUMMYFUNCTION("IMPORTRANGE(""https://docs.google.com/spreadsheets/d/1eHaY18a8A9IcSdp1K8H6x8fbOy06t2VsZHhMHf-1x7Y/edit?usp=sharing"",""แผน!IE76"")"),0)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IFERROR(__xludf.DUMMYFUNCTION("IMPORTRANGE(""https://docs.google.com/spreadsheets/d/1ItG2mGa2ceCfYo0BwxsXqNm01IGEUdYcSSLTEv9YCik/edit?usp=sharing"",""เบิกจ่ายกองทุน!I76"")"),0)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IFERROR(__xludf.DUMMYFUNCTION("IMPORTRANGE(""https://docs.google.com/spreadsheets/d/1ItG2mGa2ceCfYo0BwxsXqNm01IGEUdYcSSLTEv9YCik/edit?usp=sharing"",""เบิกจ่ายกองทุน!J76"")"),0)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IFERROR(__xludf.DUMMYFUNCTION("IMPORTRANGE(""https://docs.google.com/spreadsheets/d/1ItG2mGa2ceCfYo0BwxsXqNm01IGEUdYcSSLTEv9YCik/edit?usp=sharing"",""เบิกจ่ายกองทุน!K76"")"),0)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IFERROR(__xludf.DUMMYFUNCTION("IMPORTRANGE(""https://docs.google.com/spreadsheets/d/1eHaY18a8A9IcSdp1K8H6x8fbOy06t2VsZHhMHf-1x7Y/edit?usp=sharing"",""แผน!IF76"")"),0)</f>
        <v>0</v>
      </c>
      <c r="J652" s="152">
        <f ca="1">IFERROR(__xludf.DUMMYFUNCTION("IMPORTRANGE(""https://docs.google.com/spreadsheets/d/1tdoBKaGub7dwA3U6UFTqxio9LNnvDCQjHKmttSEBsFQ/edit?usp=sharing"",""จัดที่ดิน!AU76"")"),0)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IFERROR(__xludf.DUMMYFUNCTION("IMPORTRANGE(""https://docs.google.com/spreadsheets/d/1eHaY18a8A9IcSdp1K8H6x8fbOy06t2VsZHhMHf-1x7Y/edit?usp=sharing"",""แผน!IG76"")"),0)</f>
        <v>0</v>
      </c>
      <c r="J653" s="152">
        <f ca="1">IFERROR(__xludf.DUMMYFUNCTION("IMPORTRANGE(""https://docs.google.com/spreadsheets/d/1tdoBKaGub7dwA3U6UFTqxio9LNnvDCQjHKmttSEBsFQ/edit?usp=sharing"",""จัดที่ดิน!AW76"")"),0)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IFERROR(__xludf.DUMMYFUNCTION("IMPORTRANGE(""https://docs.google.com/spreadsheets/d/1eHaY18a8A9IcSdp1K8H6x8fbOy06t2VsZHhMHf-1x7Y/edit?usp=sharing"",""แผน!IH76"")"),0)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IFERROR(__xludf.DUMMYFUNCTION("IMPORTRANGE(""https://docs.google.com/spreadsheets/d/1eHaY18a8A9IcSdp1K8H6x8fbOy06t2VsZHhMHf-1x7Y/edit?usp=sharing"",""แผน!II76"")"),0)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IFERROR(__xludf.DUMMYFUNCTION("IMPORTRANGE(""https://docs.google.com/spreadsheets/d/1eHaY18a8A9IcSdp1K8H6x8fbOy06t2VsZHhMHf-1x7Y/edit?usp=sharing"",""แผน!IJ76"")"),0)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IFERROR(__xludf.DUMMYFUNCTION("IMPORTRANGE(""https://docs.google.com/spreadsheets/d/1eHaY18a8A9IcSdp1K8H6x8fbOy06t2VsZHhMHf-1x7Y/edit?usp=sharing"",""แผน!IK76"")"),0)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IFERROR(__xludf.DUMMYFUNCTION("IMPORTRANGE(""https://docs.google.com/spreadsheets/d/1tdoBKaGub7dwA3U6UFTqxio9LNnvDCQjHKmttSEBsFQ/edit?usp=sharing"",""จัดที่ดิน!AY76"")"),0)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IFERROR(__xludf.DUMMYFUNCTION("IMPORTRANGE(""https://docs.google.com/spreadsheets/d/1tdoBKaGub7dwA3U6UFTqxio9LNnvDCQjHKmttSEBsFQ/edit?usp=sharing"",""จัดที่ดิน!AZ76"")"),0)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IFERROR(__xludf.DUMMYFUNCTION("IMPORTRANGE(""https://docs.google.com/spreadsheets/d/1eHaY18a8A9IcSdp1K8H6x8fbOy06t2VsZHhMHf-1x7Y/edit?usp=sharing"",""แผน!IL76"")"),0)</f>
        <v>0</v>
      </c>
      <c r="J673" s="152">
        <f ca="1">IFERROR(__xludf.DUMMYFUNCTION("IMPORTRANGE(""https://docs.google.com/spreadsheets/d/1tdoBKaGub7dwA3U6UFTqxio9LNnvDCQjHKmttSEBsFQ/edit?usp=sharing"",""จัดที่ดิน!BA76"")"),0)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IFERROR(__xludf.DUMMYFUNCTION("IMPORTRANGE(""https://docs.google.com/spreadsheets/d/1eHaY18a8A9IcSdp1K8H6x8fbOy06t2VsZHhMHf-1x7Y/edit?usp=sharing"",""แผน!IM76"")"),0)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IFERROR(__xludf.DUMMYFUNCTION("IMPORTRANGE(""https://docs.google.com/spreadsheets/d/1eHaY18a8A9IcSdp1K8H6x8fbOy06t2VsZHhMHf-1x7Y/edit?usp=sharing"",""แผน!IN76"")"),0)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IFERROR(__xludf.DUMMYFUNCTION("IMPORTRANGE(""https://docs.google.com/spreadsheets/d/1eHaY18a8A9IcSdp1K8H6x8fbOy06t2VsZHhMHf-1x7Y/edit?usp=sharing"",""แผน!IO76"")"),0)</f>
        <v>0</v>
      </c>
      <c r="J676" s="152">
        <f ca="1">IFERROR(__xludf.DUMMYFUNCTION("IMPORTRANGE(""https://docs.google.com/spreadsheets/d/1tdoBKaGub7dwA3U6UFTqxio9LNnvDCQjHKmttSEBsFQ/edit?usp=sharing"",""จัดที่ดิน!BF76"")"),0)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IFERROR(__xludf.DUMMYFUNCTION("IMPORTRANGE(""https://docs.google.com/spreadsheets/d/1tdoBKaGub7dwA3U6UFTqxio9LNnvDCQjHKmttSEBsFQ/edit?usp=sharing"",""จัดที่ดิน!BG76"")"),0)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IFERROR(__xludf.DUMMYFUNCTION("IMPORTRANGE(""https://docs.google.com/spreadsheets/d/1eHaY18a8A9IcSdp1K8H6x8fbOy06t2VsZHhMHf-1x7Y/edit?usp=sharing"",""แผน!IP76"")"),0)</f>
        <v>0</v>
      </c>
      <c r="J678" s="152">
        <f ca="1">IFERROR(__xludf.DUMMYFUNCTION("IMPORTRANGE(""https://docs.google.com/spreadsheets/d/1tdoBKaGub7dwA3U6UFTqxio9LNnvDCQjHKmttSEBsFQ/edit?usp=sharing"",""จัดที่ดิน!BH76"")"),0)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IFERROR(__xludf.DUMMYFUNCTION("IMPORTRANGE(""https://docs.google.com/spreadsheets/d/1eHaY18a8A9IcSdp1K8H6x8fbOy06t2VsZHhMHf-1x7Y/edit?usp=sharing"",""แผน!IQ76"")"),0)</f>
        <v>0</v>
      </c>
      <c r="J679" s="152">
        <f ca="1">IFERROR(__xludf.DUMMYFUNCTION("IMPORTRANGE(""https://docs.google.com/spreadsheets/d/1tdoBKaGub7dwA3U6UFTqxio9LNnvDCQjHKmttSEBsFQ/edit?usp=sharing"",""จัดที่ดิน!BK76"")"),0)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IFERROR(__xludf.DUMMYFUNCTION("IMPORTRANGE(""https://docs.google.com/spreadsheets/d/1tdoBKaGub7dwA3U6UFTqxio9LNnvDCQjHKmttSEBsFQ/edit?usp=sharing"",""จัดที่ดิน!BL76"")"),0)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IFERROR(__xludf.DUMMYFUNCTION("IMPORTRANGE(""https://docs.google.com/spreadsheets/d/1eHaY18a8A9IcSdp1K8H6x8fbOy06t2VsZHhMHf-1x7Y/edit?usp=sharing"",""แผน!IR76"")"),0)</f>
        <v>0</v>
      </c>
      <c r="J681" s="152">
        <f ca="1">IFERROR(__xludf.DUMMYFUNCTION("IMPORTRANGE(""https://docs.google.com/spreadsheets/d/1tdoBKaGub7dwA3U6UFTqxio9LNnvDCQjHKmttSEBsFQ/edit?usp=sharing"",""จัดที่ดิน!BM76"")"),0)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IFERROR(__xludf.DUMMYFUNCTION("IMPORTRANGE(""https://docs.google.com/spreadsheets/d/1eHaY18a8A9IcSdp1K8H6x8fbOy06t2VsZHhMHf-1x7Y/edit?usp=sharing"",""แผน!IS76"")"),0)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65890</v>
      </c>
      <c r="R690" s="132">
        <f ca="1">R691+R692</f>
        <v>65890</v>
      </c>
      <c r="S690" s="132">
        <f ca="1">S691+S692</f>
        <v>5718.09</v>
      </c>
      <c r="T690" s="132">
        <f ca="1">IF(Q690&gt;0,S690*100/Q690,0)</f>
        <v>8.6782364546972222</v>
      </c>
      <c r="U690" s="132">
        <f ca="1">IF(R690&gt;0,S690*100/R690,0)</f>
        <v>8.6782364546972222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65890</v>
      </c>
      <c r="R692" s="47">
        <f ca="1">R695+R698</f>
        <v>65890</v>
      </c>
      <c r="S692" s="47">
        <f ca="1">S695+S698</f>
        <v>5718.09</v>
      </c>
      <c r="T692" s="47">
        <f ca="1">IF(Q692&gt;0,S692*100/Q692,0)</f>
        <v>8.6782364546972222</v>
      </c>
      <c r="U692" s="47">
        <f ca="1">IF(R692&gt;0,S692*100/R692,0)</f>
        <v>8.6782364546972222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65890</v>
      </c>
      <c r="R693" s="47">
        <f ca="1">R694+R695</f>
        <v>65890</v>
      </c>
      <c r="S693" s="47">
        <f ca="1">S694+S695</f>
        <v>5718.09</v>
      </c>
      <c r="T693" s="47">
        <f ca="1">IF(Q693&gt;0,S693*100/Q693,0)</f>
        <v>8.6782364546972222</v>
      </c>
      <c r="U693" s="47">
        <f ca="1">IF(R693&gt;0,S693*100/R693,0)</f>
        <v>8.6782364546972222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IFERROR(__xludf.DUMMYFUNCTION("IMPORTRANGE(""https://docs.google.com/spreadsheets/d/1ItG2mGa2ceCfYo0BwxsXqNm01IGEUdYcSSLTEv9YCik/edit?usp=sharing"",""เบิกจ่ายกองทุน!L76"")"),65890)</f>
        <v>65890</v>
      </c>
      <c r="R695" s="47">
        <f ca="1">IFERROR(__xludf.DUMMYFUNCTION("IMPORTRANGE(""https://docs.google.com/spreadsheets/d/1ItG2mGa2ceCfYo0BwxsXqNm01IGEUdYcSSLTEv9YCik/edit?usp=sharing"",""เบิกจ่ายกองทุน!M76"")"),65890)</f>
        <v>65890</v>
      </c>
      <c r="S695" s="47">
        <f ca="1">IFERROR(__xludf.DUMMYFUNCTION("IMPORTRANGE(""https://docs.google.com/spreadsheets/d/1ItG2mGa2ceCfYo0BwxsXqNm01IGEUdYcSSLTEv9YCik/edit?usp=sharing"",""เบิกจ่ายกองทุน!N76"")"),5718.09)</f>
        <v>5718.09</v>
      </c>
      <c r="T695" s="47">
        <f ca="1">IF(Q695&gt;0,S695*100/Q695,0)</f>
        <v>8.6782364546972222</v>
      </c>
      <c r="U695" s="47">
        <f ca="1">IF(R695&gt;0,S695*100/R695,0)</f>
        <v>8.6782364546972222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IFERROR(__xludf.DUMMYFUNCTION("IMPORTRANGE(""https://docs.google.com/spreadsheets/d/1eHaY18a8A9IcSdp1K8H6x8fbOy06t2VsZHhMHf-1x7Y/edit?usp=sharing"",""แผน!LC76"")"),0)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5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IFERROR(__xludf.DUMMYFUNCTION("IMPORTRANGE(""https://docs.google.com/spreadsheets/d/1eHaY18a8A9IcSdp1K8H6x8fbOy06t2VsZHhMHf-1x7Y/edit?usp=sharing"",""แผน!LJ76"")"),0)</f>
        <v>0</v>
      </c>
      <c r="J703" s="152">
        <f ca="1">IFERROR(__xludf.DUMMYFUNCTION("IMPORTRANGE(""https://docs.google.com/spreadsheets/d/1tdoBKaGub7dwA3U6UFTqxio9LNnvDCQjHKmttSEBsFQ/edit?usp=sharing"",""จัดที่ดิน!AP76"")"),0)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IFERROR(__xludf.DUMMYFUNCTION("IMPORTRANGE(""https://docs.google.com/spreadsheets/d/1tdoBKaGub7dwA3U6UFTqxio9LNnvDCQjHKmttSEBsFQ/edit?usp=sharing"",""จัดที่ดิน!AQ76"")"),0)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IFERROR(__xludf.DUMMYFUNCTION("IMPORTRANGE(""https://docs.google.com/spreadsheets/d/1eHaY18a8A9IcSdp1K8H6x8fbOy06t2VsZHhMHf-1x7Y/edit?usp=sharing"",""แผน!LK76"")"),5)</f>
        <v>5</v>
      </c>
      <c r="J705" s="152">
        <f ca="1">IFERROR(__xludf.DUMMYFUNCTION("IMPORTRANGE(""https://docs.google.com/spreadsheets/d/1tdoBKaGub7dwA3U6UFTqxio9LNnvDCQjHKmttSEBsFQ/edit?usp=sharing"",""จัดที่ดิน!AR76"")"),0)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IFERROR(__xludf.DUMMYFUNCTION("IMPORTRANGE(""https://docs.google.com/spreadsheets/d/1tdoBKaGub7dwA3U6UFTqxio9LNnvDCQjHKmttSEBsFQ/edit?usp=sharing"",""จัดที่ดิน!AS76"")"),0)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IFERROR(__xludf.DUMMYFUNCTION("IMPORTRANGE(""https://docs.google.com/spreadsheets/d/1eHaY18a8A9IcSdp1K8H6x8fbOy06t2VsZHhMHf-1x7Y/edit?usp=sharing"",""แผน!LJ76"")"),0)</f>
        <v>0</v>
      </c>
      <c r="J707" s="152">
        <f ca="1">IFERROR(__xludf.DUMMYFUNCTION("IMPORTRANGE(""https://docs.google.com/spreadsheets/d/1tdoBKaGub7dwA3U6UFTqxio9LNnvDCQjHKmttSEBsFQ/edit?usp=sharing"",""จัดที่ดิน!BN76"")"),0)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IFERROR(__xludf.DUMMYFUNCTION("IMPORTRANGE(""https://docs.google.com/spreadsheets/d/1tdoBKaGub7dwA3U6UFTqxio9LNnvDCQjHKmttSEBsFQ/edit?usp=sharing"",""จัดที่ดิน!BO76"")"),0)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IFERROR(__xludf.DUMMYFUNCTION("IMPORTRANGE(""https://docs.google.com/spreadsheets/d/1eHaY18a8A9IcSdp1K8H6x8fbOy06t2VsZHhMHf-1x7Y/edit?usp=sharing"",""แผน!LK76"")"),5)</f>
        <v>5</v>
      </c>
      <c r="J709" s="152">
        <f ca="1">IFERROR(__xludf.DUMMYFUNCTION("IMPORTRANGE(""https://docs.google.com/spreadsheets/d/1tdoBKaGub7dwA3U6UFTqxio9LNnvDCQjHKmttSEBsFQ/edit?usp=sharing"",""จัดที่ดิน!BP76"")"),6)</f>
        <v>6</v>
      </c>
      <c r="K709" s="47">
        <f ca="1">IF(I709&gt;0,J709*100/I709,0)</f>
        <v>120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IFERROR(__xludf.DUMMYFUNCTION("IMPORTRANGE(""https://docs.google.com/spreadsheets/d/1tdoBKaGub7dwA3U6UFTqxio9LNnvDCQjHKmttSEBsFQ/edit?usp=sharing"",""จัดที่ดิน!BQ76"")"),0)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IFERROR(__xludf.DUMMYFUNCTION("IMPORTRANGE(""https://docs.google.com/spreadsheets/d/1eHaY18a8A9IcSdp1K8H6x8fbOy06t2VsZHhMHf-1x7Y/edit?usp=sharing"",""แผน!GA76"")"),21)</f>
        <v>21</v>
      </c>
      <c r="J726" s="483">
        <f>J742+J746+J749</f>
        <v>21</v>
      </c>
      <c r="K726" s="484">
        <f ca="1">IF(I726&gt;0,J726*100/I726,0)</f>
        <v>100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IFERROR(__xludf.DUMMYFUNCTION("IMPORTRANGE(""https://docs.google.com/spreadsheets/d/1eHaY18a8A9IcSdp1K8H6x8fbOy06t2VsZHhMHf-1x7Y/edit?usp=sharing"",""แผน!FZ76"")"),200)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200494</v>
      </c>
      <c r="S728" s="132">
        <f ca="1">S729+S730</f>
        <v>61610</v>
      </c>
      <c r="T728" s="132">
        <f ca="1">IF(Q728&gt;0,S728*100/Q728,0)</f>
        <v>35.006875234382989</v>
      </c>
      <c r="U728" s="132">
        <f ca="1">IF(R728&gt;0,S728*100/R728,0)</f>
        <v>30.729099125160854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200494</v>
      </c>
      <c r="S730" s="47">
        <f ca="1">S733+S736</f>
        <v>61610</v>
      </c>
      <c r="T730" s="47">
        <f ca="1">IF(Q730&gt;0,S730*100/Q730,0)</f>
        <v>35.006875234382989</v>
      </c>
      <c r="U730" s="47">
        <f ca="1">IF(R730&gt;0,S730*100/R730,0)</f>
        <v>30.729099125160854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200494</v>
      </c>
      <c r="S731" s="47">
        <f ca="1">S732+S733</f>
        <v>61610</v>
      </c>
      <c r="T731" s="47">
        <f ca="1">IF(Q731&gt;0,S731*100/Q731,0)</f>
        <v>35.006875234382989</v>
      </c>
      <c r="U731" s="47">
        <f ca="1">IF(R731&gt;0,S731*100/R731,0)</f>
        <v>30.729099125160854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IFERROR(__xludf.DUMMYFUNCTION("IMPORTRANGE(""https://docs.google.com/spreadsheets/d/1ItG2mGa2ceCfYo0BwxsXqNm01IGEUdYcSSLTEv9YCik/edit?usp=sharing"",""เบิกจ่ายกองทุน!O76"")"),175994)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IFERROR(__xludf.DUMMYFUNCTION("IMPORTRANGE(""https://docs.google.com/spreadsheets/d/1ItG2mGa2ceCfYo0BwxsXqNm01IGEUdYcSSLTEv9YCik/edit?usp=sharing"",""เบิกจ่ายกองทุน!P76"")"),200494)</f>
        <v>200494</v>
      </c>
      <c r="S733" s="47">
        <f ca="1">IFERROR(__xludf.DUMMYFUNCTION("IMPORTRANGE(""https://docs.google.com/spreadsheets/d/1ItG2mGa2ceCfYo0BwxsXqNm01IGEUdYcSSLTEv9YCik/edit?usp=sharing"",""เบิกจ่ายกองทุน!Q76"")"),61610)</f>
        <v>61610</v>
      </c>
      <c r="T733" s="47">
        <f ca="1">IF(Q733&gt;0,S733*100/Q733,0)</f>
        <v>35.006875234382989</v>
      </c>
      <c r="U733" s="47">
        <f ca="1">IF(R733&gt;0,S733*100/R733,0)</f>
        <v>30.729099125160854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IFERROR(__xludf.DUMMYFUNCTION("IMPORTRANGE(""https://docs.google.com/spreadsheets/d/1eHaY18a8A9IcSdp1K8H6x8fbOy06t2VsZHhMHf-1x7Y/edit?usp=sharing"",""แผน!GB76"")"),160)</f>
        <v>160</v>
      </c>
      <c r="J740" s="554">
        <v>160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IFERROR(__xludf.DUMMYFUNCTION("IMPORTRANGE(""https://docs.google.com/spreadsheets/d/1eHaY18a8A9IcSdp1K8H6x8fbOy06t2VsZHhMHf-1x7Y/edit?usp=sharing"",""แผน!GC76"")"),16)</f>
        <v>16</v>
      </c>
      <c r="J742" s="554">
        <v>16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IFERROR(__xludf.DUMMYFUNCTION("IMPORTRANGE(""https://docs.google.com/spreadsheets/d/1eHaY18a8A9IcSdp1K8H6x8fbOy06t2VsZHhMHf-1x7Y/edit?usp=sharing"",""แผน!GD76"")"),40)</f>
        <v>40</v>
      </c>
      <c r="J744" s="554">
        <v>40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IFERROR(__xludf.DUMMYFUNCTION("IMPORTRANGE(""https://docs.google.com/spreadsheets/d/1eHaY18a8A9IcSdp1K8H6x8fbOy06t2VsZHhMHf-1x7Y/edit?usp=sharing"",""แผน!GE76"")"),4)</f>
        <v>4</v>
      </c>
      <c r="J746" s="554">
        <v>4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IFERROR(__xludf.DUMMYFUNCTION("IMPORTRANGE(""https://docs.google.com/spreadsheets/d/1eHaY18a8A9IcSdp1K8H6x8fbOy06t2VsZHhMHf-1x7Y/edit?usp=sharing"",""แผน!GF76"")"),1)</f>
        <v>1</v>
      </c>
      <c r="J749" s="554">
        <v>1</v>
      </c>
      <c r="K749" s="331">
        <f ca="1">IF(I749&gt;0,J749*100/I749,0)</f>
        <v>100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IFERROR(__xludf.DUMMYFUNCTION("IMPORTRANGE(""https://docs.google.com/spreadsheets/d/1eHaY18a8A9IcSdp1K8H6x8fbOy06t2VsZHhMHf-1x7Y/edit?usp=sharing"",""แผน!GB76"")"),160)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IFERROR(__xludf.DUMMYFUNCTION("IMPORTRANGE(""https://docs.google.com/spreadsheets/d/1eHaY18a8A9IcSdp1K8H6x8fbOy06t2VsZHhMHf-1x7Y/edit?usp=sharing"",""แผน!GD76"")"),40)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40</v>
      </c>
      <c r="J758" s="483">
        <f>J772</f>
        <v>40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200</v>
      </c>
      <c r="J759" s="483">
        <f>J774</f>
        <v>200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463980</v>
      </c>
      <c r="R760" s="132">
        <f ca="1">R761+R762</f>
        <v>463980</v>
      </c>
      <c r="S760" s="132">
        <f ca="1">S761+S762</f>
        <v>73354</v>
      </c>
      <c r="T760" s="132">
        <f ca="1">IF(Q760&gt;0,S760*100/Q760,0)</f>
        <v>15.809733178154231</v>
      </c>
      <c r="U760" s="132">
        <f ca="1">IF(R760&gt;0,S760*100/R760,0)</f>
        <v>15.809733178154231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463980</v>
      </c>
      <c r="R762" s="47">
        <f ca="1">R765+R768</f>
        <v>463980</v>
      </c>
      <c r="S762" s="47">
        <f ca="1">S765+S768</f>
        <v>73354</v>
      </c>
      <c r="T762" s="47">
        <f ca="1">IF(Q762&gt;0,S762*100/Q762,0)</f>
        <v>15.809733178154231</v>
      </c>
      <c r="U762" s="47">
        <f ca="1">IF(R762&gt;0,S762*100/R762,0)</f>
        <v>15.809733178154231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463980</v>
      </c>
      <c r="R763" s="47">
        <f ca="1">R764+R765</f>
        <v>463980</v>
      </c>
      <c r="S763" s="47">
        <f ca="1">S764+S765</f>
        <v>73354</v>
      </c>
      <c r="T763" s="47">
        <f ca="1">IF(Q763&gt;0,S763*100/Q763,0)</f>
        <v>15.809733178154231</v>
      </c>
      <c r="U763" s="47">
        <f ca="1">IF(R763&gt;0,S763*100/R763,0)</f>
        <v>15.809733178154231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IFERROR(__xludf.DUMMYFUNCTION("IMPORTRANGE(""https://docs.google.com/spreadsheets/d/1ItG2mGa2ceCfYo0BwxsXqNm01IGEUdYcSSLTEv9YCik/edit?usp=sharing"",""เบิกจ่ายกองทุน!AA76"")"),463980)</f>
        <v>463980</v>
      </c>
      <c r="R765" s="47">
        <f ca="1">IFERROR(__xludf.DUMMYFUNCTION("IMPORTRANGE(""https://docs.google.com/spreadsheets/d/1ItG2mGa2ceCfYo0BwxsXqNm01IGEUdYcSSLTEv9YCik/edit?usp=sharing"",""เบิกจ่ายกองทุน!AB76"")"),463980)</f>
        <v>463980</v>
      </c>
      <c r="S765" s="47">
        <f ca="1">IFERROR(__xludf.DUMMYFUNCTION("IMPORTRANGE(""https://docs.google.com/spreadsheets/d/1ItG2mGa2ceCfYo0BwxsXqNm01IGEUdYcSSLTEv9YCik/edit?usp=sharing"",""เบิกจ่ายกองทุน!AC76"")"),73354)</f>
        <v>73354</v>
      </c>
      <c r="T765" s="47">
        <f ca="1">IF(Q765&gt;0,S765*100/Q765,0)</f>
        <v>15.809733178154231</v>
      </c>
      <c r="U765" s="47">
        <f ca="1">IF(R765&gt;0,S765*100/R765,0)</f>
        <v>15.809733178154231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IFERROR(__xludf.DUMMYFUNCTION("IMPORTRANGE(""https://docs.google.com/spreadsheets/d/1eHaY18a8A9IcSdp1K8H6x8fbOy06t2VsZHhMHf-1x7Y/edit?usp=sharing"",""แผน!FI76"")"),0)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IFERROR(__xludf.DUMMYFUNCTION("IMPORTRANGE(""https://docs.google.com/spreadsheets/d/1eHaY18a8A9IcSdp1K8H6x8fbOy06t2VsZHhMHf-1x7Y/edit?usp=sharing"",""แผน!FQ76"")"),40)</f>
        <v>40</v>
      </c>
      <c r="J772" s="167">
        <v>40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IFERROR(__xludf.DUMMYFUNCTION("IMPORTRANGE(""https://docs.google.com/spreadsheets/d/1eHaY18a8A9IcSdp1K8H6x8fbOy06t2VsZHhMHf-1x7Y/edit?usp=sharing"",""แผน!FR76"")"),200)</f>
        <v>200</v>
      </c>
      <c r="J774" s="167">
        <v>200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IFERROR(__xludf.DUMMYFUNCTION("IMPORTRANGE(""https://docs.google.com/spreadsheets/d/1eHaY18a8A9IcSdp1K8H6x8fbOy06t2VsZHhMHf-1x7Y/edit?usp=sharing"",""แผน!FS76"")"),200)</f>
        <v>200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IFERROR(__xludf.DUMMYFUNCTION("IMPORTRANGE(""https://docs.google.com/spreadsheets/d/1eHaY18a8A9IcSdp1K8H6x8fbOy06t2VsZHhMHf-1x7Y/edit?usp=sharing"",""แผน!FT76"")"),40)</f>
        <v>40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IFERROR(__xludf.DUMMYFUNCTION("IMPORTRANGE(""https://docs.google.com/spreadsheets/d/10OvvATaaLtwErnr3qtWFcTmtbfpFEt5Bsqel9sXx0uE/edit?usp=sharing"",""งานกองทุน!D76"")"),586887.43)</f>
        <v>586887.43000000005</v>
      </c>
      <c r="J778" s="152">
        <f ca="1">IFERROR(__xludf.DUMMYFUNCTION("IMPORTRANGE(""https://docs.google.com/spreadsheets/d/10OvvATaaLtwErnr3qtWFcTmtbfpFEt5Bsqel9sXx0uE/edit?usp=sharing"",""งานกองทุน!F76"")"),541426.77)</f>
        <v>541426.77</v>
      </c>
      <c r="K778" s="47">
        <f ca="1">IF(I778&gt;0,J778*100/I778,0)</f>
        <v>92.253938715300137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IFERROR(__xludf.DUMMYFUNCTION("IMPORTRANGE(""https://docs.google.com/spreadsheets/d/10OvvATaaLtwErnr3qtWFcTmtbfpFEt5Bsqel9sXx0uE/edit?usp=sharing"",""งานกองทุน!C76"")"),59)</f>
        <v>59</v>
      </c>
      <c r="J779" s="152">
        <f ca="1">IFERROR(__xludf.DUMMYFUNCTION("IMPORTRANGE(""https://docs.google.com/spreadsheets/d/10OvvATaaLtwErnr3qtWFcTmtbfpFEt5Bsqel9sXx0uE/edit?usp=sharing"",""งานกองทุน!E76"")"),56)</f>
        <v>56</v>
      </c>
      <c r="K779" s="47">
        <f ca="1">IF(I779&gt;0,J779*100/I779,0)</f>
        <v>94.915254237288138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IFERROR(__xludf.DUMMYFUNCTION("IMPORTRANGE(""https://docs.google.com/spreadsheets/d/10OvvATaaLtwErnr3qtWFcTmtbfpFEt5Bsqel9sXx0uE/edit?usp=sharing"",""งานกองทุน!I76"")"),394898.5)</f>
        <v>394898.5</v>
      </c>
      <c r="J780" s="152">
        <f ca="1">IFERROR(__xludf.DUMMYFUNCTION("IMPORTRANGE(""https://docs.google.com/spreadsheets/d/10OvvATaaLtwErnr3qtWFcTmtbfpFEt5Bsqel9sXx0uE/edit?usp=sharing"",""งานกองทุน!K76"")"),158569.78)</f>
        <v>158569.78</v>
      </c>
      <c r="K780" s="47">
        <f ca="1">IF(I780&gt;0,J780*100/I780,0)</f>
        <v>40.154566299947959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IFERROR(__xludf.DUMMYFUNCTION("IMPORTRANGE(""https://docs.google.com/spreadsheets/d/10OvvATaaLtwErnr3qtWFcTmtbfpFEt5Bsqel9sXx0uE/edit?usp=sharing"",""งานกองทุน!H76"")"),17)</f>
        <v>17</v>
      </c>
      <c r="J781" s="152">
        <f ca="1">IFERROR(__xludf.DUMMYFUNCTION("IMPORTRANGE(""https://docs.google.com/spreadsheets/d/10OvvATaaLtwErnr3qtWFcTmtbfpFEt5Bsqel9sXx0uE/edit?usp=sharing"",""งานกองทุน!J76"")"),9)</f>
        <v>9</v>
      </c>
      <c r="K781" s="47">
        <f ca="1">IF(I781&gt;0,J781*100/I781,0)</f>
        <v>52.941176470588232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IFERROR(__xludf.DUMMYFUNCTION("IMPORTRANGE(""https://docs.google.com/spreadsheets/d/10OvvATaaLtwErnr3qtWFcTmtbfpFEt5Bsqel9sXx0uE/edit?usp=sharing"",""งานกองทุน!N76"")"),0)</f>
        <v>0</v>
      </c>
      <c r="J782" s="152">
        <f ca="1">IFERROR(__xludf.DUMMYFUNCTION("IMPORTRANGE(""https://docs.google.com/spreadsheets/d/10OvvATaaLtwErnr3qtWFcTmtbfpFEt5Bsqel9sXx0uE/edit?usp=sharing"",""งานกองทุน!P76"")"),0)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IFERROR(__xludf.DUMMYFUNCTION("IMPORTRANGE(""https://docs.google.com/spreadsheets/d/10OvvATaaLtwErnr3qtWFcTmtbfpFEt5Bsqel9sXx0uE/edit?usp=sharing"",""งานกองทุน!M76"")"),0)</f>
        <v>0</v>
      </c>
      <c r="J783" s="152">
        <f ca="1">IFERROR(__xludf.DUMMYFUNCTION("IMPORTRANGE(""https://docs.google.com/spreadsheets/d/10OvvATaaLtwErnr3qtWFcTmtbfpFEt5Bsqel9sXx0uE/edit?usp=sharing"",""งานกองทุน!O76"")"),0)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IFERROR(__xludf.DUMMYFUNCTION("IMPORTRANGE(""https://docs.google.com/spreadsheets/d/10OvvATaaLtwErnr3qtWFcTmtbfpFEt5Bsqel9sXx0uE/edit?usp=sharing"",""งานกองทุน!S76"")"),2016000)</f>
        <v>2016000</v>
      </c>
      <c r="J784" s="152">
        <f ca="1">IFERROR(__xludf.DUMMYFUNCTION("IMPORTRANGE(""https://docs.google.com/spreadsheets/d/10OvvATaaLtwErnr3qtWFcTmtbfpFEt5Bsqel9sXx0uE/edit?usp=sharing"",""งานกองทุน!U76"")"),0)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IFERROR(__xludf.DUMMYFUNCTION("IMPORTRANGE(""https://docs.google.com/spreadsheets/d/10OvvATaaLtwErnr3qtWFcTmtbfpFEt5Bsqel9sXx0uE/edit?usp=sharing"",""งานกองทุน!R76"")"),72)</f>
        <v>72</v>
      </c>
      <c r="J785" s="197">
        <f ca="1">IFERROR(__xludf.DUMMYFUNCTION("IMPORTRANGE(""https://docs.google.com/spreadsheets/d/10OvvATaaLtwErnr3qtWFcTmtbfpFEt5Bsqel9sXx0uE/edit?usp=sharing"",""งานกองทุน!T76"")"),0)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90:G690"/>
    <mergeCell ref="D714:G714"/>
    <mergeCell ref="D728:G728"/>
    <mergeCell ref="D760:G760"/>
    <mergeCell ref="D493:G493"/>
    <mergeCell ref="Q5:R5"/>
    <mergeCell ref="D599:G599"/>
    <mergeCell ref="D616:G616"/>
    <mergeCell ref="D642:G642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DA0C57-B555-44E6-90A4-513E5D85BF95}">
  <sheetPr codeName="Sheet4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5.140625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315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2470330</v>
      </c>
      <c r="M18" s="35">
        <f ca="1">M19+M20</f>
        <v>2543987.96</v>
      </c>
      <c r="N18" s="35">
        <f ca="1">N19+N20</f>
        <v>1748247.55</v>
      </c>
      <c r="O18" s="35">
        <f ca="1">IF(L18&gt;0,N18*100/L18,0)</f>
        <v>70.769797962215577</v>
      </c>
      <c r="P18" s="35">
        <f ca="1">IF(M18&gt;0,N18*100/M18,0)</f>
        <v>68.72074779787873</v>
      </c>
      <c r="Q18" s="35">
        <f ca="1">Q19+Q20</f>
        <v>1250142.17</v>
      </c>
      <c r="R18" s="35">
        <f ca="1">R19+R20</f>
        <v>1189079.5</v>
      </c>
      <c r="S18" s="35">
        <f ca="1">S19+S20</f>
        <v>169714.82</v>
      </c>
      <c r="T18" s="35">
        <f ca="1">IF(Q18&gt;0,S18*100/Q18,0)</f>
        <v>13.575641560831437</v>
      </c>
      <c r="U18" s="35">
        <f ca="1">IF(R18&gt;0,S18*100/R18,0)</f>
        <v>14.272790002686952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2470330</v>
      </c>
      <c r="M20" s="39">
        <f ca="1">M23+M26</f>
        <v>2543987.96</v>
      </c>
      <c r="N20" s="39">
        <f ca="1">N23+N26</f>
        <v>1748247.55</v>
      </c>
      <c r="O20" s="39">
        <f ca="1">IF(L20&gt;0,N20*100/L20,0)</f>
        <v>70.769797962215577</v>
      </c>
      <c r="P20" s="39">
        <f ca="1">IF(M20&gt;0,N20*100/M20,0)</f>
        <v>68.72074779787873</v>
      </c>
      <c r="Q20" s="39">
        <f ca="1">Q23+Q26</f>
        <v>1250142.17</v>
      </c>
      <c r="R20" s="39">
        <f ca="1">R23+R26</f>
        <v>1189079.5</v>
      </c>
      <c r="S20" s="39">
        <f ca="1">S23+S26</f>
        <v>169714.82</v>
      </c>
      <c r="T20" s="39">
        <f ca="1">IF(Q20&gt;0,S20*100/Q20,0)</f>
        <v>13.575641560831437</v>
      </c>
      <c r="U20" s="39">
        <f ca="1">IF(R20&gt;0,S20*100/R20,0)</f>
        <v>14.272790002686952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2470330</v>
      </c>
      <c r="M21" s="47">
        <f ca="1">M22+M23</f>
        <v>2543987.96</v>
      </c>
      <c r="N21" s="47">
        <f ca="1">N22+N23</f>
        <v>1748247.55</v>
      </c>
      <c r="O21" s="47">
        <f ca="1">IF(L21&gt;0,N21*100/L21,0)</f>
        <v>70.769797962215577</v>
      </c>
      <c r="P21" s="47">
        <f ca="1">IF(M21&gt;0,N21*100/M21,0)</f>
        <v>68.72074779787873</v>
      </c>
      <c r="Q21" s="47">
        <f ca="1">Q22+Q23</f>
        <v>1250142.17</v>
      </c>
      <c r="R21" s="47">
        <f ca="1">R22+R23</f>
        <v>1189079.5</v>
      </c>
      <c r="S21" s="47">
        <f ca="1">S22+S23</f>
        <v>169714.82</v>
      </c>
      <c r="T21" s="47">
        <f ca="1">IF(Q21&gt;0,S21*100/Q21,0)</f>
        <v>13.575641560831437</v>
      </c>
      <c r="U21" s="47">
        <f ca="1">IF(R21&gt;0,S21*100/R21,0)</f>
        <v>14.272790002686952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2470330</v>
      </c>
      <c r="M23" s="47">
        <f ca="1">M49+M64+M77+M99+M122+M144+M162+M191+M178+M271+M287+M308+M325+M338+M361+M380+M418+M498+M518+M539+M560+M581+M604+M621+M647+M695+M719+M733+M765</f>
        <v>2543987.96</v>
      </c>
      <c r="N23" s="47">
        <f ca="1">N49+N64+N77+N99+N122+N144+N162+N191+N178+N271+N287+N308+N325+N338+N361+N380+N418+N498+N518+N539+N560+N581+N604+N621+N647+N695+N719+N733+N765</f>
        <v>1748247.55</v>
      </c>
      <c r="O23" s="47">
        <f ca="1">IF(L23&gt;0,N23*100/L23,0)</f>
        <v>70.769797962215577</v>
      </c>
      <c r="P23" s="47">
        <f ca="1">IF(M23&gt;0,N23*100/M23,0)</f>
        <v>68.72074779787873</v>
      </c>
      <c r="Q23" s="47">
        <f ca="1">Q77+Q99+Q122+Q144+Q162+Q178+Q191+Q271+Q287+Q308+Q338+Q380+Q397+Q418+Q498+Q604+Q621+Q647+Q695+Q719+Q733+Q765</f>
        <v>1250142.17</v>
      </c>
      <c r="R23" s="47">
        <f ca="1">R77+R99+R122+R144+R162+R178+R191+R271+R287+R308+R338+R380+R397+R418+R498+R604+R621+R647+R695+R719+R733+R765</f>
        <v>1189079.5</v>
      </c>
      <c r="S23" s="47">
        <f ca="1">S77+S99+S122+S144+S162+S178+S191+S271+S287+S308+S338+S380+S397+S418+S498+S604+S621+S647+S695+S719+S733+S765</f>
        <v>169714.82</v>
      </c>
      <c r="T23" s="47">
        <f ca="1">IF(Q23&gt;0,S23*100/Q23,0)</f>
        <v>13.575641560831437</v>
      </c>
      <c r="U23" s="47">
        <f ca="1">IF(R23&gt;0,S23*100/R23,0)</f>
        <v>14.272790002686952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2067050</v>
      </c>
      <c r="M40" s="802">
        <f ca="1">M44+M59+M72+M94+M125+M139+M157+M173+M186+M266+M282+M303+M320+M333+M356</f>
        <v>2140707.96</v>
      </c>
      <c r="N40" s="802">
        <f ca="1">N44+N59+N72+N94+N125+N139+N157+N173+N186+N266+N282+N303+N320+N333+N356</f>
        <v>1718747.05</v>
      </c>
      <c r="O40" s="802">
        <f ca="1">IF(L40&gt;0,N40*100/L40,0)</f>
        <v>83.149756899929855</v>
      </c>
      <c r="P40" s="802">
        <f ca="1">IF(M40&gt;0,N40*100/M40,0)</f>
        <v>80.288721400372609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352000</v>
      </c>
      <c r="M44" s="79">
        <f ca="1">M45+M46</f>
        <v>412907.96</v>
      </c>
      <c r="N44" s="79">
        <f ca="1">N45+N46</f>
        <v>292507.96000000002</v>
      </c>
      <c r="O44" s="79">
        <f ca="1">IF(L44&gt;0,N44*100/L44,0)</f>
        <v>83.098852272727285</v>
      </c>
      <c r="P44" s="79">
        <f ca="1">IF(M44&gt;0,N44*100/M44,0)</f>
        <v>70.840959326625722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352000</v>
      </c>
      <c r="M46" s="83">
        <f ca="1">M49+M52</f>
        <v>412907.96</v>
      </c>
      <c r="N46" s="83">
        <f ca="1">N49+N52</f>
        <v>292507.96000000002</v>
      </c>
      <c r="O46" s="83">
        <f ca="1">IF(L46&gt;0,N46*100/L46,0)</f>
        <v>83.098852272727285</v>
      </c>
      <c r="P46" s="83">
        <f ca="1">IF(M46&gt;0,N46*100/M46,0)</f>
        <v>70.840959326625722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352000</v>
      </c>
      <c r="M47" s="47">
        <f ca="1">M48+M49</f>
        <v>412907.96</v>
      </c>
      <c r="N47" s="47">
        <f ca="1">N48+N49</f>
        <v>292507.96000000002</v>
      </c>
      <c r="O47" s="47">
        <f ca="1">IF(L47&gt;0,N47*100/L47,0)</f>
        <v>83.098852272727285</v>
      </c>
      <c r="P47" s="47">
        <f ca="1">IF(M47&gt;0,N47*100/M47,0)</f>
        <v>70.840959326625722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IFERROR(__xludf.DUMMYFUNCTION("IMPORTRANGE(""https://docs.google.com/spreadsheets/d/1-uDff_7J0KD5mKrp0Vvzr7lt3OU09vwQwhkpOPPYv2Y/edit?usp=sharing"",""งบพรบ!P77"")"),352000)</f>
        <v>352000</v>
      </c>
      <c r="M49" s="47">
        <f ca="1">IFERROR(__xludf.DUMMYFUNCTION("IMPORTRANGE(""https://docs.google.com/spreadsheets/d/1-uDff_7J0KD5mKrp0Vvzr7lt3OU09vwQwhkpOPPYv2Y/edit?usp=sharing"",""งบพรบ!V77"")"),412907.96)</f>
        <v>412907.96</v>
      </c>
      <c r="N49" s="47">
        <f ca="1">IFERROR(__xludf.DUMMYFUNCTION("IMPORTRANGE(""https://docs.google.com/spreadsheets/d/1-uDff_7J0KD5mKrp0Vvzr7lt3OU09vwQwhkpOPPYv2Y/edit?usp=sharing"",""งบพรบ!Y77"")"),292507.96)</f>
        <v>292507.96000000002</v>
      </c>
      <c r="O49" s="47">
        <f ca="1">IF(L49&gt;0,N49*100/L49,0)</f>
        <v>83.098852272727285</v>
      </c>
      <c r="P49" s="47">
        <f ca="1">IF(M49&gt;0,N49*100/M49,0)</f>
        <v>70.840959326625722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IFERROR(__xludf.DUMMYFUNCTION("IMPORTRANGE(""https://docs.google.com/spreadsheets/d/1-uDff_7J0KD5mKrp0Vvzr7lt3OU09vwQwhkpOPPYv2Y/edit?usp=sharing"",""งบพรบ!S77"")"),0)</f>
        <v>0</v>
      </c>
      <c r="M52" s="47">
        <f ca="1">IFERROR(__xludf.DUMMYFUNCTION("IMPORTRANGE(""https://docs.google.com/spreadsheets/d/1-uDff_7J0KD5mKrp0Vvzr7lt3OU09vwQwhkpOPPYv2Y/edit?usp=sharing"",""งบพรบ!W77"")"),0)</f>
        <v>0</v>
      </c>
      <c r="N52" s="47">
        <f ca="1">IFERROR(__xludf.DUMMYFUNCTION("IMPORTRANGE(""https://docs.google.com/spreadsheets/d/1-uDff_7J0KD5mKrp0Vvzr7lt3OU09vwQwhkpOPPYv2Y/edit?usp=sharing"",""งบพรบ!Z77"")"),0)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737200</v>
      </c>
      <c r="M59" s="106">
        <f ca="1">M60+M61</f>
        <v>737200</v>
      </c>
      <c r="N59" s="106">
        <f ca="1">N60+N61</f>
        <v>672885.04</v>
      </c>
      <c r="O59" s="106">
        <f ca="1">IF(L59&gt;0,N59*100/L59,0)</f>
        <v>91.275778621812265</v>
      </c>
      <c r="P59" s="106">
        <f ca="1">IF(M59&gt;0,N59*100/M59,0)</f>
        <v>91.275778621812265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737200</v>
      </c>
      <c r="M61" s="109">
        <f ca="1">M64+M67</f>
        <v>737200</v>
      </c>
      <c r="N61" s="109">
        <f ca="1">N64+N67</f>
        <v>672885.04</v>
      </c>
      <c r="O61" s="109">
        <f ca="1">IF(L61&gt;0,N61*100/L61,0)</f>
        <v>91.275778621812265</v>
      </c>
      <c r="P61" s="109">
        <f ca="1">IF(M61&gt;0,N61*100/M61,0)</f>
        <v>91.275778621812265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737200</v>
      </c>
      <c r="M62" s="47">
        <f ca="1">M63+M64</f>
        <v>737200</v>
      </c>
      <c r="N62" s="47">
        <f ca="1">N63+N64</f>
        <v>672885.04</v>
      </c>
      <c r="O62" s="47">
        <f ca="1">IF(L62&gt;0,N62*100/L62,0)</f>
        <v>91.275778621812265</v>
      </c>
      <c r="P62" s="47">
        <f ca="1">IF(M62&gt;0,N62*100/M62,0)</f>
        <v>91.275778621812265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IFERROR(__xludf.DUMMYFUNCTION("IMPORTRANGE(""https://docs.google.com/spreadsheets/d/1-uDff_7J0KD5mKrp0Vvzr7lt3OU09vwQwhkpOPPYv2Y/edit?usp=sharing"",""งบพรบ!AC77"")"),737200)</f>
        <v>737200</v>
      </c>
      <c r="M64" s="47">
        <f ca="1">IFERROR(__xludf.DUMMYFUNCTION("IMPORTRANGE(""https://docs.google.com/spreadsheets/d/1-uDff_7J0KD5mKrp0Vvzr7lt3OU09vwQwhkpOPPYv2Y/edit?usp=sharing"",""งบพรบ!AH77"")"),737200)</f>
        <v>737200</v>
      </c>
      <c r="N64" s="47">
        <f ca="1">IFERROR(__xludf.DUMMYFUNCTION("IMPORTRANGE(""https://docs.google.com/spreadsheets/d/1-uDff_7J0KD5mKrp0Vvzr7lt3OU09vwQwhkpOPPYv2Y/edit?usp=sharing"",""งบพรบ!AJ77"")"),672885.04)</f>
        <v>672885.04</v>
      </c>
      <c r="O64" s="47">
        <f ca="1">IF(L64&gt;0,N64*100/L64,0)</f>
        <v>91.275778621812265</v>
      </c>
      <c r="P64" s="47">
        <f ca="1">IF(M64&gt;0,N64*100/M64,0)</f>
        <v>91.275778621812265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IFERROR(__xludf.DUMMYFUNCTION("IMPORTRANGE(""https://docs.google.com/spreadsheets/d/1-uDff_7J0KD5mKrp0Vvzr7lt3OU09vwQwhkpOPPYv2Y/edit?usp=sharing"",""งบพรบ!AF77"")"),0)</f>
        <v>0</v>
      </c>
      <c r="M67" s="111">
        <f ca="1">IFERROR(__xludf.DUMMYFUNCTION("IMPORTRANGE(""https://docs.google.com/spreadsheets/d/1-uDff_7J0KD5mKrp0Vvzr7lt3OU09vwQwhkpOPPYv2Y/edit?usp=sharing"",""งบพรบ!AI77"")"),0)</f>
        <v>0</v>
      </c>
      <c r="N67" s="111">
        <f ca="1">IFERROR(__xludf.DUMMYFUNCTION("IMPORTRANGE(""https://docs.google.com/spreadsheets/d/1-uDff_7J0KD5mKrp0Vvzr7lt3OU09vwQwhkpOPPYv2Y/edit?usp=sharing"",""งบพรบ!AK77"")"),0)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IFERROR(__xludf.DUMMYFUNCTION("IMPORTRANGE(""https://docs.google.com/spreadsheets/d/1-uDff_7J0KD5mKrp0Vvzr7lt3OU09vwQwhkpOPPYv2Y/edit?usp=sharing"",""งบพรบ!AM77"")"),0)</f>
        <v>0</v>
      </c>
      <c r="M77" s="47">
        <f ca="1">IFERROR(__xludf.DUMMYFUNCTION("IMPORTRANGE(""https://docs.google.com/spreadsheets/d/1-uDff_7J0KD5mKrp0Vvzr7lt3OU09vwQwhkpOPPYv2Y/edit?usp=sharing"",""งบพรบ!AR77"")"),0)</f>
        <v>0</v>
      </c>
      <c r="N77" s="47">
        <f ca="1">IFERROR(__xludf.DUMMYFUNCTION("IMPORTRANGE(""https://docs.google.com/spreadsheets/d/1-uDff_7J0KD5mKrp0Vvzr7lt3OU09vwQwhkpOPPYv2Y/edit?usp=sharing"",""งบพรบ!AT77"")"),0)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IFERROR(__xludf.DUMMYFUNCTION("IMPORTRANGE(""https://docs.google.com/spreadsheets/d/1ItG2mGa2ceCfYo0BwxsXqNm01IGEUdYcSSLTEv9YCik/edit?usp=sharing"",""เบิกจ่ายกองทุน!BH77"")"),0)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IFERROR(__xludf.DUMMYFUNCTION("IMPORTRANGE(""https://docs.google.com/spreadsheets/d/1ItG2mGa2ceCfYo0BwxsXqNm01IGEUdYcSSLTEv9YCik/edit?usp=sharing"",""เบิกจ่ายกองทุน!BI77"")"),0)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IFERROR(__xludf.DUMMYFUNCTION("IMPORTRANGE(""https://docs.google.com/spreadsheets/d/1ItG2mGa2ceCfYo0BwxsXqNm01IGEUdYcSSLTEv9YCik/edit?usp=sharing"",""เบิกจ่ายกองทุน!BJ77"")"),0)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IFERROR(__xludf.DUMMYFUNCTION("IMPORTRANGE(""https://docs.google.com/spreadsheets/d/1-uDff_7J0KD5mKrp0Vvzr7lt3OU09vwQwhkpOPPYv2Y/edit?usp=sharing"",""งบพรบ!AP77"")"),0)</f>
        <v>0</v>
      </c>
      <c r="M80" s="47">
        <f ca="1">IFERROR(__xludf.DUMMYFUNCTION("IMPORTRANGE(""https://docs.google.com/spreadsheets/d/1-uDff_7J0KD5mKrp0Vvzr7lt3OU09vwQwhkpOPPYv2Y/edit?usp=sharing"",""งบพรบ!AS77"")"),0)</f>
        <v>0</v>
      </c>
      <c r="N80" s="47">
        <f ca="1">IFERROR(__xludf.DUMMYFUNCTION("IMPORTRANGE(""https://docs.google.com/spreadsheets/d/1-uDff_7J0KD5mKrp0Vvzr7lt3OU09vwQwhkpOPPYv2Y/edit?usp=sharing"",""งบพรบ!AU77"")"),0)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IFERROR(__xludf.DUMMYFUNCTION("IMPORTRANGE(""https://docs.google.com/spreadsheets/d/1ItG2mGa2ceCfYo0BwxsXqNm01IGEUdYcSSLTEv9YCik/edit?usp=sharing"",""เบิกจ่ายกองทุน!BK77"")"),0)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IFERROR(__xludf.DUMMYFUNCTION("IMPORTRANGE(""https://docs.google.com/spreadsheets/d/1ItG2mGa2ceCfYo0BwxsXqNm01IGEUdYcSSLTEv9YCik/edit?usp=sharing"",""เบิกจ่ายกองทุน!BL77"")"),0)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IFERROR(__xludf.DUMMYFUNCTION("IMPORTRANGE(""https://docs.google.com/spreadsheets/d/1ItG2mGa2ceCfYo0BwxsXqNm01IGEUdYcSSLTEv9YCik/edit?usp=sharing"",""เบิกจ่ายกองทุน!BM77"")"),0)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IFERROR(__xludf.DUMMYFUNCTION("IMPORTRANGE(""https://docs.google.com/spreadsheets/d/1eHaY18a8A9IcSdp1K8H6x8fbOy06t2VsZHhMHf-1x7Y/edit?usp=sharing"",""แผน!H77"")"),0)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IFERROR(__xludf.DUMMYFUNCTION("IMPORTRANGE(""https://docs.google.com/spreadsheets/d/1eHaY18a8A9IcSdp1K8H6x8fbOy06t2VsZHhMHf-1x7Y/edit?usp=sharing"",""แผน!I77"")"),0)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IFERROR(__xludf.DUMMYFUNCTION("IMPORTRANGE(""https://docs.google.com/spreadsheets/d/1eHaY18a8A9IcSdp1K8H6x8fbOy06t2VsZHhMHf-1x7Y/edit?usp=sharing"",""แผน!F77"")"),0)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IFERROR(__xludf.DUMMYFUNCTION("IMPORTRANGE(""https://docs.google.com/spreadsheets/d/1eHaY18a8A9IcSdp1K8H6x8fbOy06t2VsZHhMHf-1x7Y/edit?usp=sharing"",""แผน!G77"")"),0)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IFERROR(__xludf.DUMMYFUNCTION("IMPORTRANGE(""https://docs.google.com/spreadsheets/d/1eHaY18a8A9IcSdp1K8H6x8fbOy06t2VsZHhMHf-1x7Y/edit?usp=sharing"",""แผน!D77"")"),0)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IFERROR(__xludf.DUMMYFUNCTION("IMPORTRANGE(""https://docs.google.com/spreadsheets/d/1eHaY18a8A9IcSdp1K8H6x8fbOy06t2VsZHhMHf-1x7Y/edit?usp=sharing"",""แผน!E77"")"),0)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IFERROR(__xludf.DUMMYFUNCTION("IMPORTRANGE(""https://docs.google.com/spreadsheets/d/1eHaY18a8A9IcSdp1K8H6x8fbOy06t2VsZHhMHf-1x7Y/edit?usp=sharing"",""แผน!J77"")"),0)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IFERROR(__xludf.DUMMYFUNCTION("IMPORTRANGE(""https://docs.google.com/spreadsheets/d/1-uDff_7J0KD5mKrp0Vvzr7lt3OU09vwQwhkpOPPYv2Y/edit?usp=sharing"",""งบพรบ!AW77"")"),0)</f>
        <v>0</v>
      </c>
      <c r="M99" s="47">
        <f ca="1">IFERROR(__xludf.DUMMYFUNCTION("IMPORTRANGE(""https://docs.google.com/spreadsheets/d/1-uDff_7J0KD5mKrp0Vvzr7lt3OU09vwQwhkpOPPYv2Y/edit?usp=sharing"",""งบพรบ!BB77"")"),0)</f>
        <v>0</v>
      </c>
      <c r="N99" s="47">
        <f ca="1">IFERROR(__xludf.DUMMYFUNCTION("IMPORTRANGE(""https://docs.google.com/spreadsheets/d/1-uDff_7J0KD5mKrp0Vvzr7lt3OU09vwQwhkpOPPYv2Y/edit?usp=sharing"",""งบพรบ!BD77"")"),0)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IFERROR(__xludf.DUMMYFUNCTION("IMPORTRANGE(""https://docs.google.com/spreadsheets/d/1ItG2mGa2ceCfYo0BwxsXqNm01IGEUdYcSSLTEv9YCik/edit?usp=sharing"",""เบิกจ่ายกองทุน!AJ77"")"),0)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IFERROR(__xludf.DUMMYFUNCTION("IMPORTRANGE(""https://docs.google.com/spreadsheets/d/1ItG2mGa2ceCfYo0BwxsXqNm01IGEUdYcSSLTEv9YCik/edit?usp=sharing"",""เบิกจ่ายกองทุน!AK77"")"),0)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IFERROR(__xludf.DUMMYFUNCTION("IMPORTRANGE(""https://docs.google.com/spreadsheets/d/1ItG2mGa2ceCfYo0BwxsXqNm01IGEUdYcSSLTEv9YCik/edit?usp=sharing"",""เบิกจ่ายกองทุน!AL77"")"),0)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IFERROR(__xludf.DUMMYFUNCTION("IMPORTRANGE(""https://docs.google.com/spreadsheets/d/1-uDff_7J0KD5mKrp0Vvzr7lt3OU09vwQwhkpOPPYv2Y/edit?usp=sharing"",""งบพรบ!AZ77"")"),0)</f>
        <v>0</v>
      </c>
      <c r="M102" s="47">
        <f ca="1">IFERROR(__xludf.DUMMYFUNCTION("IMPORTRANGE(""https://docs.google.com/spreadsheets/d/1-uDff_7J0KD5mKrp0Vvzr7lt3OU09vwQwhkpOPPYv2Y/edit?usp=sharing"",""งบพรบ!BC77"")"),0)</f>
        <v>0</v>
      </c>
      <c r="N102" s="47">
        <f ca="1">IFERROR(__xludf.DUMMYFUNCTION("IMPORTRANGE(""https://docs.google.com/spreadsheets/d/1-uDff_7J0KD5mKrp0Vvzr7lt3OU09vwQwhkpOPPYv2Y/edit?usp=sharing"",""งบพรบ!BE77"")"),0)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IFERROR(__xludf.DUMMYFUNCTION("IMPORTRANGE(""https://docs.google.com/spreadsheets/d/1eHaY18a8A9IcSdp1K8H6x8fbOy06t2VsZHhMHf-1x7Y/edit?usp=sharing"",""แผน!N77"")"),0)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IFERROR(__xludf.DUMMYFUNCTION("IMPORTRANGE(""https://docs.google.com/spreadsheets/d/1eHaY18a8A9IcSdp1K8H6x8fbOy06t2VsZHhMHf-1x7Y/edit?usp=sharing"",""แผน!O77"")"),0)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IFERROR(__xludf.DUMMYFUNCTION("IMPORTRANGE(""https://docs.google.com/spreadsheets/d/1eHaY18a8A9IcSdp1K8H6x8fbOy06t2VsZHhMHf-1x7Y/edit?usp=sharing"",""แผน!R77"")"),0)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88475.02</v>
      </c>
      <c r="T117" s="132">
        <f ca="1">IF(Q117&gt;0,S117*100/Q117,0)</f>
        <v>46.21070719732581</v>
      </c>
      <c r="U117" s="132">
        <f ca="1">IF(R117&gt;0,S117*100/R117,0)</f>
        <v>46.21070719732581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88475.02</v>
      </c>
      <c r="T119" s="47">
        <f ca="1">IF(Q119&gt;0,S119*100/Q119,0)</f>
        <v>46.21070719732581</v>
      </c>
      <c r="U119" s="47">
        <f ca="1">IF(R119&gt;0,S119*100/R119,0)</f>
        <v>46.21070719732581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88475.02</v>
      </c>
      <c r="T120" s="47">
        <f ca="1">IF(Q120&gt;0,S120*100/Q120,0)</f>
        <v>46.21070719732581</v>
      </c>
      <c r="U120" s="47">
        <f ca="1">IF(R120&gt;0,S120*100/R120,0)</f>
        <v>46.21070719732581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IFERROR(__xludf.DUMMYFUNCTION("IMPORTRANGE(""https://docs.google.com/spreadsheets/d/1-uDff_7J0KD5mKrp0Vvzr7lt3OU09vwQwhkpOPPYv2Y/edit?usp=sharing"",""งบพรบ!BG77"")"),0)</f>
        <v>0</v>
      </c>
      <c r="M122" s="47">
        <f ca="1">IFERROR(__xludf.DUMMYFUNCTION("IMPORTRANGE(""https://docs.google.com/spreadsheets/d/1-uDff_7J0KD5mKrp0Vvzr7lt3OU09vwQwhkpOPPYv2Y/edit?usp=sharing"",""งบพรบ!BL77"")"),0)</f>
        <v>0</v>
      </c>
      <c r="N122" s="47">
        <f ca="1">IFERROR(__xludf.DUMMYFUNCTION("IMPORTRANGE(""https://docs.google.com/spreadsheets/d/1-uDff_7J0KD5mKrp0Vvzr7lt3OU09vwQwhkpOPPYv2Y/edit?usp=sharing"",""งบพรบ!BN77"")"),0)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IFERROR(__xludf.DUMMYFUNCTION("IMPORTRANGE(""https://docs.google.com/spreadsheets/d/1ItG2mGa2ceCfYo0BwxsXqNm01IGEUdYcSSLTEv9YCik/edit?usp=sharing"",""เบิกจ่ายกองทุน!U77"")"),191460)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IFERROR(__xludf.DUMMYFUNCTION("IMPORTRANGE(""https://docs.google.com/spreadsheets/d/1ItG2mGa2ceCfYo0BwxsXqNm01IGEUdYcSSLTEv9YCik/edit?usp=sharing"",""เบิกจ่ายกองทุน!V77"")"),191460)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IFERROR(__xludf.DUMMYFUNCTION("IMPORTRANGE(""https://docs.google.com/spreadsheets/d/1ItG2mGa2ceCfYo0BwxsXqNm01IGEUdYcSSLTEv9YCik/edit?usp=sharing"",""เบิกจ่ายกองทุน!W77"")"),88475.02)</f>
        <v>88475.02</v>
      </c>
      <c r="T122" s="47">
        <f ca="1">IF(Q122&gt;0,S122*100/Q122,0)</f>
        <v>46.21070719732581</v>
      </c>
      <c r="U122" s="47">
        <f ca="1">IF(R122&gt;0,S122*100/R122,0)</f>
        <v>46.21070719732581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IFERROR(__xludf.DUMMYFUNCTION("IMPORTRANGE(""https://docs.google.com/spreadsheets/d/1-uDff_7J0KD5mKrp0Vvzr7lt3OU09vwQwhkpOPPYv2Y/edit?usp=sharing"",""งบพรบ!BJ77"")"),0)</f>
        <v>0</v>
      </c>
      <c r="M125" s="47">
        <f ca="1">IFERROR(__xludf.DUMMYFUNCTION("IMPORTRANGE(""https://docs.google.com/spreadsheets/d/1-uDff_7J0KD5mKrp0Vvzr7lt3OU09vwQwhkpOPPYv2Y/edit?usp=sharing"",""งบพรบ!BM77"")"),0)</f>
        <v>0</v>
      </c>
      <c r="N125" s="47">
        <f ca="1">IFERROR(__xludf.DUMMYFUNCTION("IMPORTRANGE(""https://docs.google.com/spreadsheets/d/1-uDff_7J0KD5mKrp0Vvzr7lt3OU09vwQwhkpOPPYv2Y/edit?usp=sharing"",""งบพรบ!BO77"")"),0)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IFERROR(__xludf.DUMMYFUNCTION("IMPORTRANGE(""https://docs.google.com/spreadsheets/d/1ItG2mGa2ceCfYo0BwxsXqNm01IGEUdYcSSLTEv9YCik/edit?usp=sharing"",""เบิกจ่ายกองทุน!X77"")"),0)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IFERROR(__xludf.DUMMYFUNCTION("IMPORTRANGE(""https://docs.google.com/spreadsheets/d/1ItG2mGa2ceCfYo0BwxsXqNm01IGEUdYcSSLTEv9YCik/edit?usp=sharing"",""เบิกจ่ายกองทุน!Y77"")"),0)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IFERROR(__xludf.DUMMYFUNCTION("IMPORTRANGE(""https://docs.google.com/spreadsheets/d/1ItG2mGa2ceCfYo0BwxsXqNm01IGEUdYcSSLTEv9YCik/edit?usp=sharing"",""เบิกจ่ายกองทุน!Z77"")"),0)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IFERROR(__xludf.DUMMYFUNCTION("IMPORTRANGE(""https://docs.google.com/spreadsheets/d/1eHaY18a8A9IcSdp1K8H6x8fbOy06t2VsZHhMHf-1x7Y/edit?usp=sharing"",""แผน!FF77"")"),15)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IFERROR(__xludf.DUMMYFUNCTION("IMPORTRANGE(""https://docs.google.com/spreadsheets/d/1eHaY18a8A9IcSdp1K8H6x8fbOy06t2VsZHhMHf-1x7Y/edit?usp=sharing"",""แผน!FG77"")"),0)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IFERROR(__xludf.DUMMYFUNCTION("IMPORTRANGE(""https://docs.google.com/spreadsheets/d/1eHaY18a8A9IcSdp1K8H6x8fbOy06t2VsZHhMHf-1x7Y/edit?usp=sharing"",""แผน!FH77"")"),15)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IFERROR(__xludf.DUMMYFUNCTION("IMPORTRANGE(""https://docs.google.com/spreadsheets/d/1eHaY18a8A9IcSdp1K8H6x8fbOy06t2VsZHhMHf-1x7Y/edit?usp=sharing"",""แผน!FI77"")"),0)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1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20</v>
      </c>
      <c r="J137" s="127">
        <f>J152</f>
        <v>20</v>
      </c>
      <c r="K137" s="35">
        <f ca="1">IF(I137&gt;0,J137*100/I137,0)</f>
        <v>100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2</v>
      </c>
      <c r="J138" s="127">
        <f>J153</f>
        <v>2</v>
      </c>
      <c r="K138" s="35">
        <f ca="1">IF(I138&gt;0,J138*100/I138,0)</f>
        <v>100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137700</v>
      </c>
      <c r="M139" s="132">
        <f ca="1">M140+M141</f>
        <v>132700</v>
      </c>
      <c r="N139" s="132">
        <f ca="1">N140+N141</f>
        <v>98780.49</v>
      </c>
      <c r="O139" s="132">
        <f ca="1">IF(L139&gt;0,N139*100/L139,0)</f>
        <v>71.736013071895428</v>
      </c>
      <c r="P139" s="132">
        <f ca="1">IF(M139&gt;0,N139*100/M139,0)</f>
        <v>74.438952524491327</v>
      </c>
      <c r="Q139" s="132">
        <f ca="1">Q140+Q141</f>
        <v>174860</v>
      </c>
      <c r="R139" s="132">
        <f ca="1">R140+R141</f>
        <v>174860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137700</v>
      </c>
      <c r="M141" s="47">
        <f ca="1">M144+M147</f>
        <v>132700</v>
      </c>
      <c r="N141" s="47">
        <f ca="1">N144+N147</f>
        <v>98780.49</v>
      </c>
      <c r="O141" s="47">
        <f ca="1">IF(L141&gt;0,N141*100/L141,0)</f>
        <v>71.736013071895428</v>
      </c>
      <c r="P141" s="47">
        <f ca="1">IF(M141&gt;0,N141*100/M141,0)</f>
        <v>74.438952524491327</v>
      </c>
      <c r="Q141" s="47">
        <f ca="1">Q144+Q147</f>
        <v>174860</v>
      </c>
      <c r="R141" s="47">
        <f ca="1">R144+R147</f>
        <v>174860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137700</v>
      </c>
      <c r="M142" s="47">
        <f ca="1">M143+M144</f>
        <v>132700</v>
      </c>
      <c r="N142" s="47">
        <f ca="1">N143+N144</f>
        <v>98780.49</v>
      </c>
      <c r="O142" s="47">
        <f ca="1">IF(L142&gt;0,N142*100/L142,0)</f>
        <v>71.736013071895428</v>
      </c>
      <c r="P142" s="47">
        <f ca="1">IF(M142&gt;0,N142*100/M142,0)</f>
        <v>74.438952524491327</v>
      </c>
      <c r="Q142" s="47">
        <f ca="1">Q143+Q144</f>
        <v>174860</v>
      </c>
      <c r="R142" s="47">
        <f ca="1">R143+R144</f>
        <v>174860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IFERROR(__xludf.DUMMYFUNCTION("IMPORTRANGE(""https://docs.google.com/spreadsheets/d/1-uDff_7J0KD5mKrp0Vvzr7lt3OU09vwQwhkpOPPYv2Y/edit?usp=sharing"",""งบพรบ!BQ77"")"),137700)</f>
        <v>137700</v>
      </c>
      <c r="M144" s="47">
        <f ca="1">IFERROR(__xludf.DUMMYFUNCTION("IMPORTRANGE(""https://docs.google.com/spreadsheets/d/1-uDff_7J0KD5mKrp0Vvzr7lt3OU09vwQwhkpOPPYv2Y/edit?usp=sharing"",""งบพรบ!BV77"")"),132700)</f>
        <v>132700</v>
      </c>
      <c r="N144" s="47">
        <f ca="1">IFERROR(__xludf.DUMMYFUNCTION("IMPORTRANGE(""https://docs.google.com/spreadsheets/d/1-uDff_7J0KD5mKrp0Vvzr7lt3OU09vwQwhkpOPPYv2Y/edit?usp=sharing"",""งบพรบ!BX77"")"),98780.49)</f>
        <v>98780.49</v>
      </c>
      <c r="O144" s="47">
        <f ca="1">IF(L144&gt;0,N144*100/L144,0)</f>
        <v>71.736013071895428</v>
      </c>
      <c r="P144" s="47">
        <f ca="1">IF(M144&gt;0,N144*100/M144,0)</f>
        <v>74.438952524491327</v>
      </c>
      <c r="Q144" s="47">
        <f ca="1">IFERROR(__xludf.DUMMYFUNCTION("IMPORTRANGE(""https://docs.google.com/spreadsheets/d/1ItG2mGa2ceCfYo0BwxsXqNm01IGEUdYcSSLTEv9YCik/edit?usp=sharing"",""เบิกจ่ายกองทุน!CF77"")"),174860)</f>
        <v>174860</v>
      </c>
      <c r="R144" s="47">
        <f ca="1">IFERROR(__xludf.DUMMYFUNCTION("IMPORTRANGE(""https://docs.google.com/spreadsheets/d/1ItG2mGa2ceCfYo0BwxsXqNm01IGEUdYcSSLTEv9YCik/edit?usp=sharing"",""เบิกจ่ายกองทุน!CG77"")"),174860)</f>
        <v>174860</v>
      </c>
      <c r="S144" s="47">
        <f ca="1">IFERROR(__xludf.DUMMYFUNCTION("IMPORTRANGE(""https://docs.google.com/spreadsheets/d/1ItG2mGa2ceCfYo0BwxsXqNm01IGEUdYcSSLTEv9YCik/edit?usp=sharing"",""เบิกจ่ายกองทุน!CH77"")"),0)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IFERROR(__xludf.DUMMYFUNCTION("IMPORTRANGE(""https://docs.google.com/spreadsheets/d/1-uDff_7J0KD5mKrp0Vvzr7lt3OU09vwQwhkpOPPYv2Y/edit?usp=sharing"",""งบพรบ!BT77"")"),0)</f>
        <v>0</v>
      </c>
      <c r="M147" s="47">
        <f ca="1">IFERROR(__xludf.DUMMYFUNCTION("IMPORTRANGE(""https://docs.google.com/spreadsheets/d/1-uDff_7J0KD5mKrp0Vvzr7lt3OU09vwQwhkpOPPYv2Y/edit?usp=sharing"",""งบพรบ!BW77"")"),0)</f>
        <v>0</v>
      </c>
      <c r="N147" s="47">
        <f ca="1">IFERROR(__xludf.DUMMYFUNCTION("IMPORTRANGE(""https://docs.google.com/spreadsheets/d/1-uDff_7J0KD5mKrp0Vvzr7lt3OU09vwQwhkpOPPYv2Y/edit?usp=sharing"",""งบพรบ!BY77"")"),0)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IFERROR(__xludf.DUMMYFUNCTION("IMPORTRANGE(""https://docs.google.com/spreadsheets/d/1ItG2mGa2ceCfYo0BwxsXqNm01IGEUdYcSSLTEv9YCik/edit?usp=sharing"",""เบิกจ่ายกองทุน!CI77"")"),0)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IFERROR(__xludf.DUMMYFUNCTION("IMPORTRANGE(""https://docs.google.com/spreadsheets/d/1ItG2mGa2ceCfYo0BwxsXqNm01IGEUdYcSSLTEv9YCik/edit?usp=sharing"",""เบิกจ่ายกองทุน!CJ77"")"),0)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IFERROR(__xludf.DUMMYFUNCTION("IMPORTRANGE(""https://docs.google.com/spreadsheets/d/1ItG2mGa2ceCfYo0BwxsXqNm01IGEUdYcSSLTEv9YCik/edit?usp=sharing"",""เบิกจ่ายกองทุน!CK77"")"),0)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IFERROR(__xludf.DUMMYFUNCTION("IMPORTRANGE(""https://docs.google.com/spreadsheets/d/1eHaY18a8A9IcSdp1K8H6x8fbOy06t2VsZHhMHf-1x7Y/edit?usp=sharing"",""แผน!U77"")"),10)</f>
        <v>10</v>
      </c>
      <c r="J150" s="167">
        <v>10</v>
      </c>
      <c r="K150" s="47">
        <f ca="1">IF(I150&gt;0,J150*100/I150,0)</f>
        <v>100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IFERROR(__xludf.DUMMYFUNCTION("IMPORTRANGE(""https://docs.google.com/spreadsheets/d/1eHaY18a8A9IcSdp1K8H6x8fbOy06t2VsZHhMHf-1x7Y/edit?usp=sharing"",""แผน!V77"")"),1)</f>
        <v>1</v>
      </c>
      <c r="J151" s="167">
        <v>1</v>
      </c>
      <c r="K151" s="47">
        <f ca="1">IF(I151&gt;0,J151*100/I151,0)</f>
        <v>100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IFERROR(__xludf.DUMMYFUNCTION("IMPORTRANGE(""https://docs.google.com/spreadsheets/d/1eHaY18a8A9IcSdp1K8H6x8fbOy06t2VsZHhMHf-1x7Y/edit?usp=sharing"",""แผน!W77"")"),20)</f>
        <v>20</v>
      </c>
      <c r="J152" s="167">
        <v>20</v>
      </c>
      <c r="K152" s="47">
        <f ca="1">IF(I152&gt;0,J152*100/I152,0)</f>
        <v>100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IFERROR(__xludf.DUMMYFUNCTION("IMPORTRANGE(""https://docs.google.com/spreadsheets/d/1eHaY18a8A9IcSdp1K8H6x8fbOy06t2VsZHhMHf-1x7Y/edit?usp=sharing"",""แผน!X77"")"),2)</f>
        <v>2</v>
      </c>
      <c r="J153" s="167">
        <v>2</v>
      </c>
      <c r="K153" s="47">
        <f ca="1">IF(I153&gt;0,J153*100/I153,0)</f>
        <v>100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IFERROR(__xludf.DUMMYFUNCTION("IMPORTRANGE(""https://docs.google.com/spreadsheets/d/1eHaY18a8A9IcSdp1K8H6x8fbOy06t2VsZHhMHf-1x7Y/edit?usp=sharing"",""แผน!Y77"")"),1)</f>
        <v>1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IFERROR(__xludf.DUMMYFUNCTION("IMPORTRANGE(""https://docs.google.com/spreadsheets/d/1-uDff_7J0KD5mKrp0Vvzr7lt3OU09vwQwhkpOPPYv2Y/edit?usp=sharing"",""งบพรบ!CA77"")"),0)</f>
        <v>0</v>
      </c>
      <c r="M162" s="47">
        <f ca="1">IFERROR(__xludf.DUMMYFUNCTION("IMPORTRANGE(""https://docs.google.com/spreadsheets/d/1-uDff_7J0KD5mKrp0Vvzr7lt3OU09vwQwhkpOPPYv2Y/edit?usp=sharing"",""งบพรบ!CF77"")"),0)</f>
        <v>0</v>
      </c>
      <c r="N162" s="47">
        <f ca="1">IFERROR(__xludf.DUMMYFUNCTION("IMPORTRANGE(""https://docs.google.com/spreadsheets/d/1-uDff_7J0KD5mKrp0Vvzr7lt3OU09vwQwhkpOPPYv2Y/edit?usp=sharing"",""งบพรบ!CH77"")"),0)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IFERROR(__xludf.DUMMYFUNCTION("IMPORTRANGE(""https://docs.google.com/spreadsheets/d/1ItG2mGa2ceCfYo0BwxsXqNm01IGEUdYcSSLTEv9YCik/edit?usp=sharing"",""เบิกจ่ายกองทุน!AM77"")"),0)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IFERROR(__xludf.DUMMYFUNCTION("IMPORTRANGE(""https://docs.google.com/spreadsheets/d/1ItG2mGa2ceCfYo0BwxsXqNm01IGEUdYcSSLTEv9YCik/edit?usp=sharing"",""เบิกจ่ายกองทุน!AN77"")"),0)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IFERROR(__xludf.DUMMYFUNCTION("IMPORTRANGE(""https://docs.google.com/spreadsheets/d/1ItG2mGa2ceCfYo0BwxsXqNm01IGEUdYcSSLTEv9YCik/edit?usp=sharing"",""เบิกจ่ายกองทุน!AO77"")"),0)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IFERROR(__xludf.DUMMYFUNCTION("IMPORTRANGE(""https://docs.google.com/spreadsheets/d/1-uDff_7J0KD5mKrp0Vvzr7lt3OU09vwQwhkpOPPYv2Y/edit?usp=sharing"",""งบพรบ!CD77"")"),0)</f>
        <v>0</v>
      </c>
      <c r="M165" s="47">
        <f ca="1">IFERROR(__xludf.DUMMYFUNCTION("IMPORTRANGE(""https://docs.google.com/spreadsheets/d/1-uDff_7J0KD5mKrp0Vvzr7lt3OU09vwQwhkpOPPYv2Y/edit?usp=sharing"",""งบพรบ!CG77"")"),0)</f>
        <v>0</v>
      </c>
      <c r="N165" s="47">
        <f ca="1">IFERROR(__xludf.DUMMYFUNCTION("IMPORTRANGE(""https://docs.google.com/spreadsheets/d/1-uDff_7J0KD5mKrp0Vvzr7lt3OU09vwQwhkpOPPYv2Y/edit?usp=sharing"",""งบพรบ!CI77"")"),0)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IFERROR(__xludf.DUMMYFUNCTION("IMPORTRANGE(""https://docs.google.com/spreadsheets/d/1eHaY18a8A9IcSdp1K8H6x8fbOy06t2VsZHhMHf-1x7Y/edit?usp=sharing"",""แผน!Z77"")"),0)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IFERROR(__xludf.DUMMYFUNCTION("IMPORTRANGE(""https://docs.google.com/spreadsheets/d/1eHaY18a8A9IcSdp1K8H6x8fbOy06t2VsZHhMHf-1x7Y/edit?usp=sharing"",""แผน!Z77"")"),0)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IFERROR(__xludf.DUMMYFUNCTION("IMPORTRANGE(""https://docs.google.com/spreadsheets/d/1eHaY18a8A9IcSdp1K8H6x8fbOy06t2VsZHhMHf-1x7Y/edit?usp=sharing"",""แผน!Z77"")"),0)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36840</v>
      </c>
      <c r="N173" s="132">
        <f ca="1">N174+N175</f>
        <v>36840</v>
      </c>
      <c r="O173" s="132">
        <f ca="1">IF(L173&gt;0,N173*100/L173,0)</f>
        <v>188.0551301684533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36840</v>
      </c>
      <c r="N175" s="47">
        <f ca="1">N178+N181</f>
        <v>36840</v>
      </c>
      <c r="O175" s="47">
        <f ca="1">IF(L175&gt;0,N175*100/L175,0)</f>
        <v>188.0551301684533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36840</v>
      </c>
      <c r="N176" s="47">
        <f ca="1">N177+N178</f>
        <v>36840</v>
      </c>
      <c r="O176" s="47">
        <f ca="1">IF(L176&gt;0,N176*100/L176,0)</f>
        <v>188.0551301684533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IFERROR(__xludf.DUMMYFUNCTION("IMPORTRANGE(""https://docs.google.com/spreadsheets/d/1-uDff_7J0KD5mKrp0Vvzr7lt3OU09vwQwhkpOPPYv2Y/edit?usp=sharing"",""งบพรบ!CK77"")"),19590)</f>
        <v>19590</v>
      </c>
      <c r="M178" s="47">
        <f ca="1">IFERROR(__xludf.DUMMYFUNCTION("IMPORTRANGE(""https://docs.google.com/spreadsheets/d/1-uDff_7J0KD5mKrp0Vvzr7lt3OU09vwQwhkpOPPYv2Y/edit?usp=sharing"",""งบพรบ!CP77"")"),36840)</f>
        <v>36840</v>
      </c>
      <c r="N178" s="47">
        <f ca="1">IFERROR(__xludf.DUMMYFUNCTION("IMPORTRANGE(""https://docs.google.com/spreadsheets/d/1-uDff_7J0KD5mKrp0Vvzr7lt3OU09vwQwhkpOPPYv2Y/edit?usp=sharing"",""งบพรบ!CR77"")"),36840)</f>
        <v>36840</v>
      </c>
      <c r="O178" s="47">
        <f ca="1">IF(L178&gt;0,N178*100/L178,0)</f>
        <v>188.0551301684533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IFERROR(__xludf.DUMMYFUNCTION("IMPORTRANGE(""https://docs.google.com/spreadsheets/d/1ItG2mGa2ceCfYo0BwxsXqNm01IGEUdYcSSLTEv9YCik/edit?usp=sharing"",""เบิกจ่ายกองทุน!DG77"")"),0)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IFERROR(__xludf.DUMMYFUNCTION("IMPORTRANGE(""https://docs.google.com/spreadsheets/d/1ItG2mGa2ceCfYo0BwxsXqNm01IGEUdYcSSLTEv9YCik/edit?usp=sharing"",""เบิกจ่ายกองทุน!DH77"")"),0)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IFERROR(__xludf.DUMMYFUNCTION("IMPORTRANGE(""https://docs.google.com/spreadsheets/d/1ItG2mGa2ceCfYo0BwxsXqNm01IGEUdYcSSLTEv9YCik/edit?usp=sharing"",""เบิกจ่ายกองทุน!DI77"")"),0)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IFERROR(__xludf.DUMMYFUNCTION("IMPORTRANGE(""https://docs.google.com/spreadsheets/d/1-uDff_7J0KD5mKrp0Vvzr7lt3OU09vwQwhkpOPPYv2Y/edit?usp=sharing"",""งบพรบ!CN77"")"),0)</f>
        <v>0</v>
      </c>
      <c r="M181" s="47">
        <f ca="1">IFERROR(__xludf.DUMMYFUNCTION("IMPORTRANGE(""https://docs.google.com/spreadsheets/d/1-uDff_7J0KD5mKrp0Vvzr7lt3OU09vwQwhkpOPPYv2Y/edit?usp=sharing"",""งบพรบ!CQ77"")"),0)</f>
        <v>0</v>
      </c>
      <c r="N181" s="47">
        <f ca="1">IFERROR(__xludf.DUMMYFUNCTION("IMPORTRANGE(""https://docs.google.com/spreadsheets/d/1-uDff_7J0KD5mKrp0Vvzr7lt3OU09vwQwhkpOPPYv2Y/edit?usp=sharing"",""งบพรบ!CS77"")"),0)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IFERROR(__xludf.DUMMYFUNCTION("IMPORTRANGE(""https://docs.google.com/spreadsheets/d/1eHaY18a8A9IcSdp1K8H6x8fbOy06t2VsZHhMHf-1x7Y/edit?usp=sharing"",""แผน!AA77"")"),7)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15500</v>
      </c>
      <c r="M186" s="132">
        <f ca="1">M187+M188</f>
        <v>24200</v>
      </c>
      <c r="N186" s="132">
        <f ca="1">N187+N188</f>
        <v>6700</v>
      </c>
      <c r="O186" s="132">
        <f ca="1">IF(L186&gt;0,N186*100/L186,0)</f>
        <v>43.225806451612904</v>
      </c>
      <c r="P186" s="132">
        <f ca="1">IF(M186&gt;0,N186*100/M186,0)</f>
        <v>27.685950413223139</v>
      </c>
      <c r="Q186" s="132">
        <f ca="1">Q187+Q188</f>
        <v>14000</v>
      </c>
      <c r="R186" s="132">
        <f ca="1">R187+R188</f>
        <v>14000</v>
      </c>
      <c r="S186" s="132">
        <f ca="1">S187+S188</f>
        <v>1085</v>
      </c>
      <c r="T186" s="132">
        <f ca="1">IF(Q186&gt;0,S186*100/Q186,0)</f>
        <v>7.75</v>
      </c>
      <c r="U186" s="132">
        <f ca="1">IF(R186&gt;0,S186*100/R186,0)</f>
        <v>7.75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15500</v>
      </c>
      <c r="M188" s="47">
        <f ca="1">M191+M194</f>
        <v>24200</v>
      </c>
      <c r="N188" s="47">
        <f ca="1">N191+N194</f>
        <v>6700</v>
      </c>
      <c r="O188" s="47">
        <f ca="1">IF(L188&gt;0,N188*100/L188,0)</f>
        <v>43.225806451612904</v>
      </c>
      <c r="P188" s="47">
        <f ca="1">IF(M188&gt;0,N188*100/M188,0)</f>
        <v>27.685950413223139</v>
      </c>
      <c r="Q188" s="47">
        <f ca="1">Q191+Q194</f>
        <v>14000</v>
      </c>
      <c r="R188" s="47">
        <f ca="1">R191+R194</f>
        <v>14000</v>
      </c>
      <c r="S188" s="47">
        <f ca="1">S191+S194</f>
        <v>1085</v>
      </c>
      <c r="T188" s="47">
        <f ca="1">IF(Q188&gt;0,S188*100/Q188,0)</f>
        <v>7.75</v>
      </c>
      <c r="U188" s="47">
        <f ca="1">IF(R188&gt;0,S188*100/R188,0)</f>
        <v>7.75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15500</v>
      </c>
      <c r="M189" s="47">
        <f ca="1">M190+M191</f>
        <v>24200</v>
      </c>
      <c r="N189" s="47">
        <f ca="1">N190+N191</f>
        <v>6700</v>
      </c>
      <c r="O189" s="47">
        <f ca="1">IF(L189&gt;0,N189*100/L189,0)</f>
        <v>43.225806451612904</v>
      </c>
      <c r="P189" s="47">
        <f ca="1">IF(M189&gt;0,N189*100/M189,0)</f>
        <v>27.685950413223139</v>
      </c>
      <c r="Q189" s="47">
        <f ca="1">Q190+Q191</f>
        <v>14000</v>
      </c>
      <c r="R189" s="47">
        <f ca="1">R190+R191</f>
        <v>14000</v>
      </c>
      <c r="S189" s="47">
        <f ca="1">S190+S191</f>
        <v>1085</v>
      </c>
      <c r="T189" s="47">
        <f ca="1">IF(Q189&gt;0,S189*100/Q189,0)</f>
        <v>7.75</v>
      </c>
      <c r="U189" s="47">
        <f ca="1">IF(R189&gt;0,S189*100/R189,0)</f>
        <v>7.75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IFERROR(__xludf.DUMMYFUNCTION("IMPORTRANGE(""https://docs.google.com/spreadsheets/d/1-uDff_7J0KD5mKrp0Vvzr7lt3OU09vwQwhkpOPPYv2Y/edit?usp=sharing"",""งบพรบ!CU77"")"),15500)</f>
        <v>15500</v>
      </c>
      <c r="M191" s="47">
        <f ca="1">IFERROR(__xludf.DUMMYFUNCTION("IMPORTRANGE(""https://docs.google.com/spreadsheets/d/1-uDff_7J0KD5mKrp0Vvzr7lt3OU09vwQwhkpOPPYv2Y/edit?usp=sharing"",""งบพรบ!CZ77"")"),24200)</f>
        <v>24200</v>
      </c>
      <c r="N191" s="47">
        <f ca="1">IFERROR(__xludf.DUMMYFUNCTION("IMPORTRANGE(""https://docs.google.com/spreadsheets/d/1-uDff_7J0KD5mKrp0Vvzr7lt3OU09vwQwhkpOPPYv2Y/edit?usp=sharing"",""งบพรบ!DB77"")"),6700)</f>
        <v>6700</v>
      </c>
      <c r="O191" s="47">
        <f ca="1">IF(L191&gt;0,N191*100/L191,0)</f>
        <v>43.225806451612904</v>
      </c>
      <c r="P191" s="47">
        <f ca="1">IF(M191&gt;0,N191*100/M191,0)</f>
        <v>27.685950413223139</v>
      </c>
      <c r="Q191" s="47">
        <f ca="1">IFERROR(__xludf.DUMMYFUNCTION("IMPORTRANGE(""https://docs.google.com/spreadsheets/d/1ItG2mGa2ceCfYo0BwxsXqNm01IGEUdYcSSLTEv9YCik/edit?usp=sharing"",""เบิกจ่ายกองทุน!BQ77"")"),14000)</f>
        <v>14000</v>
      </c>
      <c r="R191" s="47">
        <f ca="1">IFERROR(__xludf.DUMMYFUNCTION("IMPORTRANGE(""https://docs.google.com/spreadsheets/d/1ItG2mGa2ceCfYo0BwxsXqNm01IGEUdYcSSLTEv9YCik/edit?usp=sharing"",""เบิกจ่ายกองทุน!BR77"")"),14000)</f>
        <v>14000</v>
      </c>
      <c r="S191" s="47">
        <f ca="1">IFERROR(__xludf.DUMMYFUNCTION("IMPORTRANGE(""https://docs.google.com/spreadsheets/d/1ItG2mGa2ceCfYo0BwxsXqNm01IGEUdYcSSLTEv9YCik/edit?usp=sharing"",""เบิกจ่ายกองทุน!BS77"")"),1085)</f>
        <v>1085</v>
      </c>
      <c r="T191" s="47">
        <f ca="1">IF(Q191&gt;0,S191*100/Q191,0)</f>
        <v>7.75</v>
      </c>
      <c r="U191" s="47">
        <f ca="1">IF(R191&gt;0,S191*100/R191,0)</f>
        <v>7.75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IFERROR(__xludf.DUMMYFUNCTION("IMPORTRANGE(""https://docs.google.com/spreadsheets/d/1-uDff_7J0KD5mKrp0Vvzr7lt3OU09vwQwhkpOPPYv2Y/edit?usp=sharing"",""งบพรบ!CX77"")"),0)</f>
        <v>0</v>
      </c>
      <c r="M194" s="47">
        <f ca="1">IFERROR(__xludf.DUMMYFUNCTION("IMPORTRANGE(""https://docs.google.com/spreadsheets/d/1-uDff_7J0KD5mKrp0Vvzr7lt3OU09vwQwhkpOPPYv2Y/edit?usp=sharing"",""งบพรบ!DA77"")"),0)</f>
        <v>0</v>
      </c>
      <c r="N194" s="47">
        <f ca="1">IFERROR(__xludf.DUMMYFUNCTION("IMPORTRANGE(""https://docs.google.com/spreadsheets/d/1-uDff_7J0KD5mKrp0Vvzr7lt3OU09vwQwhkpOPPYv2Y/edit?usp=sharing"",""งบพรบ!DC77"")"),0)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IFERROR(__xludf.DUMMYFUNCTION("IMPORTRANGE(""https://docs.google.com/spreadsheets/d/1ItG2mGa2ceCfYo0BwxsXqNm01IGEUdYcSSLTEv9YCik/edit?usp=sharing"",""เบิกจ่ายกองทุน!BT77"")"),0)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IFERROR(__xludf.DUMMYFUNCTION("IMPORTRANGE(""https://docs.google.com/spreadsheets/d/1ItG2mGa2ceCfYo0BwxsXqNm01IGEUdYcSSLTEv9YCik/edit?usp=sharing"",""เบิกจ่ายกองทุน!BU77"")"),0)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IFERROR(__xludf.DUMMYFUNCTION("IMPORTRANGE(""https://docs.google.com/spreadsheets/d/1ItG2mGa2ceCfYo0BwxsXqNm01IGEUdYcSSLTEv9YCik/edit?usp=sharing"",""เบิกจ่ายกองทุน!BV77"")"),0)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IFERROR(__xludf.DUMMYFUNCTION("IMPORTRANGE(""https://docs.google.com/spreadsheets/d/1eHaY18a8A9IcSdp1K8H6x8fbOy06t2VsZHhMHf-1x7Y/edit?usp=sharing"",""แผน!AB77"")"),6000)</f>
        <v>6000</v>
      </c>
      <c r="M196" s="46"/>
      <c r="N196" s="768">
        <v>1440</v>
      </c>
      <c r="O196" s="132">
        <f ca="1">IF(L196&gt;0,N196*100/L196,0)</f>
        <v>24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IFERROR(__xludf.DUMMYFUNCTION("IMPORTRANGE(""https://docs.google.com/spreadsheets/d/1eHaY18a8A9IcSdp1K8H6x8fbOy06t2VsZHhMHf-1x7Y/edit?usp=sharing"",""แผน!AE77"")"),4)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72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72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5000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14000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IFERROR(__xludf.DUMMYFUNCTION("IMPORTRANGE(""https://docs.google.com/spreadsheets/d/1eHaY18a8A9IcSdp1K8H6x8fbOy06t2VsZHhMHf-1x7Y/edit?usp=sharing"",""แผน!AG77"")"),1000)</f>
        <v>1000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IFERROR(__xludf.DUMMYFUNCTION("IMPORTRANGE(""https://docs.google.com/spreadsheets/d/1eHaY18a8A9IcSdp1K8H6x8fbOy06t2VsZHhMHf-1x7Y/edit?usp=sharing"",""แผน!AH77"")"),0)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IFERROR(__xludf.DUMMYFUNCTION("IMPORTRANGE(""https://docs.google.com/spreadsheets/d/1eHaY18a8A9IcSdp1K8H6x8fbOy06t2VsZHhMHf-1x7Y/edit?usp=sharing"",""แผน!AI77"")"),0)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IFERROR(__xludf.DUMMYFUNCTION("IMPORTRANGE(""https://docs.google.com/spreadsheets/d/1eHaY18a8A9IcSdp1K8H6x8fbOy06t2VsZHhMHf-1x7Y/edit?usp=sharing"",""แผน!LV77"")"),14000)</f>
        <v>14000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IFERROR(__xludf.DUMMYFUNCTION("IMPORTRANGE(""https://docs.google.com/spreadsheets/d/1eHaY18a8A9IcSdp1K8H6x8fbOy06t2VsZHhMHf-1x7Y/edit?usp=sharing"",""แผน!AJ77"")"),4000)</f>
        <v>4000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IFERROR(__xludf.DUMMYFUNCTION("IMPORTRANGE(""https://docs.google.com/spreadsheets/d/1eHaY18a8A9IcSdp1K8H6x8fbOy06t2VsZHhMHf-1x7Y/edit?usp=sharing"",""แผน!AK77"")"),1)</f>
        <v>1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IFERROR(__xludf.DUMMYFUNCTION("IMPORTRANGE(""https://docs.google.com/spreadsheets/d/1eHaY18a8A9IcSdp1K8H6x8fbOy06t2VsZHhMHf-1x7Y/edit?usp=sharing"",""แผน!JX77"")"),1)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IFERROR(__xludf.DUMMYFUNCTION("IMPORTRANGE(""https://docs.google.com/spreadsheets/d/1eHaY18a8A9IcSdp1K8H6x8fbOy06t2VsZHhMHf-1x7Y/edit?usp=sharing"",""แผน!JY77"")"),0)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IFERROR(__xludf.DUMMYFUNCTION("IMPORTRANGE(""https://docs.google.com/spreadsheets/d/1eHaY18a8A9IcSdp1K8H6x8fbOy06t2VsZHhMHf-1x7Y/edit?usp=sharing"",""แผน!AM77"")"),0)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IFERROR(__xludf.DUMMYFUNCTION("IMPORTRANGE(""https://docs.google.com/spreadsheets/d/1eHaY18a8A9IcSdp1K8H6x8fbOy06t2VsZHhMHf-1x7Y/edit?usp=sharing"",""แผน!AN77"")"),0)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IFERROR(__xludf.DUMMYFUNCTION("IMPORTRANGE(""https://docs.google.com/spreadsheets/d/1eHaY18a8A9IcSdp1K8H6x8fbOy06t2VsZHhMHf-1x7Y/edit?usp=sharing"",""แผน!AO77"")"),0)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IFERROR(__xludf.DUMMYFUNCTION("IMPORTRANGE(""https://docs.google.com/spreadsheets/d/1eHaY18a8A9IcSdp1K8H6x8fbOy06t2VsZHhMHf-1x7Y/edit?usp=sharing"",""แผน!LY77"")"),0)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IFERROR(__xludf.DUMMYFUNCTION("IMPORTRANGE(""https://docs.google.com/spreadsheets/d/1eHaY18a8A9IcSdp1K8H6x8fbOy06t2VsZHhMHf-1x7Y/edit?usp=sharing"",""แผน!AP77"")"),0)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IFERROR(__xludf.DUMMYFUNCTION("IMPORTRANGE(""https://docs.google.com/spreadsheets/d/1eHaY18a8A9IcSdp1K8H6x8fbOy06t2VsZHhMHf-1x7Y/edit?usp=sharing"",""แผน!AP77"")"),0)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IFERROR(__xludf.DUMMYFUNCTION("IMPORTRANGE(""https://docs.google.com/spreadsheets/d/1eHaY18a8A9IcSdp1K8H6x8fbOy06t2VsZHhMHf-1x7Y/edit?usp=sharing"",""แผน!AR77"")"),3000)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IFERROR(__xludf.DUMMYFUNCTION("IMPORTRANGE(""https://docs.google.com/spreadsheets/d/1eHaY18a8A9IcSdp1K8H6x8fbOy06t2VsZHhMHf-1x7Y/edit?usp=sharing"",""แผน!AS77"")"),1500)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IFERROR(__xludf.DUMMYFUNCTION("IMPORTRANGE(""https://docs.google.com/spreadsheets/d/1eHaY18a8A9IcSdp1K8H6x8fbOy06t2VsZHhMHf-1x7Y/edit?usp=sharing"",""แผน!AT77"")"),0)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IFERROR(__xludf.DUMMYFUNCTION("IMPORTRANGE(""https://docs.google.com/spreadsheets/d/1eHaY18a8A9IcSdp1K8H6x8fbOy06t2VsZHhMHf-1x7Y/edit?usp=sharing"",""แผน!AV77"")"),10000)</f>
        <v>10000</v>
      </c>
      <c r="J228" s="167">
        <v>10000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IFERROR(__xludf.DUMMYFUNCTION("IMPORTRANGE(""https://docs.google.com/spreadsheets/d/1eHaY18a8A9IcSdp1K8H6x8fbOy06t2VsZHhMHf-1x7Y/edit?usp=sharing"",""แผน!AV77"")"),10000)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IFERROR(__xludf.DUMMYFUNCTION("IMPORTRANGE(""https://docs.google.com/spreadsheets/d/1eHaY18a8A9IcSdp1K8H6x8fbOy06t2VsZHhMHf-1x7Y/edit?usp=sharing"",""แผน!AU77"")"),0)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764"/>
      <c r="B242" s="763"/>
      <c r="C242" s="748" t="s">
        <v>111</v>
      </c>
      <c r="D242" s="762"/>
      <c r="E242" s="762"/>
      <c r="F242" s="762"/>
      <c r="G242" s="761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623"/>
      <c r="B243" s="622"/>
      <c r="C243" s="744" t="s">
        <v>18</v>
      </c>
      <c r="D243" s="560" t="s">
        <v>19</v>
      </c>
      <c r="E243" s="622"/>
      <c r="F243" s="622"/>
      <c r="G243" s="621"/>
      <c r="H243" s="490" t="s">
        <v>14</v>
      </c>
      <c r="I243" s="620"/>
      <c r="J243" s="620"/>
      <c r="K243" s="619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623"/>
      <c r="B244" s="755"/>
      <c r="C244" s="622"/>
      <c r="D244" s="157" t="s">
        <v>86</v>
      </c>
      <c r="E244" s="622"/>
      <c r="F244" s="622"/>
      <c r="G244" s="621"/>
      <c r="H244" s="160" t="s">
        <v>14</v>
      </c>
      <c r="I244" s="620"/>
      <c r="J244" s="620"/>
      <c r="K244" s="619"/>
      <c r="L244" s="548">
        <f ca="1">IFERROR(__xludf.DUMMYFUNCTION("IMPORTRANGE(""https://docs.google.com/spreadsheets/d/1eHaY18a8A9IcSdp1K8H6x8fbOy06t2VsZHhMHf-1x7Y/edit?usp=sharing"",""แผน!AX77"")"),0)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756"/>
      <c r="B245" s="755"/>
      <c r="C245" s="755"/>
      <c r="D245" s="157" t="s">
        <v>88</v>
      </c>
      <c r="E245" s="622"/>
      <c r="F245" s="622"/>
      <c r="G245" s="621"/>
      <c r="H245" s="160" t="s">
        <v>14</v>
      </c>
      <c r="I245" s="626"/>
      <c r="J245" s="626"/>
      <c r="K245" s="625"/>
      <c r="L245" s="548">
        <f ca="1">IFERROR(__xludf.DUMMYFUNCTION("IMPORTRANGE(""https://docs.google.com/spreadsheets/d/1eHaY18a8A9IcSdp1K8H6x8fbOy06t2VsZHhMHf-1x7Y/edit?usp=sharing"",""แผน!AY77"")"),0)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756"/>
      <c r="B246" s="755"/>
      <c r="C246" s="755"/>
      <c r="D246" s="157" t="s">
        <v>106</v>
      </c>
      <c r="E246" s="622"/>
      <c r="F246" s="622"/>
      <c r="G246" s="621"/>
      <c r="H246" s="160" t="s">
        <v>14</v>
      </c>
      <c r="I246" s="626"/>
      <c r="J246" s="626"/>
      <c r="K246" s="625"/>
      <c r="L246" s="548">
        <f ca="1">IFERROR(__xludf.DUMMYFUNCTION("IMPORTRANGE(""https://docs.google.com/spreadsheets/d/1eHaY18a8A9IcSdp1K8H6x8fbOy06t2VsZHhMHf-1x7Y/edit?usp=sharing"",""แผน!AZ77"")"),0)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756"/>
      <c r="B247" s="755"/>
      <c r="C247" s="755"/>
      <c r="D247" s="157" t="s">
        <v>107</v>
      </c>
      <c r="E247" s="622"/>
      <c r="F247" s="622"/>
      <c r="G247" s="621"/>
      <c r="H247" s="160" t="s">
        <v>14</v>
      </c>
      <c r="I247" s="626"/>
      <c r="J247" s="626"/>
      <c r="K247" s="625"/>
      <c r="L247" s="548">
        <f ca="1">IFERROR(__xludf.DUMMYFUNCTION("IMPORTRANGE(""https://docs.google.com/spreadsheets/d/1eHaY18a8A9IcSdp1K8H6x8fbOy06t2VsZHhMHf-1x7Y/edit?usp=sharing"",""แผน!BA77"")"),0)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752"/>
      <c r="B248" s="751"/>
      <c r="C248" s="741" t="s">
        <v>18</v>
      </c>
      <c r="D248" s="582" t="s">
        <v>38</v>
      </c>
      <c r="E248" s="754"/>
      <c r="F248" s="754"/>
      <c r="G248" s="753"/>
      <c r="H248" s="749"/>
      <c r="I248" s="620"/>
      <c r="J248" s="626"/>
      <c r="K248" s="625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752"/>
      <c r="B249" s="751"/>
      <c r="C249" s="751"/>
      <c r="D249" s="190" t="s">
        <v>108</v>
      </c>
      <c r="E249" s="750"/>
      <c r="F249" s="750"/>
      <c r="G249" s="749"/>
      <c r="H249" s="738" t="s">
        <v>35</v>
      </c>
      <c r="I249" s="495">
        <f ca="1">IFERROR(__xludf.DUMMYFUNCTION("IMPORTRANGE(""https://docs.google.com/spreadsheets/d/1eHaY18a8A9IcSdp1K8H6x8fbOy06t2VsZHhMHf-1x7Y/edit?usp=sharing"",""แผน!BG77"")"),0)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752"/>
      <c r="B250" s="751"/>
      <c r="C250" s="751"/>
      <c r="D250" s="740" t="s">
        <v>43</v>
      </c>
      <c r="E250" s="750"/>
      <c r="F250" s="750"/>
      <c r="G250" s="749"/>
      <c r="H250" s="749"/>
      <c r="I250" s="626"/>
      <c r="J250" s="626"/>
      <c r="K250" s="625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752"/>
      <c r="B251" s="751"/>
      <c r="C251" s="751"/>
      <c r="D251" s="751"/>
      <c r="E251" s="739" t="s">
        <v>109</v>
      </c>
      <c r="F251" s="750"/>
      <c r="G251" s="749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752"/>
      <c r="B252" s="751"/>
      <c r="C252" s="751"/>
      <c r="D252" s="751"/>
      <c r="E252" s="739" t="s">
        <v>110</v>
      </c>
      <c r="F252" s="750"/>
      <c r="G252" s="749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764"/>
      <c r="B253" s="763"/>
      <c r="C253" s="748" t="s">
        <v>112</v>
      </c>
      <c r="D253" s="762"/>
      <c r="E253" s="762"/>
      <c r="F253" s="762"/>
      <c r="G253" s="761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623"/>
      <c r="B254" s="622"/>
      <c r="C254" s="744" t="s">
        <v>18</v>
      </c>
      <c r="D254" s="743" t="s">
        <v>19</v>
      </c>
      <c r="E254" s="622"/>
      <c r="F254" s="622"/>
      <c r="G254" s="621"/>
      <c r="H254" s="490" t="s">
        <v>14</v>
      </c>
      <c r="I254" s="620"/>
      <c r="J254" s="620"/>
      <c r="K254" s="619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623"/>
      <c r="B255" s="755"/>
      <c r="C255" s="622"/>
      <c r="D255" s="157" t="s">
        <v>86</v>
      </c>
      <c r="E255" s="622"/>
      <c r="F255" s="622"/>
      <c r="G255" s="621"/>
      <c r="H255" s="160" t="s">
        <v>14</v>
      </c>
      <c r="I255" s="620"/>
      <c r="J255" s="620"/>
      <c r="K255" s="619"/>
      <c r="L255" s="548">
        <f ca="1">IFERROR(__xludf.DUMMYFUNCTION("IMPORTRANGE(""https://docs.google.com/spreadsheets/d/1eHaY18a8A9IcSdp1K8H6x8fbOy06t2VsZHhMHf-1x7Y/edit?usp=sharing"",""แผน!BB77"")"),0)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756"/>
      <c r="B256" s="755"/>
      <c r="C256" s="755"/>
      <c r="D256" s="157" t="s">
        <v>88</v>
      </c>
      <c r="E256" s="622"/>
      <c r="F256" s="622"/>
      <c r="G256" s="621"/>
      <c r="H256" s="160" t="s">
        <v>14</v>
      </c>
      <c r="I256" s="626"/>
      <c r="J256" s="626"/>
      <c r="K256" s="625"/>
      <c r="L256" s="548">
        <f ca="1">IFERROR(__xludf.DUMMYFUNCTION("IMPORTRANGE(""https://docs.google.com/spreadsheets/d/1eHaY18a8A9IcSdp1K8H6x8fbOy06t2VsZHhMHf-1x7Y/edit?usp=sharing"",""แผน!BC77"")"),0)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756"/>
      <c r="B257" s="755"/>
      <c r="C257" s="755"/>
      <c r="D257" s="157" t="s">
        <v>106</v>
      </c>
      <c r="E257" s="622"/>
      <c r="F257" s="622"/>
      <c r="G257" s="621"/>
      <c r="H257" s="160" t="s">
        <v>14</v>
      </c>
      <c r="I257" s="626"/>
      <c r="J257" s="626"/>
      <c r="K257" s="625"/>
      <c r="L257" s="548">
        <f ca="1">IFERROR(__xludf.DUMMYFUNCTION("IMPORTRANGE(""https://docs.google.com/spreadsheets/d/1eHaY18a8A9IcSdp1K8H6x8fbOy06t2VsZHhMHf-1x7Y/edit?usp=sharing"",""แผน!BD77"")"),0)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756"/>
      <c r="B258" s="755"/>
      <c r="C258" s="755"/>
      <c r="D258" s="157" t="s">
        <v>107</v>
      </c>
      <c r="E258" s="622"/>
      <c r="F258" s="622"/>
      <c r="G258" s="621"/>
      <c r="H258" s="160" t="s">
        <v>14</v>
      </c>
      <c r="I258" s="626"/>
      <c r="J258" s="626"/>
      <c r="K258" s="625"/>
      <c r="L258" s="548">
        <f ca="1">IFERROR(__xludf.DUMMYFUNCTION("IMPORTRANGE(""https://docs.google.com/spreadsheets/d/1eHaY18a8A9IcSdp1K8H6x8fbOy06t2VsZHhMHf-1x7Y/edit?usp=sharing"",""แผน!BE77"")"),0)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752"/>
      <c r="B259" s="751"/>
      <c r="C259" s="741" t="s">
        <v>18</v>
      </c>
      <c r="D259" s="582" t="s">
        <v>38</v>
      </c>
      <c r="E259" s="754"/>
      <c r="F259" s="754"/>
      <c r="G259" s="753"/>
      <c r="H259" s="749"/>
      <c r="I259" s="620"/>
      <c r="J259" s="626"/>
      <c r="K259" s="625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752"/>
      <c r="B260" s="751"/>
      <c r="C260" s="751"/>
      <c r="D260" s="190" t="s">
        <v>108</v>
      </c>
      <c r="E260" s="750"/>
      <c r="F260" s="750"/>
      <c r="G260" s="749"/>
      <c r="H260" s="738" t="s">
        <v>35</v>
      </c>
      <c r="I260" s="495">
        <f ca="1">IFERROR(__xludf.DUMMYFUNCTION("IMPORTRANGE(""https://docs.google.com/spreadsheets/d/1eHaY18a8A9IcSdp1K8H6x8fbOy06t2VsZHhMHf-1x7Y/edit?usp=sharing"",""แผน!BH77"")"),0)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752"/>
      <c r="B261" s="751"/>
      <c r="C261" s="751"/>
      <c r="D261" s="740" t="s">
        <v>43</v>
      </c>
      <c r="E261" s="750"/>
      <c r="F261" s="750"/>
      <c r="G261" s="749"/>
      <c r="H261" s="749"/>
      <c r="I261" s="626"/>
      <c r="J261" s="626"/>
      <c r="K261" s="625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752"/>
      <c r="B262" s="751"/>
      <c r="C262" s="751"/>
      <c r="D262" s="751"/>
      <c r="E262" s="739" t="s">
        <v>109</v>
      </c>
      <c r="F262" s="750"/>
      <c r="G262" s="749"/>
      <c r="H262" s="738" t="s">
        <v>35</v>
      </c>
      <c r="I262" s="626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752"/>
      <c r="B263" s="751"/>
      <c r="C263" s="751"/>
      <c r="D263" s="751"/>
      <c r="E263" s="739" t="s">
        <v>110</v>
      </c>
      <c r="F263" s="750"/>
      <c r="G263" s="749"/>
      <c r="H263" s="738" t="s">
        <v>61</v>
      </c>
      <c r="I263" s="626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22</v>
      </c>
      <c r="K265" s="724">
        <f ca="1">IF(I265&gt;0,J265*100/I265,0)</f>
        <v>100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37760</v>
      </c>
      <c r="T266" s="421">
        <f ca="1">IF(Q266&gt;0,S266*100/Q266,0)</f>
        <v>74.53612317410186</v>
      </c>
      <c r="U266" s="421">
        <f ca="1">IF(R266&gt;0,S266*100/R266,0)</f>
        <v>74.53612317410186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37760</v>
      </c>
      <c r="T268" s="331">
        <f ca="1">IF(Q268&gt;0,S268*100/Q268,0)</f>
        <v>74.53612317410186</v>
      </c>
      <c r="U268" s="331">
        <f ca="1">IF(R268&gt;0,S268*100/R268,0)</f>
        <v>74.53612317410186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37760</v>
      </c>
      <c r="T269" s="331">
        <f ca="1">IF(Q269&gt;0,S269*100/Q269,0)</f>
        <v>74.53612317410186</v>
      </c>
      <c r="U269" s="331">
        <f ca="1">IF(R269&gt;0,S269*100/R269,0)</f>
        <v>74.53612317410186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IFERROR(__xludf.DUMMYFUNCTION("IMPORTRANGE(""https://docs.google.com/spreadsheets/d/1-uDff_7J0KD5mKrp0Vvzr7lt3OU09vwQwhkpOPPYv2Y/edit?usp=sharing"",""งบพรบ!DE77"")"),5000)</f>
        <v>5000</v>
      </c>
      <c r="M271" s="331">
        <f ca="1">IFERROR(__xludf.DUMMYFUNCTION("IMPORTRANGE(""https://docs.google.com/spreadsheets/d/1-uDff_7J0KD5mKrp0Vvzr7lt3OU09vwQwhkpOPPYv2Y/edit?usp=sharing"",""งบพรบ!DJ77"")"),5000)</f>
        <v>5000</v>
      </c>
      <c r="N271" s="331">
        <f ca="1">IFERROR(__xludf.DUMMYFUNCTION("IMPORTRANGE(""https://docs.google.com/spreadsheets/d/1-uDff_7J0KD5mKrp0Vvzr7lt3OU09vwQwhkpOPPYv2Y/edit?usp=sharing"",""งบพรบ!DL77"")"),0)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IFERROR(__xludf.DUMMYFUNCTION("IMPORTRANGE(""https://docs.google.com/spreadsheets/d/1ItG2mGa2ceCfYo0BwxsXqNm01IGEUdYcSSLTEv9YCik/edit?usp=sharing"",""เบิกจ่ายกองทุน!AP77"")"),50660)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IFERROR(__xludf.DUMMYFUNCTION("IMPORTRANGE(""https://docs.google.com/spreadsheets/d/1ItG2mGa2ceCfYo0BwxsXqNm01IGEUdYcSSLTEv9YCik/edit?usp=sharing"",""เบิกจ่ายกองทุน!AQ77"")"),50660)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IFERROR(__xludf.DUMMYFUNCTION("IMPORTRANGE(""https://docs.google.com/spreadsheets/d/1ItG2mGa2ceCfYo0BwxsXqNm01IGEUdYcSSLTEv9YCik/edit?usp=sharing"",""เบิกจ่ายกองทุน!AR77"")"),37760)</f>
        <v>37760</v>
      </c>
      <c r="T271" s="331">
        <f ca="1">IF(Q271&gt;0,S271*100/Q271,0)</f>
        <v>74.53612317410186</v>
      </c>
      <c r="U271" s="331">
        <f ca="1">IF(R271&gt;0,S271*100/R271,0)</f>
        <v>74.53612317410186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IFERROR(__xludf.DUMMYFUNCTION("IMPORTRANGE(""https://docs.google.com/spreadsheets/d/1-uDff_7J0KD5mKrp0Vvzr7lt3OU09vwQwhkpOPPYv2Y/edit?usp=sharing"",""งบพรบ!DH77"")"),0)</f>
        <v>0</v>
      </c>
      <c r="M274" s="331">
        <f ca="1">IFERROR(__xludf.DUMMYFUNCTION("IMPORTRANGE(""https://docs.google.com/spreadsheets/d/1-uDff_7J0KD5mKrp0Vvzr7lt3OU09vwQwhkpOPPYv2Y/edit?usp=sharing"",""งบพรบ!DK77"")"),0)</f>
        <v>0</v>
      </c>
      <c r="N274" s="331">
        <f ca="1">IFERROR(__xludf.DUMMYFUNCTION("IMPORTRANGE(""https://docs.google.com/spreadsheets/d/1-uDff_7J0KD5mKrp0Vvzr7lt3OU09vwQwhkpOPPYv2Y/edit?usp=sharing"",""งบพรบ!DM77"")"),0)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IFERROR(__xludf.DUMMYFUNCTION("IMPORTRANGE(""https://docs.google.com/spreadsheets/d/1eHaY18a8A9IcSdp1K8H6x8fbOy06t2VsZHhMHf-1x7Y/edit?usp=sharing"",""แผน!EC77"")"),22)</f>
        <v>22</v>
      </c>
      <c r="J276" s="175">
        <v>22</v>
      </c>
      <c r="K276" s="176">
        <f ca="1">IF(I276&gt;0,J276*100/I276,0)</f>
        <v>100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2"/>
      <c r="B277" s="841"/>
      <c r="C277" s="841"/>
      <c r="D277" s="715" t="s">
        <v>116</v>
      </c>
      <c r="E277" s="840"/>
      <c r="F277" s="840"/>
      <c r="G277" s="839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IFERROR(__xludf.DUMMYFUNCTION("IMPORTRANGE(""https://docs.google.com/spreadsheets/d/1-uDff_7J0KD5mKrp0Vvzr7lt3OU09vwQwhkpOPPYv2Y/edit?usp=sharing"",""งบพรบ!DO77"")"),0)</f>
        <v>0</v>
      </c>
      <c r="M287" s="47">
        <f ca="1">IFERROR(__xludf.DUMMYFUNCTION("IMPORTRANGE(""https://docs.google.com/spreadsheets/d/1-uDff_7J0KD5mKrp0Vvzr7lt3OU09vwQwhkpOPPYv2Y/edit?usp=sharing"",""งบพรบ!DT77"")"),0)</f>
        <v>0</v>
      </c>
      <c r="N287" s="47">
        <f ca="1">IFERROR(__xludf.DUMMYFUNCTION("IMPORTRANGE(""https://docs.google.com/spreadsheets/d/1-uDff_7J0KD5mKrp0Vvzr7lt3OU09vwQwhkpOPPYv2Y/edit?usp=sharing"",""งบพรบ!DV77"")"),0)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IFERROR(__xludf.DUMMYFUNCTION("IMPORTRANGE(""https://docs.google.com/spreadsheets/d/1-uDff_7J0KD5mKrp0Vvzr7lt3OU09vwQwhkpOPPYv2Y/edit?usp=sharing"",""งบพรบ!DR77"")"),0)</f>
        <v>0</v>
      </c>
      <c r="M290" s="47">
        <f ca="1">IFERROR(__xludf.DUMMYFUNCTION("IMPORTRANGE(""https://docs.google.com/spreadsheets/d/1-uDff_7J0KD5mKrp0Vvzr7lt3OU09vwQwhkpOPPYv2Y/edit?usp=sharing"",""งบพรบ!DU77"")"),0)</f>
        <v>0</v>
      </c>
      <c r="N290" s="47">
        <f ca="1">IFERROR(__xludf.DUMMYFUNCTION("IMPORTRANGE(""https://docs.google.com/spreadsheets/d/1-uDff_7J0KD5mKrp0Vvzr7lt3OU09vwQwhkpOPPYv2Y/edit?usp=sharing"",""งบพรบ!DW77"")"),0)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IFERROR(__xludf.DUMMYFUNCTION("IMPORTRANGE(""https://docs.google.com/spreadsheets/d/1eHaY18a8A9IcSdp1K8H6x8fbOy06t2VsZHhMHf-1x7Y/edit?usp=sharing"",""แผน!EE77"")"),0)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IFERROR(__xludf.DUMMYFUNCTION("IMPORTRANGE(""https://docs.google.com/spreadsheets/d/1eHaY18a8A9IcSdp1K8H6x8fbOy06t2VsZHhMHf-1x7Y/edit?usp=sharing"",""แผน!ED77"")"),0)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IFERROR(__xludf.DUMMYFUNCTION("IMPORTRANGE(""https://docs.google.com/spreadsheets/d/1eHaY18a8A9IcSdp1K8H6x8fbOy06t2VsZHhMHf-1x7Y/edit?usp=sharing"",""แผน!ED77"")"),0)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IFERROR(__xludf.DUMMYFUNCTION("IMPORTRANGE(""https://docs.google.com/spreadsheets/d/1eHaY18a8A9IcSdp1K8H6x8fbOy06t2VsZHhMHf-1x7Y/edit?usp=sharing"",""แผน!ED77"")"),0)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229336.17</v>
      </c>
      <c r="R303" s="132">
        <f ca="1">R304+R305</f>
        <v>229336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229336.17</v>
      </c>
      <c r="R305" s="47">
        <f ca="1">R308+R311</f>
        <v>229336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229336.17</v>
      </c>
      <c r="R306" s="47">
        <f ca="1">R307+R308</f>
        <v>229336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IFERROR(__xludf.DUMMYFUNCTION("IMPORTRANGE(""https://docs.google.com/spreadsheets/d/1-uDff_7J0KD5mKrp0Vvzr7lt3OU09vwQwhkpOPPYv2Y/edit?usp=sharing"",""งบพรบ!DY77"")"),0)</f>
        <v>0</v>
      </c>
      <c r="M308" s="47">
        <f ca="1">IFERROR(__xludf.DUMMYFUNCTION("IMPORTRANGE(""https://docs.google.com/spreadsheets/d/1-uDff_7J0KD5mKrp0Vvzr7lt3OU09vwQwhkpOPPYv2Y/edit?usp=sharing"",""งบพรบ!ED77"")"),0)</f>
        <v>0</v>
      </c>
      <c r="N308" s="47">
        <f ca="1">IFERROR(__xludf.DUMMYFUNCTION("IMPORTRANGE(""https://docs.google.com/spreadsheets/d/1-uDff_7J0KD5mKrp0Vvzr7lt3OU09vwQwhkpOPPYv2Y/edit?usp=sharing"",""งบพรบ!EF77"")"),0)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IFERROR(__xludf.DUMMYFUNCTION("IMPORTRANGE(""https://docs.google.com/spreadsheets/d/1ItG2mGa2ceCfYo0BwxsXqNm01IGEUdYcSSLTEv9YCik/edit?usp=sharing"",""เบิกจ่ายกองทุน!BB77"")"),229336.17)</f>
        <v>229336.17</v>
      </c>
      <c r="R308" s="47">
        <f ca="1">IFERROR(__xludf.DUMMYFUNCTION("IMPORTRANGE(""https://docs.google.com/spreadsheets/d/1ItG2mGa2ceCfYo0BwxsXqNm01IGEUdYcSSLTEv9YCik/edit?usp=sharing"",""เบิกจ่ายกองทุน!BC77"")"),229336)</f>
        <v>229336</v>
      </c>
      <c r="S308" s="47">
        <f ca="1">IFERROR(__xludf.DUMMYFUNCTION("IMPORTRANGE(""https://docs.google.com/spreadsheets/d/1ItG2mGa2ceCfYo0BwxsXqNm01IGEUdYcSSLTEv9YCik/edit?usp=sharing"",""เบิกจ่ายกองทุน!BD77"")"),0)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IFERROR(__xludf.DUMMYFUNCTION("IMPORTRANGE(""https://docs.google.com/spreadsheets/d/1-uDff_7J0KD5mKrp0Vvzr7lt3OU09vwQwhkpOPPYv2Y/edit?usp=sharing"",""งบพรบ!EB77"")"),0)</f>
        <v>0</v>
      </c>
      <c r="M311" s="47">
        <f ca="1">IFERROR(__xludf.DUMMYFUNCTION("IMPORTRANGE(""https://docs.google.com/spreadsheets/d/1-uDff_7J0KD5mKrp0Vvzr7lt3OU09vwQwhkpOPPYv2Y/edit?usp=sharing"",""งบพรบ!EE77"")"),0)</f>
        <v>0</v>
      </c>
      <c r="N311" s="47">
        <f ca="1">IFERROR(__xludf.DUMMYFUNCTION("IMPORTRANGE(""https://docs.google.com/spreadsheets/d/1-uDff_7J0KD5mKrp0Vvzr7lt3OU09vwQwhkpOPPYv2Y/edit?usp=sharing"",""งบพรบ!EG77"")"),0)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IFERROR(__xludf.DUMMYFUNCTION("IMPORTRANGE(""https://docs.google.com/spreadsheets/d/1eHaY18a8A9IcSdp1K8H6x8fbOy06t2VsZHhMHf-1x7Y/edit?usp=sharing"",""แผน!EF77"")"),25)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IFERROR(__xludf.DUMMYFUNCTION("IMPORTRANGE(""https://docs.google.com/spreadsheets/d/1-uDff_7J0KD5mKrp0Vvzr7lt3OU09vwQwhkpOPPYv2Y/edit?usp=sharing"",""งบพรบ!EI77"")"),0)</f>
        <v>0</v>
      </c>
      <c r="M325" s="47">
        <f ca="1">IFERROR(__xludf.DUMMYFUNCTION("IMPORTRANGE(""https://docs.google.com/spreadsheets/d/1-uDff_7J0KD5mKrp0Vvzr7lt3OU09vwQwhkpOPPYv2Y/edit?usp=sharing"",""งบพรบ!EN77"")"),0)</f>
        <v>0</v>
      </c>
      <c r="N325" s="47">
        <f ca="1">IFERROR(__xludf.DUMMYFUNCTION("IMPORTRANGE(""https://docs.google.com/spreadsheets/d/1-uDff_7J0KD5mKrp0Vvzr7lt3OU09vwQwhkpOPPYv2Y/edit?usp=sharing"",""งบพรบ!EP77"")"),0)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IFERROR(__xludf.DUMMYFUNCTION("IMPORTRANGE(""https://docs.google.com/spreadsheets/d/1-uDff_7J0KD5mKrp0Vvzr7lt3OU09vwQwhkpOPPYv2Y/edit?usp=sharing"",""งบพรบ!EL77"")"),0)</f>
        <v>0</v>
      </c>
      <c r="M328" s="47">
        <f ca="1">IFERROR(__xludf.DUMMYFUNCTION("IMPORTRANGE(""https://docs.google.com/spreadsheets/d/1-uDff_7J0KD5mKrp0Vvzr7lt3OU09vwQwhkpOPPYv2Y/edit?usp=sharing"",""งบพรบ!EO77"")"),0)</f>
        <v>0</v>
      </c>
      <c r="N328" s="47">
        <f ca="1">IFERROR(__xludf.DUMMYFUNCTION("IMPORTRANGE(""https://docs.google.com/spreadsheets/d/1-uDff_7J0KD5mKrp0Vvzr7lt3OU09vwQwhkpOPPYv2Y/edit?usp=sharing"",""งบพรบ!EQ77"")"),0)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IFERROR(__xludf.DUMMYFUNCTION("IMPORTRANGE(""https://docs.google.com/spreadsheets/d/1eHaY18a8A9IcSdp1K8H6x8fbOy06t2VsZHhMHf-1x7Y/edit?usp=sharing"",""แผน!EJ77"")"),0)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1140</v>
      </c>
      <c r="J332" s="697">
        <f ca="1">J344+J347+J348+J349+J353</f>
        <v>4849</v>
      </c>
      <c r="K332" s="696">
        <f ca="1">IF(I332&gt;0,J332*100/I332,0)</f>
        <v>425.35087719298247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181000</v>
      </c>
      <c r="M333" s="132">
        <f ca="1">M334+M335</f>
        <v>181000</v>
      </c>
      <c r="N333" s="132">
        <f ca="1">N334+N335</f>
        <v>110309.78</v>
      </c>
      <c r="O333" s="132">
        <f ca="1">IF(L333&gt;0,N333*100/L333,0)</f>
        <v>60.944629834254144</v>
      </c>
      <c r="P333" s="132">
        <f ca="1">IF(M333&gt;0,N333*100/M333,0)</f>
        <v>60.944629834254144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181000</v>
      </c>
      <c r="M335" s="47">
        <f ca="1">M338+M341</f>
        <v>181000</v>
      </c>
      <c r="N335" s="47">
        <f ca="1">N338+N341</f>
        <v>110309.78</v>
      </c>
      <c r="O335" s="47">
        <f ca="1">IF(L335&gt;0,N335*100/L335,0)</f>
        <v>60.944629834254144</v>
      </c>
      <c r="P335" s="47">
        <f ca="1">IF(M335&gt;0,N335*100/M335,0)</f>
        <v>60.944629834254144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181000</v>
      </c>
      <c r="M336" s="47">
        <f ca="1">M337+M338</f>
        <v>181000</v>
      </c>
      <c r="N336" s="47">
        <f ca="1">N337+N338</f>
        <v>110309.78</v>
      </c>
      <c r="O336" s="47">
        <f ca="1">IF(L336&gt;0,N336*100/L336,0)</f>
        <v>60.944629834254144</v>
      </c>
      <c r="P336" s="47">
        <f ca="1">IF(M336&gt;0,N336*100/M336,0)</f>
        <v>60.944629834254144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IFERROR(__xludf.DUMMYFUNCTION("IMPORTRANGE(""https://docs.google.com/spreadsheets/d/1-uDff_7J0KD5mKrp0Vvzr7lt3OU09vwQwhkpOPPYv2Y/edit?usp=sharing"",""งบพรบ!ES77"")"),181000)</f>
        <v>181000</v>
      </c>
      <c r="M338" s="47">
        <f ca="1">IFERROR(__xludf.DUMMYFUNCTION("IMPORTRANGE(""https://docs.google.com/spreadsheets/d/1-uDff_7J0KD5mKrp0Vvzr7lt3OU09vwQwhkpOPPYv2Y/edit?usp=sharing"",""งบพรบ!EX77"")"),181000)</f>
        <v>181000</v>
      </c>
      <c r="N338" s="47">
        <f ca="1">IFERROR(__xludf.DUMMYFUNCTION("IMPORTRANGE(""https://docs.google.com/spreadsheets/d/1-uDff_7J0KD5mKrp0Vvzr7lt3OU09vwQwhkpOPPYv2Y/edit?usp=sharing"",""งบพรบ!EZ77"")"),110309.78)</f>
        <v>110309.78</v>
      </c>
      <c r="O338" s="47">
        <f ca="1">IF(L338&gt;0,N338*100/L338,0)</f>
        <v>60.944629834254144</v>
      </c>
      <c r="P338" s="47">
        <f ca="1">IF(M338&gt;0,N338*100/M338,0)</f>
        <v>60.944629834254144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IFERROR(__xludf.DUMMYFUNCTION("IMPORTRANGE(""https://docs.google.com/spreadsheets/d/1-uDff_7J0KD5mKrp0Vvzr7lt3OU09vwQwhkpOPPYv2Y/edit?usp=sharing"",""งบพรบ!EV77"")"),0)</f>
        <v>0</v>
      </c>
      <c r="M341" s="47">
        <f ca="1">IFERROR(__xludf.DUMMYFUNCTION("IMPORTRANGE(""https://docs.google.com/spreadsheets/d/1-uDff_7J0KD5mKrp0Vvzr7lt3OU09vwQwhkpOPPYv2Y/edit?usp=sharing"",""งบพรบ!EY77"")"),0)</f>
        <v>0</v>
      </c>
      <c r="N341" s="47">
        <f ca="1">IFERROR(__xludf.DUMMYFUNCTION("IMPORTRANGE(""https://docs.google.com/spreadsheets/d/1-uDff_7J0KD5mKrp0Vvzr7lt3OU09vwQwhkpOPPYv2Y/edit?usp=sharing"",""งบพรบ!FA77"")"),0)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3496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IFERROR(__xludf.DUMMYFUNCTION("IMPORTRANGE(""https://docs.google.com/spreadsheets/d/1eHaY18a8A9IcSdp1K8H6x8fbOy06t2VsZHhMHf-1x7Y/edit?usp=sharing"",""แผน!EK77"")"),1140)</f>
        <v>1140</v>
      </c>
      <c r="J344" s="152">
        <f ca="1">IFERROR(__xludf.DUMMYFUNCTION("IMPORTRANGE(""https://docs.google.com/spreadsheets/d/1awYsYK3VOup2i3Pq_Yjnu8DRu_mYwSBnCR2QPthd0rU/edit?usp=sharing"",""ศูนย์ยกเว้นโฉนด!D77"")"),3495)</f>
        <v>3495</v>
      </c>
      <c r="K344" s="47">
        <f ca="1">IF(I344&gt;0,J344*100/I344,0)</f>
        <v>306.57894736842104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IFERROR(__xludf.DUMMYFUNCTION("IMPORTRANGE(""https://docs.google.com/spreadsheets/d/1eHaY18a8A9IcSdp1K8H6x8fbOy06t2VsZHhMHf-1x7Y/edit?usp=sharing"",""แผน!EL77"")"),3)</f>
        <v>3</v>
      </c>
      <c r="J346" s="152">
        <f ca="1">IFERROR(__xludf.DUMMYFUNCTION("IMPORTRANGE(""https://docs.google.com/spreadsheets/d/1awYsYK3VOup2i3Pq_Yjnu8DRu_mYwSBnCR2QPthd0rU/edit?usp=sharing"",""ศูนย์รวม!E77"")"),6)</f>
        <v>6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IFERROR(__xludf.DUMMYFUNCTION("IMPORTRANGE(""https://docs.google.com/spreadsheets/d/1awYsYK3VOup2i3Pq_Yjnu8DRu_mYwSBnCR2QPthd0rU/edit?usp=sharing"",""ศูนย์ยกเว้นโฉนด!F77"")"),1)</f>
        <v>1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IFERROR(__xludf.DUMMYFUNCTION("IMPORTRANGE(""https://docs.google.com/spreadsheets/d/1awYsYK3VOup2i3Pq_Yjnu8DRu_mYwSBnCR2QPthd0rU/edit?usp=sharing"",""ศูนย์ยกเว้นโฉนด!G77"")"),0)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IFERROR(__xludf.DUMMYFUNCTION("IMPORTRANGE(""https://docs.google.com/spreadsheets/d/1awYsYK3VOup2i3Pq_Yjnu8DRu_mYwSBnCR2QPthd0rU/edit?usp=sharing"",""ศูนย์ยกเว้นโฉนด!H77"")"),0)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6552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IFERROR(__xludf.DUMMYFUNCTION("IMPORTRANGE(""https://docs.google.com/spreadsheets/d/1awYsYK3VOup2i3Pq_Yjnu8DRu_mYwSBnCR2QPthd0rU/edit?usp=sharing"",""โฉนดM3!G77"")"),5199)</f>
        <v>5199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IFERROR(__xludf.DUMMYFUNCTION("IMPORTRANGE(""https://docs.google.com/spreadsheets/d/1awYsYK3VOup2i3Pq_Yjnu8DRu_mYwSBnCR2QPthd0rU/edit?usp=sharing"",""โฉนดM3!H77"")"),1353)</f>
        <v>1353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619060</v>
      </c>
      <c r="M356" s="132">
        <f ca="1">M357+M358</f>
        <v>610860</v>
      </c>
      <c r="N356" s="132">
        <f ca="1">N357+N358</f>
        <v>500723.78</v>
      </c>
      <c r="O356" s="132">
        <f ca="1">IF(L356&gt;0,N356*100/L356,0)</f>
        <v>80.88453138629535</v>
      </c>
      <c r="P356" s="132">
        <f ca="1">IF(M356&gt;0,N356*100/M356,0)</f>
        <v>81.97030088727368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619060</v>
      </c>
      <c r="M358" s="47">
        <f ca="1">M361+M364</f>
        <v>610860</v>
      </c>
      <c r="N358" s="47">
        <f ca="1">N361+N364</f>
        <v>500723.78</v>
      </c>
      <c r="O358" s="47">
        <f ca="1">IF(L358&gt;0,N358*100/L358,0)</f>
        <v>80.88453138629535</v>
      </c>
      <c r="P358" s="47">
        <f ca="1">IF(M358&gt;0,N358*100/M358,0)</f>
        <v>81.97030088727368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619060</v>
      </c>
      <c r="M359" s="47">
        <f ca="1">M360+M361</f>
        <v>610860</v>
      </c>
      <c r="N359" s="47">
        <f ca="1">N360+N361</f>
        <v>500723.78</v>
      </c>
      <c r="O359" s="47">
        <f ca="1">IF(L359&gt;0,N359*100/L359,0)</f>
        <v>80.88453138629535</v>
      </c>
      <c r="P359" s="47">
        <f ca="1">IF(M359&gt;0,N359*100/M359,0)</f>
        <v>81.97030088727368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IFERROR(__xludf.DUMMYFUNCTION("IMPORTRANGE(""https://docs.google.com/spreadsheets/d/1-uDff_7J0KD5mKrp0Vvzr7lt3OU09vwQwhkpOPPYv2Y/edit?usp=sharing"",""งบพรบ!FC77"")"),619060)</f>
        <v>619060</v>
      </c>
      <c r="M361" s="47">
        <f ca="1">IFERROR(__xludf.DUMMYFUNCTION("IMPORTRANGE(""https://docs.google.com/spreadsheets/d/1-uDff_7J0KD5mKrp0Vvzr7lt3OU09vwQwhkpOPPYv2Y/edit?usp=sharing"",""งบพรบ!FH77"")"),610860)</f>
        <v>610860</v>
      </c>
      <c r="N361" s="47">
        <f ca="1">IFERROR(__xludf.DUMMYFUNCTION("IMPORTRANGE(""https://docs.google.com/spreadsheets/d/1-uDff_7J0KD5mKrp0Vvzr7lt3OU09vwQwhkpOPPYv2Y/edit?usp=sharing"",""งบพรบ!FJ77"")"),500723.78)</f>
        <v>500723.78</v>
      </c>
      <c r="O361" s="47">
        <f ca="1">IF(L361&gt;0,N361*100/L361,0)</f>
        <v>80.88453138629535</v>
      </c>
      <c r="P361" s="47">
        <f ca="1">IF(M361&gt;0,N361*100/M361,0)</f>
        <v>81.97030088727368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IFERROR(__xludf.DUMMYFUNCTION("IMPORTRANGE(""https://docs.google.com/spreadsheets/d/1-uDff_7J0KD5mKrp0Vvzr7lt3OU09vwQwhkpOPPYv2Y/edit?usp=sharing"",""งบพรบ!FF77"")"),0)</f>
        <v>0</v>
      </c>
      <c r="M364" s="47">
        <f ca="1">IFERROR(__xludf.DUMMYFUNCTION("IMPORTRANGE(""https://docs.google.com/spreadsheets/d/1-uDff_7J0KD5mKrp0Vvzr7lt3OU09vwQwhkpOPPYv2Y/edit?usp=sharing"",""งบพรบ!FI77"")"),0)</f>
        <v>0</v>
      </c>
      <c r="N364" s="47">
        <f ca="1">IFERROR(__xludf.DUMMYFUNCTION("IMPORTRANGE(""https://docs.google.com/spreadsheets/d/1-uDff_7J0KD5mKrp0Vvzr7lt3OU09vwQwhkpOPPYv2Y/edit?usp=sharing"",""งบพรบ!FK77"")"),0)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113</v>
      </c>
      <c r="J365" s="228">
        <f ca="1">J371</f>
        <v>120</v>
      </c>
      <c r="K365" s="229">
        <f ca="1">IF(I365&gt;0,J365*100/I365,0)</f>
        <v>106.19469026548673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IFERROR(__xludf.DUMMYFUNCTION("IMPORTRANGE(""https://docs.google.com/spreadsheets/d/1tdoBKaGub7dwA3U6UFTqxio9LNnvDCQjHKmttSEBsFQ/edit?usp=sharing"",""จัดที่ดิน!AB77"")"),166)</f>
        <v>166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IFERROR(__xludf.DUMMYFUNCTION("IMPORTRANGE(""https://docs.google.com/spreadsheets/d/1eHaY18a8A9IcSdp1K8H6x8fbOy06t2VsZHhMHf-1x7Y/edit?usp=sharing"",""แผน!EW77"")"),640)</f>
        <v>640</v>
      </c>
      <c r="J368" s="685">
        <f ca="1">IFERROR(__xludf.DUMMYFUNCTION("IMPORTRANGE(""https://docs.google.com/spreadsheets/d/1tdoBKaGub7dwA3U6UFTqxio9LNnvDCQjHKmttSEBsFQ/edit?usp=sharing"",""จัดที่ดิน!AC77"")"),1505.85)</f>
        <v>1505.85</v>
      </c>
      <c r="K368" s="47">
        <f ca="1">IF(I368&gt;0,J368*100/I368,0)</f>
        <v>235.2890625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IFERROR(__xludf.DUMMYFUNCTION("IMPORTRANGE(""https://docs.google.com/spreadsheets/d/1eHaY18a8A9IcSdp1K8H6x8fbOy06t2VsZHhMHf-1x7Y/edit?usp=sharing"",""แผน!EX77"")"),113)</f>
        <v>113</v>
      </c>
      <c r="J369" s="152">
        <f ca="1">IFERROR(__xludf.DUMMYFUNCTION("IMPORTRANGE(""https://docs.google.com/spreadsheets/d/1tdoBKaGub7dwA3U6UFTqxio9LNnvDCQjHKmttSEBsFQ/edit?usp=sharing"",""จัดที่ดิน!AD77"")"),128)</f>
        <v>128</v>
      </c>
      <c r="K369" s="47">
        <f ca="1">IF(I369&gt;0,J369*100/I369,0)</f>
        <v>113.27433628318585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IFERROR(__xludf.DUMMYFUNCTION("IMPORTRANGE(""https://docs.google.com/spreadsheets/d/1tdoBKaGub7dwA3U6UFTqxio9LNnvDCQjHKmttSEBsFQ/edit?usp=sharing"",""จัดที่ดิน!AE77"")"),1333.40999999999)</f>
        <v>1333.4099999999901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IFERROR(__xludf.DUMMYFUNCTION("IMPORTRANGE(""https://docs.google.com/spreadsheets/d/1eHaY18a8A9IcSdp1K8H6x8fbOy06t2VsZHhMHf-1x7Y/edit?usp=sharing"",""แผน!EY77"")"),113)</f>
        <v>113</v>
      </c>
      <c r="J371" s="152">
        <f ca="1">IFERROR(__xludf.DUMMYFUNCTION("IMPORTRANGE(""https://docs.google.com/spreadsheets/d/1tdoBKaGub7dwA3U6UFTqxio9LNnvDCQjHKmttSEBsFQ/edit?usp=sharing"",""จัดที่ดิน!AF77"")"),120)</f>
        <v>120</v>
      </c>
      <c r="K371" s="47">
        <f ca="1">IF(I371&gt;0,J371*100/I371,0)</f>
        <v>106.19469026548673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IFERROR(__xludf.DUMMYFUNCTION("IMPORTRANGE(""https://docs.google.com/spreadsheets/d/1tdoBKaGub7dwA3U6UFTqxio9LNnvDCQjHKmttSEBsFQ/edit?usp=sharing"",""จัดที่ดิน!AG77"")"),1267.61)</f>
        <v>1267.6099999999999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456</v>
      </c>
      <c r="K374" s="676">
        <f ca="1">IF(I374&gt;0,J374*100/I374,0)</f>
        <v>45.6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1437.5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1437.5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1437.5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IFERROR(__xludf.DUMMYFUNCTION("IMPORTRANGE(""https://docs.google.com/spreadsheets/d/1-uDff_7J0KD5mKrp0Vvzr7lt3OU09vwQwhkpOPPYv2Y/edit?usp=sharing"",""งบพรบ!IE77"")"),0)</f>
        <v>0</v>
      </c>
      <c r="M380" s="47">
        <f ca="1">IFERROR(__xludf.DUMMYFUNCTION("IMPORTRANGE(""https://docs.google.com/spreadsheets/d/1-uDff_7J0KD5mKrp0Vvzr7lt3OU09vwQwhkpOPPYv2Y/edit?usp=sharing"",""งบพรบ!IJ77"")"),0)</f>
        <v>0</v>
      </c>
      <c r="N380" s="47">
        <f ca="1">IFERROR(__xludf.DUMMYFUNCTION("IMPORTRANGE(""https://docs.google.com/spreadsheets/d/1-uDff_7J0KD5mKrp0Vvzr7lt3OU09vwQwhkpOPPYv2Y/edit?usp=sharing"",""งบพรบ!IL77"")"),0)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IFERROR(__xludf.DUMMYFUNCTION("IMPORTRANGE(""https://docs.google.com/spreadsheets/d/1ItG2mGa2ceCfYo0BwxsXqNm01IGEUdYcSSLTEv9YCik/edit?usp=sharing"",""เบิกจ่ายกองทุน!BW77"")"),62500)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IFERROR(__xludf.DUMMYFUNCTION("IMPORTRANGE(""https://docs.google.com/spreadsheets/d/1ItG2mGa2ceCfYo0BwxsXqNm01IGEUdYcSSLTEv9YCik/edit?usp=sharing"",""เบิกจ่ายกองทุน!BX77"")"),1437.5)</f>
        <v>1437.5</v>
      </c>
      <c r="S380" s="47">
        <f ca="1">IFERROR(__xludf.DUMMYFUNCTION("IMPORTRANGE(""https://docs.google.com/spreadsheets/d/1ItG2mGa2ceCfYo0BwxsXqNm01IGEUdYcSSLTEv9YCik/edit?usp=sharing"",""เบิกจ่ายกองทุน!BY77"")"),0)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IFERROR(__xludf.DUMMYFUNCTION("IMPORTRANGE(""https://docs.google.com/spreadsheets/d/1-uDff_7J0KD5mKrp0Vvzr7lt3OU09vwQwhkpOPPYv2Y/edit?usp=sharing"",""งบพรบ!IH77"")"),0)</f>
        <v>0</v>
      </c>
      <c r="M383" s="47">
        <f ca="1">IFERROR(__xludf.DUMMYFUNCTION("IMPORTRANGE(""https://docs.google.com/spreadsheets/d/1-uDff_7J0KD5mKrp0Vvzr7lt3OU09vwQwhkpOPPYv2Y/edit?usp=sharing"",""งบพรบ!IK77"")"),0)</f>
        <v>0</v>
      </c>
      <c r="N383" s="47">
        <f ca="1">IFERROR(__xludf.DUMMYFUNCTION("IMPORTRANGE(""https://docs.google.com/spreadsheets/d/1-uDff_7J0KD5mKrp0Vvzr7lt3OU09vwQwhkpOPPYv2Y/edit?usp=sharing"",""งบพรบ!IM77"")"),0)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IFERROR(__xludf.DUMMYFUNCTION("IMPORTRANGE(""https://docs.google.com/spreadsheets/d/1w5rwWK1o49a35cNtocGL0gxDwhFSTZUQu90BiH9_zqM/edit?usp=sharing"",""RTK!H77"")"),28)</f>
        <v>28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IFERROR(__xludf.DUMMYFUNCTION("IMPORTRANGE(""https://docs.google.com/spreadsheets/d/1w5rwWK1o49a35cNtocGL0gxDwhFSTZUQu90BiH9_zqM/edit?usp=sharing"",""RTK!G77"")"),1000)</f>
        <v>1000</v>
      </c>
      <c r="J386" s="152">
        <f ca="1">IFERROR(__xludf.DUMMYFUNCTION("IMPORTRANGE(""https://docs.google.com/spreadsheets/d/1w5rwWK1o49a35cNtocGL0gxDwhFSTZUQu90BiH9_zqM/edit?usp=sharing"",""RTK!I77"")"),456)</f>
        <v>456</v>
      </c>
      <c r="K386" s="47">
        <f ca="1">IF(I386&gt;0,J386*100/I386,0)</f>
        <v>45.6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IFERROR(__xludf.DUMMYFUNCTION("IMPORTRANGE(""https://docs.google.com/spreadsheets/d/1w5rwWK1o49a35cNtocGL0gxDwhFSTZUQu90BiH9_zqM/edit?usp=sharing"",""RTK!L77"")"),0)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IFERROR(__xludf.DUMMYFUNCTION("IMPORTRANGE(""https://docs.google.com/spreadsheets/d/1w5rwWK1o49a35cNtocGL0gxDwhFSTZUQu90BiH9_zqM/edit?usp=sharing"",""RTK!K77"")"),0)</f>
        <v>0</v>
      </c>
      <c r="J388" s="330">
        <f ca="1">IFERROR(__xludf.DUMMYFUNCTION("IMPORTRANGE(""https://docs.google.com/spreadsheets/d/1w5rwWK1o49a35cNtocGL0gxDwhFSTZUQu90BiH9_zqM/edit?usp=sharing"",""RTK!M77"")"),0)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IFERROR(__xludf.DUMMYFUNCTION("IMPORTRANGE(""https://docs.google.com/spreadsheets/d/1ItG2mGa2ceCfYo0BwxsXqNm01IGEUdYcSSLTEv9YCik/edit?usp=sharing"",""เบิกจ่ายกองทุน!CL77"")"),0)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IFERROR(__xludf.DUMMYFUNCTION("IMPORTRANGE(""https://docs.google.com/spreadsheets/d/1ItG2mGa2ceCfYo0BwxsXqNm01IGEUdYcSSLTEv9YCik/edit?usp=sharing"",""เบิกจ่ายกองทุน!CM77"")"),0)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IFERROR(__xludf.DUMMYFUNCTION("IMPORTRANGE(""https://docs.google.com/spreadsheets/d/1ItG2mGa2ceCfYo0BwxsXqNm01IGEUdYcSSLTEv9YCik/edit?usp=sharing"",""เบิกจ่ายกองทุน!CN77"")"),0)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26015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403280</v>
      </c>
      <c r="M413" s="132">
        <f ca="1">M414+M415</f>
        <v>403280</v>
      </c>
      <c r="N413" s="132">
        <f ca="1">N414+N415</f>
        <v>29500.5</v>
      </c>
      <c r="O413" s="132">
        <f ca="1">IF(L413&gt;0,N413*100/L413,0)</f>
        <v>7.3151408450704229</v>
      </c>
      <c r="P413" s="132">
        <f ca="1">IF(M413&gt;0,N413*100/M413,0)</f>
        <v>7.3151408450704229</v>
      </c>
      <c r="Q413" s="132">
        <f ca="1">Q414+Q415</f>
        <v>64430</v>
      </c>
      <c r="R413" s="132">
        <f ca="1">R414+R415</f>
        <v>64430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403280</v>
      </c>
      <c r="M415" s="47">
        <f ca="1">M418+M421</f>
        <v>403280</v>
      </c>
      <c r="N415" s="47">
        <f ca="1">N418+N421</f>
        <v>29500.5</v>
      </c>
      <c r="O415" s="47">
        <f ca="1">IF(L415&gt;0,N415*100/L415,0)</f>
        <v>7.3151408450704229</v>
      </c>
      <c r="P415" s="47">
        <f ca="1">IF(M415&gt;0,N415*100/M415,0)</f>
        <v>7.3151408450704229</v>
      </c>
      <c r="Q415" s="47">
        <f ca="1">Q418+Q421</f>
        <v>64430</v>
      </c>
      <c r="R415" s="47">
        <f ca="1">R418+R421</f>
        <v>64430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403280</v>
      </c>
      <c r="M416" s="47">
        <f ca="1">M417+M418</f>
        <v>403280</v>
      </c>
      <c r="N416" s="47">
        <f ca="1">N417+N418</f>
        <v>29500.5</v>
      </c>
      <c r="O416" s="47">
        <f ca="1">IF(L416&gt;0,N416*100/L416,0)</f>
        <v>7.3151408450704229</v>
      </c>
      <c r="P416" s="47">
        <f ca="1">IF(M416&gt;0,N416*100/M416,0)</f>
        <v>7.3151408450704229</v>
      </c>
      <c r="Q416" s="47">
        <f ca="1">Q417+Q418</f>
        <v>64430</v>
      </c>
      <c r="R416" s="47">
        <f ca="1">R417+R418</f>
        <v>64430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IFERROR(__xludf.DUMMYFUNCTION("IMPORTRANGE(""https://docs.google.com/spreadsheets/d/1-uDff_7J0KD5mKrp0Vvzr7lt3OU09vwQwhkpOPPYv2Y/edit?usp=sharing"",""งบพรบ!IO77"")"),403280)</f>
        <v>403280</v>
      </c>
      <c r="M418" s="47">
        <f ca="1">IFERROR(__xludf.DUMMYFUNCTION("IMPORTRANGE(""https://docs.google.com/spreadsheets/d/1-uDff_7J0KD5mKrp0Vvzr7lt3OU09vwQwhkpOPPYv2Y/edit?usp=sharing"",""งบพรบ!IT77"")"),403280)</f>
        <v>403280</v>
      </c>
      <c r="N418" s="47">
        <f ca="1">IFERROR(__xludf.DUMMYFUNCTION("IMPORTRANGE(""https://docs.google.com/spreadsheets/d/1-uDff_7J0KD5mKrp0Vvzr7lt3OU09vwQwhkpOPPYv2Y/edit?usp=sharing"",""งบพรบ!IV77"")"),29500.5)</f>
        <v>29500.5</v>
      </c>
      <c r="O418" s="47">
        <f ca="1">IF(L418&gt;0,N418*100/L418,0)</f>
        <v>7.3151408450704229</v>
      </c>
      <c r="P418" s="47">
        <f ca="1">IF(M418&gt;0,N418*100/M418,0)</f>
        <v>7.3151408450704229</v>
      </c>
      <c r="Q418" s="47">
        <f ca="1">IFERROR(__xludf.DUMMYFUNCTION("IMPORTRANGE(""https://docs.google.com/spreadsheets/d/1ItG2mGa2ceCfYo0BwxsXqNm01IGEUdYcSSLTEv9YCik/edit?usp=sharing"",""เบิกจ่ายกองทุน!BZ77"")"),64430)</f>
        <v>64430</v>
      </c>
      <c r="R418" s="47">
        <f ca="1">IFERROR(__xludf.DUMMYFUNCTION("IMPORTRANGE(""https://docs.google.com/spreadsheets/d/1ItG2mGa2ceCfYo0BwxsXqNm01IGEUdYcSSLTEv9YCik/edit?usp=sharing"",""เบิกจ่ายกองทุน!CA77"")"),64430)</f>
        <v>64430</v>
      </c>
      <c r="S418" s="47">
        <f ca="1">IFERROR(__xludf.DUMMYFUNCTION("IMPORTRANGE(""https://docs.google.com/spreadsheets/d/1ItG2mGa2ceCfYo0BwxsXqNm01IGEUdYcSSLTEv9YCik/edit?usp=sharing"",""เบิกจ่ายกองทุน!CB77"")"),0)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IFERROR(__xludf.DUMMYFUNCTION("IMPORTRANGE(""https://docs.google.com/spreadsheets/d/1-uDff_7J0KD5mKrp0Vvzr7lt3OU09vwQwhkpOPPYv2Y/edit?usp=sharing"",""งบพรบ!IR77"")"),0)</f>
        <v>0</v>
      </c>
      <c r="M421" s="47">
        <f ca="1">IFERROR(__xludf.DUMMYFUNCTION("IMPORTRANGE(""https://docs.google.com/spreadsheets/d/1-uDff_7J0KD5mKrp0Vvzr7lt3OU09vwQwhkpOPPYv2Y/edit?usp=sharing"",""งบพรบ!IU77"")"),0)</f>
        <v>0</v>
      </c>
      <c r="N421" s="47">
        <f ca="1">IFERROR(__xludf.DUMMYFUNCTION("IMPORTRANGE(""https://docs.google.com/spreadsheets/d/1-uDff_7J0KD5mKrp0Vvzr7lt3OU09vwQwhkpOPPYv2Y/edit?usp=sharing"",""งบพรบ!IW77"")"),0)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26015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IFERROR(__xludf.DUMMYFUNCTION("IMPORTRANGE(""https://docs.google.com/spreadsheets/d/1eHaY18a8A9IcSdp1K8H6x8fbOy06t2VsZHhMHf-1x7Y/edit?usp=sharing"",""แผน!HJ77"")"),26015)</f>
        <v>26015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IFERROR(__xludf.DUMMYFUNCTION("IMPORTRANGE(""https://docs.google.com/spreadsheets/d/1eHaY18a8A9IcSdp1K8H6x8fbOy06t2VsZHhMHf-1x7Y/edit?usp=sharing"",""แผน!HK77"")"),2978)</f>
        <v>2978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IFERROR(__xludf.DUMMYFUNCTION("IMPORTRANGE(""https://docs.google.com/spreadsheets/d/1eHaY18a8A9IcSdp1K8H6x8fbOy06t2VsZHhMHf-1x7Y/edit?usp=sharing"",""แผน!HJ77"")"),26015)</f>
        <v>26015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IFERROR(__xludf.DUMMYFUNCTION("IMPORTRANGE(""https://docs.google.com/spreadsheets/d/1eHaY18a8A9IcSdp1K8H6x8fbOy06t2VsZHhMHf-1x7Y/edit?usp=sharing"",""แผน!HK77"")"),2978)</f>
        <v>2978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IFERROR(__xludf.DUMMYFUNCTION("IMPORTRANGE(""https://docs.google.com/spreadsheets/d/1eHaY18a8A9IcSdp1K8H6x8fbOy06t2VsZHhMHf-1x7Y/edit?usp=sharing"",""แผน!HJ77"")"),26015)</f>
        <v>26015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IFERROR(__xludf.DUMMYFUNCTION("IMPORTRANGE(""https://docs.google.com/spreadsheets/d/1eHaY18a8A9IcSdp1K8H6x8fbOy06t2VsZHhMHf-1x7Y/edit?usp=sharing"",""แผน!HK77"")"),2978)</f>
        <v>2978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170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IFERROR(__xludf.DUMMYFUNCTION("IMPORTRANGE(""https://docs.google.com/spreadsheets/d/1eHaY18a8A9IcSdp1K8H6x8fbOy06t2VsZHhMHf-1x7Y/edit?usp=sharing"",""แผน!HL77"")"),170)</f>
        <v>170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IFERROR(__xludf.DUMMYFUNCTION("IMPORTRANGE(""https://docs.google.com/spreadsheets/d/1eHaY18a8A9IcSdp1K8H6x8fbOy06t2VsZHhMHf-1x7Y/edit?usp=sharing"",""แผน!HM77"")"),0)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IFERROR(__xludf.DUMMYFUNCTION("IMPORTRANGE(""https://docs.google.com/spreadsheets/d/1-uDff_7J0KD5mKrp0Vvzr7lt3OU09vwQwhkpOPPYv2Y/edit?usp=sharing"",""งบพรบ!HU77"")"),0)</f>
        <v>0</v>
      </c>
      <c r="M498" s="47">
        <f ca="1">IFERROR(__xludf.DUMMYFUNCTION("IMPORTRANGE(""https://docs.google.com/spreadsheets/d/1-uDff_7J0KD5mKrp0Vvzr7lt3OU09vwQwhkpOPPYv2Y/edit?usp=sharing"",""งบพรบ!HZ77"")"),0)</f>
        <v>0</v>
      </c>
      <c r="N498" s="47">
        <f ca="1">IFERROR(__xludf.DUMMYFUNCTION("IMPORTRANGE(""https://docs.google.com/spreadsheets/d/1-uDff_7J0KD5mKrp0Vvzr7lt3OU09vwQwhkpOPPYv2Y/edit?usp=sharing"",""งบพรบ!IB77"")"),0)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IFERROR(__xludf.DUMMYFUNCTION("IMPORTRANGE(""https://docs.google.com/spreadsheets/d/1ItG2mGa2ceCfYo0BwxsXqNm01IGEUdYcSSLTEv9YCik/edit?usp=sharing"",""เบิกจ่ายกองทุน!AD77"")"),0)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IFERROR(__xludf.DUMMYFUNCTION("IMPORTRANGE(""https://docs.google.com/spreadsheets/d/1ItG2mGa2ceCfYo0BwxsXqNm01IGEUdYcSSLTEv9YCik/edit?usp=sharing"",""เบิกจ่ายกองทุน!AE77"")"),0)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IFERROR(__xludf.DUMMYFUNCTION("IMPORTRANGE(""https://docs.google.com/spreadsheets/d/1ItG2mGa2ceCfYo0BwxsXqNm01IGEUdYcSSLTEv9YCik/edit?usp=sharing"",""เบิกจ่ายกองทุน!AF77"")"),0)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IFERROR(__xludf.DUMMYFUNCTION("IMPORTRANGE(""https://docs.google.com/spreadsheets/d/1-uDff_7J0KD5mKrp0Vvzr7lt3OU09vwQwhkpOPPYv2Y/edit?usp=sharing"",""งบพรบ!HX77"")"),0)</f>
        <v>0</v>
      </c>
      <c r="M501" s="47">
        <f ca="1">IFERROR(__xludf.DUMMYFUNCTION("IMPORTRANGE(""https://docs.google.com/spreadsheets/d/1-uDff_7J0KD5mKrp0Vvzr7lt3OU09vwQwhkpOPPYv2Y/edit?usp=sharing"",""งบพรบ!IA77"")"),0)</f>
        <v>0</v>
      </c>
      <c r="N501" s="47">
        <f ca="1">IFERROR(__xludf.DUMMYFUNCTION("IMPORTRANGE(""https://docs.google.com/spreadsheets/d/1-uDff_7J0KD5mKrp0Vvzr7lt3OU09vwQwhkpOPPYv2Y/edit?usp=sharing"",""งบพรบ!IC77"")"),0)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IFERROR(__xludf.DUMMYFUNCTION("IMPORTRANGE(""https://docs.google.com/spreadsheets/d/1eHaY18a8A9IcSdp1K8H6x8fbOy06t2VsZHhMHf-1x7Y/edit?usp=sharing"",""แผน!GX77"")"),0)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IFERROR(__xludf.DUMMYFUNCTION("IMPORTRANGE(""https://docs.google.com/spreadsheets/d/1eHaY18a8A9IcSdp1K8H6x8fbOy06t2VsZHhMHf-1x7Y/edit?usp=sharing"",""แผน!GY77"")"),0)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IFERROR(__xludf.DUMMYFUNCTION("IMPORTRANGE(""https://docs.google.com/spreadsheets/d/1eHaY18a8A9IcSdp1K8H6x8fbOy06t2VsZHhMHf-1x7Y/edit?usp=sharing"",""แผน!GZ77"")"),0)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IFERROR(__xludf.DUMMYFUNCTION("IMPORTRANGE(""https://docs.google.com/spreadsheets/d/1eHaY18a8A9IcSdp1K8H6x8fbOy06t2VsZHhMHf-1x7Y/edit?usp=sharing"",""แผน!HA77"")"),0)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IFERROR(__xludf.DUMMYFUNCTION("IMPORTRANGE(""https://docs.google.com/spreadsheets/d/1eHaY18a8A9IcSdp1K8H6x8fbOy06t2VsZHhMHf-1x7Y/edit?usp=sharing"",""แผน!HB77"")"),0)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IFERROR(__xludf.DUMMYFUNCTION("IMPORTRANGE(""https://docs.google.com/spreadsheets/d/1eHaY18a8A9IcSdp1K8H6x8fbOy06t2VsZHhMHf-1x7Y/edit?usp=sharing"",""แผน!HC77"")"),0)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IFERROR(__xludf.DUMMYFUNCTION("IMPORTRANGE(""https://docs.google.com/spreadsheets/d/1-uDff_7J0KD5mKrp0Vvzr7lt3OU09vwQwhkpOPPYv2Y/edit?usp=sharing"",""งบพรบ!FM77"")"),0)</f>
        <v>0</v>
      </c>
      <c r="M518" s="47">
        <f ca="1">IFERROR(__xludf.DUMMYFUNCTION("IMPORTRANGE(""https://docs.google.com/spreadsheets/d/1-uDff_7J0KD5mKrp0Vvzr7lt3OU09vwQwhkpOPPYv2Y/edit?usp=sharing"",""งบพรบ!FR77"")"),0)</f>
        <v>0</v>
      </c>
      <c r="N518" s="47">
        <f ca="1">IFERROR(__xludf.DUMMYFUNCTION("IMPORTRANGE(""https://docs.google.com/spreadsheets/d/1-uDff_7J0KD5mKrp0Vvzr7lt3OU09vwQwhkpOPPYv2Y/edit?usp=sharing"",""งบพรบ!FT77"")"),0)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IFERROR(__xludf.DUMMYFUNCTION("IMPORTRANGE(""https://docs.google.com/spreadsheets/d/1-uDff_7J0KD5mKrp0Vvzr7lt3OU09vwQwhkpOPPYv2Y/edit?usp=sharing"",""งบพรบ!FP77"")"),0)</f>
        <v>0</v>
      </c>
      <c r="M521" s="47">
        <f ca="1">IFERROR(__xludf.DUMMYFUNCTION("IMPORTRANGE(""https://docs.google.com/spreadsheets/d/1-uDff_7J0KD5mKrp0Vvzr7lt3OU09vwQwhkpOPPYv2Y/edit?usp=sharing"",""งบพรบ!FS77"")"),0)</f>
        <v>0</v>
      </c>
      <c r="N521" s="47">
        <f ca="1">IFERROR(__xludf.DUMMYFUNCTION("IMPORTRANGE(""https://docs.google.com/spreadsheets/d/1-uDff_7J0KD5mKrp0Vvzr7lt3OU09vwQwhkpOPPYv2Y/edit?usp=sharing"",""งบพรบ!FU77"")"),0)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IFERROR(__xludf.DUMMYFUNCTION("IMPORTRANGE(""https://docs.google.com/spreadsheets/d/1-uDff_7J0KD5mKrp0Vvzr7lt3OU09vwQwhkpOPPYv2Y/edit?usp=sharing"",""งบพรบ!FW77"")"),0)</f>
        <v>0</v>
      </c>
      <c r="M539" s="47">
        <f ca="1">IFERROR(__xludf.DUMMYFUNCTION("IMPORTRANGE(""https://docs.google.com/spreadsheets/d/1-uDff_7J0KD5mKrp0Vvzr7lt3OU09vwQwhkpOPPYv2Y/edit?usp=sharing"",""งบพรบ!GB77"")"),0)</f>
        <v>0</v>
      </c>
      <c r="N539" s="47">
        <f ca="1">IFERROR(__xludf.DUMMYFUNCTION("IMPORTRANGE(""https://docs.google.com/spreadsheets/d/1-uDff_7J0KD5mKrp0Vvzr7lt3OU09vwQwhkpOPPYv2Y/edit?usp=sharing"",""งบพรบ!GD77"")"),0)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IFERROR(__xludf.DUMMYFUNCTION("IMPORTRANGE(""https://docs.google.com/spreadsheets/d/1-uDff_7J0KD5mKrp0Vvzr7lt3OU09vwQwhkpOPPYv2Y/edit?usp=sharing"",""งบพรบ!FZ77"")"),0)</f>
        <v>0</v>
      </c>
      <c r="M542" s="47">
        <f ca="1">IFERROR(__xludf.DUMMYFUNCTION("IMPORTRANGE(""https://docs.google.com/spreadsheets/d/1-uDff_7J0KD5mKrp0Vvzr7lt3OU09vwQwhkpOPPYv2Y/edit?usp=sharing"",""งบพรบ!GC77"")"),0)</f>
        <v>0</v>
      </c>
      <c r="N542" s="47">
        <f ca="1">IFERROR(__xludf.DUMMYFUNCTION("IMPORTRANGE(""https://docs.google.com/spreadsheets/d/1-uDff_7J0KD5mKrp0Vvzr7lt3OU09vwQwhkpOPPYv2Y/edit?usp=sharing"",""งบพรบ!GE77"")"),0)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IFERROR(__xludf.DUMMYFUNCTION("IMPORTRANGE(""https://docs.google.com/spreadsheets/d/1-uDff_7J0KD5mKrp0Vvzr7lt3OU09vwQwhkpOPPYv2Y/edit?usp=sharing"",""งบพรบ!GG77"")"),0)</f>
        <v>0</v>
      </c>
      <c r="M560" s="47">
        <f ca="1">IFERROR(__xludf.DUMMYFUNCTION("IMPORTRANGE(""https://docs.google.com/spreadsheets/d/1-uDff_7J0KD5mKrp0Vvzr7lt3OU09vwQwhkpOPPYv2Y/edit?usp=sharing"",""งบพรบ!GL77"")"),0)</f>
        <v>0</v>
      </c>
      <c r="N560" s="47">
        <f ca="1">IFERROR(__xludf.DUMMYFUNCTION("IMPORTRANGE(""https://docs.google.com/spreadsheets/d/1-uDff_7J0KD5mKrp0Vvzr7lt3OU09vwQwhkpOPPYv2Y/edit?usp=sharing"",""งบพรบ!GN77"")"),0)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IFERROR(__xludf.DUMMYFUNCTION("IMPORTRANGE(""https://docs.google.com/spreadsheets/d/1-uDff_7J0KD5mKrp0Vvzr7lt3OU09vwQwhkpOPPYv2Y/edit?usp=sharing"",""งบพรบ!GJ77"")"),0)</f>
        <v>0</v>
      </c>
      <c r="M563" s="47">
        <f ca="1">IFERROR(__xludf.DUMMYFUNCTION("IMPORTRANGE(""https://docs.google.com/spreadsheets/d/1-uDff_7J0KD5mKrp0Vvzr7lt3OU09vwQwhkpOPPYv2Y/edit?usp=sharing"",""งบพรบ!GM77"")"),0)</f>
        <v>0</v>
      </c>
      <c r="N563" s="47">
        <f ca="1">IFERROR(__xludf.DUMMYFUNCTION("IMPORTRANGE(""https://docs.google.com/spreadsheets/d/1-uDff_7J0KD5mKrp0Vvzr7lt3OU09vwQwhkpOPPYv2Y/edit?usp=sharing"",""งบพรบ!GO77"")"),0)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IFERROR(__xludf.DUMMYFUNCTION("IMPORTRANGE(""https://docs.google.com/spreadsheets/d/1-uDff_7J0KD5mKrp0Vvzr7lt3OU09vwQwhkpOPPYv2Y/edit?usp=sharing"",""งบพรบ!GQ77"")"),0)</f>
        <v>0</v>
      </c>
      <c r="M581" s="47">
        <f ca="1">IFERROR(__xludf.DUMMYFUNCTION("IMPORTRANGE(""https://docs.google.com/spreadsheets/d/1-uDff_7J0KD5mKrp0Vvzr7lt3OU09vwQwhkpOPPYv2Y/edit?usp=sharing"",""งบพรบ!GV77"")"),0)</f>
        <v>0</v>
      </c>
      <c r="N581" s="47">
        <f ca="1">IFERROR(__xludf.DUMMYFUNCTION("IMPORTRANGE(""https://docs.google.com/spreadsheets/d/1-uDff_7J0KD5mKrp0Vvzr7lt3OU09vwQwhkpOPPYv2Y/edit?usp=sharing"",""งบพรบ!GX77"")"),0)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IFERROR(__xludf.DUMMYFUNCTION("IMPORTRANGE(""https://docs.google.com/spreadsheets/d/1-uDff_7J0KD5mKrp0Vvzr7lt3OU09vwQwhkpOPPYv2Y/edit?usp=sharing"",""งบพรบ!GT77"")"),0)</f>
        <v>0</v>
      </c>
      <c r="M584" s="47">
        <f ca="1">IFERROR(__xludf.DUMMYFUNCTION("IMPORTRANGE(""https://docs.google.com/spreadsheets/d/1-uDff_7J0KD5mKrp0Vvzr7lt3OU09vwQwhkpOPPYv2Y/edit?usp=sharing"",""งบพรบ!GW77"")"),0)</f>
        <v>0</v>
      </c>
      <c r="N584" s="47">
        <f ca="1">IFERROR(__xludf.DUMMYFUNCTION("IMPORTRANGE(""https://docs.google.com/spreadsheets/d/1-uDff_7J0KD5mKrp0Vvzr7lt3OU09vwQwhkpOPPYv2Y/edit?usp=sharing"",""งบพรบ!GY77"")"),0)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IFERROR(__xludf.DUMMYFUNCTION("IMPORTRANGE(""https://docs.google.com/spreadsheets/d/1-uDff_7J0KD5mKrp0Vvzr7lt3OU09vwQwhkpOPPYv2Y/edit?usp=sharing"",""งบพรบ!HK77"")"),0)</f>
        <v>0</v>
      </c>
      <c r="M604" s="47">
        <f ca="1">IFERROR(__xludf.DUMMYFUNCTION("IMPORTRANGE(""https://docs.google.com/spreadsheets/d/1-uDff_7J0KD5mKrp0Vvzr7lt3OU09vwQwhkpOPPYv2Y/edit?usp=sharing"",""งบพรบ!HP77"")"),0)</f>
        <v>0</v>
      </c>
      <c r="N604" s="47">
        <f ca="1">IFERROR(__xludf.DUMMYFUNCTION("IMPORTRANGE(""https://docs.google.com/spreadsheets/d/1-uDff_7J0KD5mKrp0Vvzr7lt3OU09vwQwhkpOPPYv2Y/edit?usp=sharing"",""งบพรบ!HR77"")"),0)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IFERROR(__xludf.DUMMYFUNCTION("IMPORTRANGE(""https://docs.google.com/spreadsheets/d/1ItG2mGa2ceCfYo0BwxsXqNm01IGEUdYcSSLTEv9YCik/edit?usp=sharing"",""เบิกจ่ายกองทุน!AV77"")"),0)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IFERROR(__xludf.DUMMYFUNCTION("IMPORTRANGE(""https://docs.google.com/spreadsheets/d/1ItG2mGa2ceCfYo0BwxsXqNm01IGEUdYcSSLTEv9YCik/edit?usp=sharing"",""เบิกจ่ายกองทุน!AW77"")"),0)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IFERROR(__xludf.DUMMYFUNCTION("IMPORTRANGE(""https://docs.google.com/spreadsheets/d/1ItG2mGa2ceCfYo0BwxsXqNm01IGEUdYcSSLTEv9YCik/edit?usp=sharing"",""เบิกจ่ายกองทุน!AX77"")"),0)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IFERROR(__xludf.DUMMYFUNCTION("IMPORTRANGE(""https://docs.google.com/spreadsheets/d/1-uDff_7J0KD5mKrp0Vvzr7lt3OU09vwQwhkpOPPYv2Y/edit?usp=sharing"",""งบพรบ!HN77"")"),0)</f>
        <v>0</v>
      </c>
      <c r="M607" s="47">
        <f ca="1">IFERROR(__xludf.DUMMYFUNCTION("IMPORTRANGE(""https://docs.google.com/spreadsheets/d/1-uDff_7J0KD5mKrp0Vvzr7lt3OU09vwQwhkpOPPYv2Y/edit?usp=sharing"",""งบพรบ!HQ77"")"),0)</f>
        <v>0</v>
      </c>
      <c r="N607" s="47">
        <f ca="1">IFERROR(__xludf.DUMMYFUNCTION("IMPORTRANGE(""https://docs.google.com/spreadsheets/d/1-uDff_7J0KD5mKrp0Vvzr7lt3OU09vwQwhkpOPPYv2Y/edit?usp=sharing"",""งบพรบ!HS77"")"),0)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IFERROR(__xludf.DUMMYFUNCTION("IMPORTRANGE(""https://docs.google.com/spreadsheets/d/1ItG2mGa2ceCfYo0BwxsXqNm01IGEUdYcSSLTEv9YCik/edit?usp=sharing"",""เบิกจ่ายกองทุน!AY77"")"),0)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IFERROR(__xludf.DUMMYFUNCTION("IMPORTRANGE(""https://docs.google.com/spreadsheets/d/1ItG2mGa2ceCfYo0BwxsXqNm01IGEUdYcSSLTEv9YCik/edit?usp=sharing"",""เบิกจ่ายกองทุน!AZ77"")"),0)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IFERROR(__xludf.DUMMYFUNCTION("IMPORTRANGE(""https://docs.google.com/spreadsheets/d/1ItG2mGa2ceCfYo0BwxsXqNm01IGEUdYcSSLTEv9YCik/edit?usp=sharing"",""เบิกจ่ายกองทุน!BA77"")"),0)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7350</v>
      </c>
      <c r="R616" s="132">
        <f ca="1">R617+R618</f>
        <v>7350</v>
      </c>
      <c r="S616" s="132">
        <f ca="1">S617+S618</f>
        <v>1600</v>
      </c>
      <c r="T616" s="132">
        <f ca="1">IF(Q616&gt;0,S616*100/Q616,0)</f>
        <v>21.768707482993197</v>
      </c>
      <c r="U616" s="132">
        <f ca="1">IF(R616&gt;0,S616*100/R616,0)</f>
        <v>21.768707482993197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7350</v>
      </c>
      <c r="R618" s="47">
        <f ca="1">R621+R624</f>
        <v>7350</v>
      </c>
      <c r="S618" s="47">
        <f ca="1">S621+S624</f>
        <v>1600</v>
      </c>
      <c r="T618" s="47">
        <f ca="1">IF(Q618&gt;0,S618*100/Q618,0)</f>
        <v>21.768707482993197</v>
      </c>
      <c r="U618" s="47">
        <f ca="1">IF(R618&gt;0,S618*100/R618,0)</f>
        <v>21.768707482993197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7350</v>
      </c>
      <c r="R619" s="47">
        <f ca="1">R620+R621</f>
        <v>7350</v>
      </c>
      <c r="S619" s="47">
        <f ca="1">S620+S621</f>
        <v>1600</v>
      </c>
      <c r="T619" s="47">
        <f ca="1">IF(Q619&gt;0,S619*100/Q619,0)</f>
        <v>21.768707482993197</v>
      </c>
      <c r="U619" s="47">
        <f ca="1">IF(R619&gt;0,S619*100/R619,0)</f>
        <v>21.768707482993197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IFERROR(__xludf.DUMMYFUNCTION("IMPORTRANGE(""https://docs.google.com/spreadsheets/d/1ItG2mGa2ceCfYo0BwxsXqNm01IGEUdYcSSLTEv9YCik/edit?usp=sharing"",""เบิกจ่ายกองทุน!F77"")"),7350)</f>
        <v>7350</v>
      </c>
      <c r="R621" s="47">
        <f ca="1">IFERROR(__xludf.DUMMYFUNCTION("IMPORTRANGE(""https://docs.google.com/spreadsheets/d/1ItG2mGa2ceCfYo0BwxsXqNm01IGEUdYcSSLTEv9YCik/edit?usp=sharing"",""เบิกจ่ายกองทุน!G77"")"),7350)</f>
        <v>7350</v>
      </c>
      <c r="S621" s="47">
        <f ca="1">IFERROR(__xludf.DUMMYFUNCTION("IMPORTRANGE(""https://docs.google.com/spreadsheets/d/1ItG2mGa2ceCfYo0BwxsXqNm01IGEUdYcSSLTEv9YCik/edit?usp=sharing"",""เบิกจ่ายกองทุน!H77"")"),1600)</f>
        <v>1600</v>
      </c>
      <c r="T621" s="47">
        <f ca="1">IF(Q621&gt;0,S621*100/Q621,0)</f>
        <v>21.768707482993197</v>
      </c>
      <c r="U621" s="47">
        <f ca="1">IF(R621&gt;0,S621*100/R621,0)</f>
        <v>21.768707482993197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IFERROR(__xludf.DUMMYFUNCTION("IMPORTRANGE(""https://docs.google.com/spreadsheets/d/1eHaY18a8A9IcSdp1K8H6x8fbOy06t2VsZHhMHf-1x7Y/edit?usp=sharing"",""แผน!ID77"")"),50)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IFERROR(__xludf.DUMMYFUNCTION("IMPORTRANGE(""https://docs.google.com/spreadsheets/d/1eHaY18a8A9IcSdp1K8H6x8fbOy06t2VsZHhMHf-1x7Y/edit?usp=sharing"",""แผน!IC77"")"),1)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IFERROR(__xludf.DUMMYFUNCTION("IMPORTRANGE(""https://docs.google.com/spreadsheets/d/1eHaY18a8A9IcSdp1K8H6x8fbOy06t2VsZHhMHf-1x7Y/edit?usp=sharing"",""แผน!IC77"")"),1)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IFERROR(__xludf.DUMMYFUNCTION("IMPORTRANGE(""https://docs.google.com/spreadsheets/d/1eHaY18a8A9IcSdp1K8H6x8fbOy06t2VsZHhMHf-1x7Y/edit?usp=sharing"",""แผน!IE77"")"),0)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IFERROR(__xludf.DUMMYFUNCTION("IMPORTRANGE(""https://docs.google.com/spreadsheets/d/1ItG2mGa2ceCfYo0BwxsXqNm01IGEUdYcSSLTEv9YCik/edit?usp=sharing"",""เบิกจ่ายกองทุน!I77"")"),0)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IFERROR(__xludf.DUMMYFUNCTION("IMPORTRANGE(""https://docs.google.com/spreadsheets/d/1ItG2mGa2ceCfYo0BwxsXqNm01IGEUdYcSSLTEv9YCik/edit?usp=sharing"",""เบิกจ่ายกองทุน!J77"")"),0)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IFERROR(__xludf.DUMMYFUNCTION("IMPORTRANGE(""https://docs.google.com/spreadsheets/d/1ItG2mGa2ceCfYo0BwxsXqNm01IGEUdYcSSLTEv9YCik/edit?usp=sharing"",""เบิกจ่ายกองทุน!K77"")"),0)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IFERROR(__xludf.DUMMYFUNCTION("IMPORTRANGE(""https://docs.google.com/spreadsheets/d/1eHaY18a8A9IcSdp1K8H6x8fbOy06t2VsZHhMHf-1x7Y/edit?usp=sharing"",""แผน!IF77"")"),0)</f>
        <v>0</v>
      </c>
      <c r="J652" s="152">
        <f ca="1">IFERROR(__xludf.DUMMYFUNCTION("IMPORTRANGE(""https://docs.google.com/spreadsheets/d/1tdoBKaGub7dwA3U6UFTqxio9LNnvDCQjHKmttSEBsFQ/edit?usp=sharing"",""จัดที่ดิน!AU77"")"),0)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IFERROR(__xludf.DUMMYFUNCTION("IMPORTRANGE(""https://docs.google.com/spreadsheets/d/1eHaY18a8A9IcSdp1K8H6x8fbOy06t2VsZHhMHf-1x7Y/edit?usp=sharing"",""แผน!IG77"")"),0)</f>
        <v>0</v>
      </c>
      <c r="J653" s="152">
        <f ca="1">IFERROR(__xludf.DUMMYFUNCTION("IMPORTRANGE(""https://docs.google.com/spreadsheets/d/1tdoBKaGub7dwA3U6UFTqxio9LNnvDCQjHKmttSEBsFQ/edit?usp=sharing"",""จัดที่ดิน!AW77"")"),0)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IFERROR(__xludf.DUMMYFUNCTION("IMPORTRANGE(""https://docs.google.com/spreadsheets/d/1eHaY18a8A9IcSdp1K8H6x8fbOy06t2VsZHhMHf-1x7Y/edit?usp=sharing"",""แผน!IH77"")"),0)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IFERROR(__xludf.DUMMYFUNCTION("IMPORTRANGE(""https://docs.google.com/spreadsheets/d/1eHaY18a8A9IcSdp1K8H6x8fbOy06t2VsZHhMHf-1x7Y/edit?usp=sharing"",""แผน!II77"")"),0)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IFERROR(__xludf.DUMMYFUNCTION("IMPORTRANGE(""https://docs.google.com/spreadsheets/d/1eHaY18a8A9IcSdp1K8H6x8fbOy06t2VsZHhMHf-1x7Y/edit?usp=sharing"",""แผน!IJ77"")"),0)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IFERROR(__xludf.DUMMYFUNCTION("IMPORTRANGE(""https://docs.google.com/spreadsheets/d/1eHaY18a8A9IcSdp1K8H6x8fbOy06t2VsZHhMHf-1x7Y/edit?usp=sharing"",""แผน!IK77"")"),0)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IFERROR(__xludf.DUMMYFUNCTION("IMPORTRANGE(""https://docs.google.com/spreadsheets/d/1tdoBKaGub7dwA3U6UFTqxio9LNnvDCQjHKmttSEBsFQ/edit?usp=sharing"",""จัดที่ดิน!AY77"")"),0)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IFERROR(__xludf.DUMMYFUNCTION("IMPORTRANGE(""https://docs.google.com/spreadsheets/d/1tdoBKaGub7dwA3U6UFTqxio9LNnvDCQjHKmttSEBsFQ/edit?usp=sharing"",""จัดที่ดิน!AZ77"")"),0)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IFERROR(__xludf.DUMMYFUNCTION("IMPORTRANGE(""https://docs.google.com/spreadsheets/d/1eHaY18a8A9IcSdp1K8H6x8fbOy06t2VsZHhMHf-1x7Y/edit?usp=sharing"",""แผน!IL77"")"),0)</f>
        <v>0</v>
      </c>
      <c r="J673" s="152">
        <f ca="1">IFERROR(__xludf.DUMMYFUNCTION("IMPORTRANGE(""https://docs.google.com/spreadsheets/d/1tdoBKaGub7dwA3U6UFTqxio9LNnvDCQjHKmttSEBsFQ/edit?usp=sharing"",""จัดที่ดิน!BA77"")"),0)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IFERROR(__xludf.DUMMYFUNCTION("IMPORTRANGE(""https://docs.google.com/spreadsheets/d/1eHaY18a8A9IcSdp1K8H6x8fbOy06t2VsZHhMHf-1x7Y/edit?usp=sharing"",""แผน!IM77"")"),0)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IFERROR(__xludf.DUMMYFUNCTION("IMPORTRANGE(""https://docs.google.com/spreadsheets/d/1eHaY18a8A9IcSdp1K8H6x8fbOy06t2VsZHhMHf-1x7Y/edit?usp=sharing"",""แผน!IN77"")"),0)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IFERROR(__xludf.DUMMYFUNCTION("IMPORTRANGE(""https://docs.google.com/spreadsheets/d/1eHaY18a8A9IcSdp1K8H6x8fbOy06t2VsZHhMHf-1x7Y/edit?usp=sharing"",""แผน!IO77"")"),0)</f>
        <v>0</v>
      </c>
      <c r="J676" s="152">
        <f ca="1">IFERROR(__xludf.DUMMYFUNCTION("IMPORTRANGE(""https://docs.google.com/spreadsheets/d/1tdoBKaGub7dwA3U6UFTqxio9LNnvDCQjHKmttSEBsFQ/edit?usp=sharing"",""จัดที่ดิน!BF77"")"),0)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IFERROR(__xludf.DUMMYFUNCTION("IMPORTRANGE(""https://docs.google.com/spreadsheets/d/1tdoBKaGub7dwA3U6UFTqxio9LNnvDCQjHKmttSEBsFQ/edit?usp=sharing"",""จัดที่ดิน!BG77"")"),0)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IFERROR(__xludf.DUMMYFUNCTION("IMPORTRANGE(""https://docs.google.com/spreadsheets/d/1eHaY18a8A9IcSdp1K8H6x8fbOy06t2VsZHhMHf-1x7Y/edit?usp=sharing"",""แผน!IP77"")"),0)</f>
        <v>0</v>
      </c>
      <c r="J678" s="152">
        <f ca="1">IFERROR(__xludf.DUMMYFUNCTION("IMPORTRANGE(""https://docs.google.com/spreadsheets/d/1tdoBKaGub7dwA3U6UFTqxio9LNnvDCQjHKmttSEBsFQ/edit?usp=sharing"",""จัดที่ดิน!BH77"")"),0)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IFERROR(__xludf.DUMMYFUNCTION("IMPORTRANGE(""https://docs.google.com/spreadsheets/d/1eHaY18a8A9IcSdp1K8H6x8fbOy06t2VsZHhMHf-1x7Y/edit?usp=sharing"",""แผน!IQ77"")"),0)</f>
        <v>0</v>
      </c>
      <c r="J679" s="152">
        <f ca="1">IFERROR(__xludf.DUMMYFUNCTION("IMPORTRANGE(""https://docs.google.com/spreadsheets/d/1tdoBKaGub7dwA3U6UFTqxio9LNnvDCQjHKmttSEBsFQ/edit?usp=sharing"",""จัดที่ดิน!BK77"")"),0)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IFERROR(__xludf.DUMMYFUNCTION("IMPORTRANGE(""https://docs.google.com/spreadsheets/d/1tdoBKaGub7dwA3U6UFTqxio9LNnvDCQjHKmttSEBsFQ/edit?usp=sharing"",""จัดที่ดิน!BL77"")"),0)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IFERROR(__xludf.DUMMYFUNCTION("IMPORTRANGE(""https://docs.google.com/spreadsheets/d/1eHaY18a8A9IcSdp1K8H6x8fbOy06t2VsZHhMHf-1x7Y/edit?usp=sharing"",""แผน!IR77"")"),0)</f>
        <v>0</v>
      </c>
      <c r="J681" s="152">
        <f ca="1">IFERROR(__xludf.DUMMYFUNCTION("IMPORTRANGE(""https://docs.google.com/spreadsheets/d/1tdoBKaGub7dwA3U6UFTqxio9LNnvDCQjHKmttSEBsFQ/edit?usp=sharing"",""จัดที่ดิน!BM77"")"),0)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IFERROR(__xludf.DUMMYFUNCTION("IMPORTRANGE(""https://docs.google.com/spreadsheets/d/1eHaY18a8A9IcSdp1K8H6x8fbOy06t2VsZHhMHf-1x7Y/edit?usp=sharing"",""แผน!IS77"")"),0)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64340</v>
      </c>
      <c r="R690" s="132">
        <f ca="1">R691+R692</f>
        <v>64340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64340</v>
      </c>
      <c r="R692" s="47">
        <f ca="1">R695+R698</f>
        <v>64340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64340</v>
      </c>
      <c r="R693" s="47">
        <f ca="1">R694+R695</f>
        <v>64340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IFERROR(__xludf.DUMMYFUNCTION("IMPORTRANGE(""https://docs.google.com/spreadsheets/d/1ItG2mGa2ceCfYo0BwxsXqNm01IGEUdYcSSLTEv9YCik/edit?usp=sharing"",""เบิกจ่ายกองทุน!L77"")"),64340)</f>
        <v>64340</v>
      </c>
      <c r="R695" s="47">
        <f ca="1">IFERROR(__xludf.DUMMYFUNCTION("IMPORTRANGE(""https://docs.google.com/spreadsheets/d/1ItG2mGa2ceCfYo0BwxsXqNm01IGEUdYcSSLTEv9YCik/edit?usp=sharing"",""เบิกจ่ายกองทุน!M77"")"),64340)</f>
        <v>64340</v>
      </c>
      <c r="S695" s="47">
        <f ca="1">IFERROR(__xludf.DUMMYFUNCTION("IMPORTRANGE(""https://docs.google.com/spreadsheets/d/1ItG2mGa2ceCfYo0BwxsXqNm01IGEUdYcSSLTEv9YCik/edit?usp=sharing"",""เบิกจ่ายกองทุน!N77"")"),0)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IFERROR(__xludf.DUMMYFUNCTION("IMPORTRANGE(""https://docs.google.com/spreadsheets/d/1eHaY18a8A9IcSdp1K8H6x8fbOy06t2VsZHhMHf-1x7Y/edit?usp=sharing"",""แผน!LC77"")"),0)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1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IFERROR(__xludf.DUMMYFUNCTION("IMPORTRANGE(""https://docs.google.com/spreadsheets/d/1eHaY18a8A9IcSdp1K8H6x8fbOy06t2VsZHhMHf-1x7Y/edit?usp=sharing"",""แผน!LJ77"")"),0)</f>
        <v>0</v>
      </c>
      <c r="J703" s="152">
        <f ca="1">IFERROR(__xludf.DUMMYFUNCTION("IMPORTRANGE(""https://docs.google.com/spreadsheets/d/1tdoBKaGub7dwA3U6UFTqxio9LNnvDCQjHKmttSEBsFQ/edit?usp=sharing"",""จัดที่ดิน!AP77"")"),0)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IFERROR(__xludf.DUMMYFUNCTION("IMPORTRANGE(""https://docs.google.com/spreadsheets/d/1tdoBKaGub7dwA3U6UFTqxio9LNnvDCQjHKmttSEBsFQ/edit?usp=sharing"",""จัดที่ดิน!AQ77"")"),0)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IFERROR(__xludf.DUMMYFUNCTION("IMPORTRANGE(""https://docs.google.com/spreadsheets/d/1eHaY18a8A9IcSdp1K8H6x8fbOy06t2VsZHhMHf-1x7Y/edit?usp=sharing"",""แผน!LK77"")"),1)</f>
        <v>1</v>
      </c>
      <c r="J705" s="152">
        <f ca="1">IFERROR(__xludf.DUMMYFUNCTION("IMPORTRANGE(""https://docs.google.com/spreadsheets/d/1tdoBKaGub7dwA3U6UFTqxio9LNnvDCQjHKmttSEBsFQ/edit?usp=sharing"",""จัดที่ดิน!AR77"")"),0)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IFERROR(__xludf.DUMMYFUNCTION("IMPORTRANGE(""https://docs.google.com/spreadsheets/d/1tdoBKaGub7dwA3U6UFTqxio9LNnvDCQjHKmttSEBsFQ/edit?usp=sharing"",""จัดที่ดิน!AS77"")"),0)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IFERROR(__xludf.DUMMYFUNCTION("IMPORTRANGE(""https://docs.google.com/spreadsheets/d/1eHaY18a8A9IcSdp1K8H6x8fbOy06t2VsZHhMHf-1x7Y/edit?usp=sharing"",""แผน!LJ77"")"),0)</f>
        <v>0</v>
      </c>
      <c r="J707" s="152">
        <f ca="1">IFERROR(__xludf.DUMMYFUNCTION("IMPORTRANGE(""https://docs.google.com/spreadsheets/d/1tdoBKaGub7dwA3U6UFTqxio9LNnvDCQjHKmttSEBsFQ/edit?usp=sharing"",""จัดที่ดิน!BN77"")"),0)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IFERROR(__xludf.DUMMYFUNCTION("IMPORTRANGE(""https://docs.google.com/spreadsheets/d/1tdoBKaGub7dwA3U6UFTqxio9LNnvDCQjHKmttSEBsFQ/edit?usp=sharing"",""จัดที่ดิน!BO77"")"),0)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IFERROR(__xludf.DUMMYFUNCTION("IMPORTRANGE(""https://docs.google.com/spreadsheets/d/1eHaY18a8A9IcSdp1K8H6x8fbOy06t2VsZHhMHf-1x7Y/edit?usp=sharing"",""แผน!LK77"")"),1)</f>
        <v>1</v>
      </c>
      <c r="J709" s="152">
        <f ca="1">IFERROR(__xludf.DUMMYFUNCTION("IMPORTRANGE(""https://docs.google.com/spreadsheets/d/1tdoBKaGub7dwA3U6UFTqxio9LNnvDCQjHKmttSEBsFQ/edit?usp=sharing"",""จัดที่ดิน!BP77"")"),3)</f>
        <v>3</v>
      </c>
      <c r="K709" s="47">
        <f ca="1">IF(I709&gt;0,J709*100/I709,0)</f>
        <v>300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IFERROR(__xludf.DUMMYFUNCTION("IMPORTRANGE(""https://docs.google.com/spreadsheets/d/1tdoBKaGub7dwA3U6UFTqxio9LNnvDCQjHKmttSEBsFQ/edit?usp=sharing"",""จัดที่ดิน!BQ77"")"),0)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IFERROR(__xludf.DUMMYFUNCTION("IMPORTRANGE(""https://docs.google.com/spreadsheets/d/1eHaY18a8A9IcSdp1K8H6x8fbOy06t2VsZHhMHf-1x7Y/edit?usp=sharing"",""แผน!GA77"")"),31)</f>
        <v>31</v>
      </c>
      <c r="J726" s="483">
        <f>J742+J746+J749</f>
        <v>30</v>
      </c>
      <c r="K726" s="484">
        <f ca="1">IF(I726&gt;0,J726*100/I726,0)</f>
        <v>96.774193548387103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IFERROR(__xludf.DUMMYFUNCTION("IMPORTRANGE(""https://docs.google.com/spreadsheets/d/1eHaY18a8A9IcSdp1K8H6x8fbOy06t2VsZHhMHf-1x7Y/edit?usp=sharing"",""แผน!FZ77"")"),300)</f>
        <v>300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242546</v>
      </c>
      <c r="R728" s="132">
        <f ca="1">R729+R730</f>
        <v>242546</v>
      </c>
      <c r="S728" s="132">
        <f ca="1">S729+S730</f>
        <v>28440</v>
      </c>
      <c r="T728" s="132">
        <f ca="1">IF(Q728&gt;0,S728*100/Q728,0)</f>
        <v>11.725610811969688</v>
      </c>
      <c r="U728" s="132">
        <f ca="1">IF(R728&gt;0,S728*100/R728,0)</f>
        <v>11.725610811969688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242546</v>
      </c>
      <c r="R730" s="47">
        <f ca="1">R733+R736</f>
        <v>242546</v>
      </c>
      <c r="S730" s="47">
        <f ca="1">S733+S736</f>
        <v>28440</v>
      </c>
      <c r="T730" s="47">
        <f ca="1">IF(Q730&gt;0,S730*100/Q730,0)</f>
        <v>11.725610811969688</v>
      </c>
      <c r="U730" s="47">
        <f ca="1">IF(R730&gt;0,S730*100/R730,0)</f>
        <v>11.725610811969688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242546</v>
      </c>
      <c r="R731" s="47">
        <f ca="1">R732+R733</f>
        <v>242546</v>
      </c>
      <c r="S731" s="47">
        <f ca="1">S732+S733</f>
        <v>28440</v>
      </c>
      <c r="T731" s="47">
        <f ca="1">IF(Q731&gt;0,S731*100/Q731,0)</f>
        <v>11.725610811969688</v>
      </c>
      <c r="U731" s="47">
        <f ca="1">IF(R731&gt;0,S731*100/R731,0)</f>
        <v>11.725610811969688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IFERROR(__xludf.DUMMYFUNCTION("IMPORTRANGE(""https://docs.google.com/spreadsheets/d/1ItG2mGa2ceCfYo0BwxsXqNm01IGEUdYcSSLTEv9YCik/edit?usp=sharing"",""เบิกจ่ายกองทุน!O77"")"),242546)</f>
        <v>242546</v>
      </c>
      <c r="R733" s="47">
        <f ca="1">IFERROR(__xludf.DUMMYFUNCTION("IMPORTRANGE(""https://docs.google.com/spreadsheets/d/1ItG2mGa2ceCfYo0BwxsXqNm01IGEUdYcSSLTEv9YCik/edit?usp=sharing"",""เบิกจ่ายกองทุน!P77"")"),242546)</f>
        <v>242546</v>
      </c>
      <c r="S733" s="47">
        <f ca="1">IFERROR(__xludf.DUMMYFUNCTION("IMPORTRANGE(""https://docs.google.com/spreadsheets/d/1ItG2mGa2ceCfYo0BwxsXqNm01IGEUdYcSSLTEv9YCik/edit?usp=sharing"",""เบิกจ่ายกองทุน!Q77"")"),28440)</f>
        <v>28440</v>
      </c>
      <c r="T733" s="47">
        <f ca="1">IF(Q733&gt;0,S733*100/Q733,0)</f>
        <v>11.725610811969688</v>
      </c>
      <c r="U733" s="47">
        <f ca="1">IF(R733&gt;0,S733*100/R733,0)</f>
        <v>11.725610811969688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IFERROR(__xludf.DUMMYFUNCTION("IMPORTRANGE(""https://docs.google.com/spreadsheets/d/1eHaY18a8A9IcSdp1K8H6x8fbOy06t2VsZHhMHf-1x7Y/edit?usp=sharing"",""แผน!GB77"")"),240)</f>
        <v>240</v>
      </c>
      <c r="J740" s="554">
        <v>240</v>
      </c>
      <c r="K740" s="331">
        <f ca="1">IF(I740&gt;0,J740*100/I740,0)</f>
        <v>100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24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IFERROR(__xludf.DUMMYFUNCTION("IMPORTRANGE(""https://docs.google.com/spreadsheets/d/1eHaY18a8A9IcSdp1K8H6x8fbOy06t2VsZHhMHf-1x7Y/edit?usp=sharing"",""แผน!GC77"")"),24)</f>
        <v>24</v>
      </c>
      <c r="J742" s="554">
        <v>24</v>
      </c>
      <c r="K742" s="331">
        <f ca="1">IF(I742&gt;0,J742*100/I742,0)</f>
        <v>100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IFERROR(__xludf.DUMMYFUNCTION("IMPORTRANGE(""https://docs.google.com/spreadsheets/d/1eHaY18a8A9IcSdp1K8H6x8fbOy06t2VsZHhMHf-1x7Y/edit?usp=sharing"",""แผน!GD77"")"),60)</f>
        <v>60</v>
      </c>
      <c r="J744" s="554">
        <v>60</v>
      </c>
      <c r="K744" s="331">
        <f ca="1">IF(I744&gt;0,J744*100/I744,0)</f>
        <v>100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6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IFERROR(__xludf.DUMMYFUNCTION("IMPORTRANGE(""https://docs.google.com/spreadsheets/d/1eHaY18a8A9IcSdp1K8H6x8fbOy06t2VsZHhMHf-1x7Y/edit?usp=sharing"",""แผน!GE77"")"),6)</f>
        <v>6</v>
      </c>
      <c r="J746" s="554">
        <v>6</v>
      </c>
      <c r="K746" s="331">
        <f ca="1">IF(I746&gt;0,J746*100/I746,0)</f>
        <v>100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IFERROR(__xludf.DUMMYFUNCTION("IMPORTRANGE(""https://docs.google.com/spreadsheets/d/1eHaY18a8A9IcSdp1K8H6x8fbOy06t2VsZHhMHf-1x7Y/edit?usp=sharing"",""แผน!GF77"")"),1)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IFERROR(__xludf.DUMMYFUNCTION("IMPORTRANGE(""https://docs.google.com/spreadsheets/d/1eHaY18a8A9IcSdp1K8H6x8fbOy06t2VsZHhMHf-1x7Y/edit?usp=sharing"",""แผน!GB77"")"),240)</f>
        <v>240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IFERROR(__xludf.DUMMYFUNCTION("IMPORTRANGE(""https://docs.google.com/spreadsheets/d/1eHaY18a8A9IcSdp1K8H6x8fbOy06t2VsZHhMHf-1x7Y/edit?usp=sharing"",""แผน!GD77"")"),60)</f>
        <v>60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50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148660</v>
      </c>
      <c r="R760" s="132">
        <f ca="1">R761+R762</f>
        <v>148660</v>
      </c>
      <c r="S760" s="132">
        <f ca="1">S761+S762</f>
        <v>12354.8</v>
      </c>
      <c r="T760" s="132">
        <f ca="1">IF(Q760&gt;0,S760*100/Q760,0)</f>
        <v>8.3107762679940809</v>
      </c>
      <c r="U760" s="132">
        <f ca="1">IF(R760&gt;0,S760*100/R760,0)</f>
        <v>8.3107762679940809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148660</v>
      </c>
      <c r="R762" s="47">
        <f ca="1">R765+R768</f>
        <v>148660</v>
      </c>
      <c r="S762" s="47">
        <f ca="1">S765+S768</f>
        <v>12354.8</v>
      </c>
      <c r="T762" s="47">
        <f ca="1">IF(Q762&gt;0,S762*100/Q762,0)</f>
        <v>8.3107762679940809</v>
      </c>
      <c r="U762" s="47">
        <f ca="1">IF(R762&gt;0,S762*100/R762,0)</f>
        <v>8.3107762679940809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148660</v>
      </c>
      <c r="R763" s="47">
        <f ca="1">R764+R765</f>
        <v>148660</v>
      </c>
      <c r="S763" s="47">
        <f ca="1">S764+S765</f>
        <v>12354.8</v>
      </c>
      <c r="T763" s="47">
        <f ca="1">IF(Q763&gt;0,S763*100/Q763,0)</f>
        <v>8.3107762679940809</v>
      </c>
      <c r="U763" s="47">
        <f ca="1">IF(R763&gt;0,S763*100/R763,0)</f>
        <v>8.3107762679940809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IFERROR(__xludf.DUMMYFUNCTION("IMPORTRANGE(""https://docs.google.com/spreadsheets/d/1ItG2mGa2ceCfYo0BwxsXqNm01IGEUdYcSSLTEv9YCik/edit?usp=sharing"",""เบิกจ่ายกองทุน!AA77"")"),148660)</f>
        <v>148660</v>
      </c>
      <c r="R765" s="47">
        <f ca="1">IFERROR(__xludf.DUMMYFUNCTION("IMPORTRANGE(""https://docs.google.com/spreadsheets/d/1ItG2mGa2ceCfYo0BwxsXqNm01IGEUdYcSSLTEv9YCik/edit?usp=sharing"",""เบิกจ่ายกองทุน!AB77"")"),148660)</f>
        <v>148660</v>
      </c>
      <c r="S765" s="47">
        <f ca="1">IFERROR(__xludf.DUMMYFUNCTION("IMPORTRANGE(""https://docs.google.com/spreadsheets/d/1ItG2mGa2ceCfYo0BwxsXqNm01IGEUdYcSSLTEv9YCik/edit?usp=sharing"",""เบิกจ่ายกองทุน!AC77"")"),12354.8)</f>
        <v>12354.8</v>
      </c>
      <c r="T765" s="47">
        <f ca="1">IF(Q765&gt;0,S765*100/Q765,0)</f>
        <v>8.3107762679940809</v>
      </c>
      <c r="U765" s="47">
        <f ca="1">IF(R765&gt;0,S765*100/R765,0)</f>
        <v>8.3107762679940809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IFERROR(__xludf.DUMMYFUNCTION("IMPORTRANGE(""https://docs.google.com/spreadsheets/d/1eHaY18a8A9IcSdp1K8H6x8fbOy06t2VsZHhMHf-1x7Y/edit?usp=sharing"",""แผน!FI77"")"),0)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IFERROR(__xludf.DUMMYFUNCTION("IMPORTRANGE(""https://docs.google.com/spreadsheets/d/1eHaY18a8A9IcSdp1K8H6x8fbOy06t2VsZHhMHf-1x7Y/edit?usp=sharing"",""แผน!FQ77"")"),20)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IFERROR(__xludf.DUMMYFUNCTION("IMPORTRANGE(""https://docs.google.com/spreadsheets/d/1eHaY18a8A9IcSdp1K8H6x8fbOy06t2VsZHhMHf-1x7Y/edit?usp=sharing"",""แผน!FR77"")"),50)</f>
        <v>50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IFERROR(__xludf.DUMMYFUNCTION("IMPORTRANGE(""https://docs.google.com/spreadsheets/d/1eHaY18a8A9IcSdp1K8H6x8fbOy06t2VsZHhMHf-1x7Y/edit?usp=sharing"",""แผน!FS77"")"),50)</f>
        <v>50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IFERROR(__xludf.DUMMYFUNCTION("IMPORTRANGE(""https://docs.google.com/spreadsheets/d/1eHaY18a8A9IcSdp1K8H6x8fbOy06t2VsZHhMHf-1x7Y/edit?usp=sharing"",""แผน!FT77"")"),20)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IFERROR(__xludf.DUMMYFUNCTION("IMPORTRANGE(""https://docs.google.com/spreadsheets/d/10OvvATaaLtwErnr3qtWFcTmtbfpFEt5Bsqel9sXx0uE/edit?usp=sharing"",""งานกองทุน!D77"")"),908878.42)</f>
        <v>908878.42</v>
      </c>
      <c r="J778" s="152">
        <f ca="1">IFERROR(__xludf.DUMMYFUNCTION("IMPORTRANGE(""https://docs.google.com/spreadsheets/d/10OvvATaaLtwErnr3qtWFcTmtbfpFEt5Bsqel9sXx0uE/edit?usp=sharing"",""งานกองทุน!F77"")"),607168.26)</f>
        <v>607168.26</v>
      </c>
      <c r="K778" s="47">
        <f ca="1">IF(I778&gt;0,J778*100/I778,0)</f>
        <v>66.804123262163046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IFERROR(__xludf.DUMMYFUNCTION("IMPORTRANGE(""https://docs.google.com/spreadsheets/d/10OvvATaaLtwErnr3qtWFcTmtbfpFEt5Bsqel9sXx0uE/edit?usp=sharing"",""งานกองทุน!C77"")"),66)</f>
        <v>66</v>
      </c>
      <c r="J779" s="152">
        <f ca="1">IFERROR(__xludf.DUMMYFUNCTION("IMPORTRANGE(""https://docs.google.com/spreadsheets/d/10OvvATaaLtwErnr3qtWFcTmtbfpFEt5Bsqel9sXx0uE/edit?usp=sharing"",""งานกองทุน!E77"")"),48)</f>
        <v>48</v>
      </c>
      <c r="K779" s="47">
        <f ca="1">IF(I779&gt;0,J779*100/I779,0)</f>
        <v>72.727272727272734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IFERROR(__xludf.DUMMYFUNCTION("IMPORTRANGE(""https://docs.google.com/spreadsheets/d/10OvvATaaLtwErnr3qtWFcTmtbfpFEt5Bsqel9sXx0uE/edit?usp=sharing"",""งานกองทุน!I77"")"),2017257.79)</f>
        <v>2017257.79</v>
      </c>
      <c r="J780" s="152">
        <f ca="1">IFERROR(__xludf.DUMMYFUNCTION("IMPORTRANGE(""https://docs.google.com/spreadsheets/d/10OvvATaaLtwErnr3qtWFcTmtbfpFEt5Bsqel9sXx0uE/edit?usp=sharing"",""งานกองทุน!K77"")"),387561.52)</f>
        <v>387561.52</v>
      </c>
      <c r="K780" s="47">
        <f ca="1">IF(I780&gt;0,J780*100/I780,0)</f>
        <v>19.212295122677403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IFERROR(__xludf.DUMMYFUNCTION("IMPORTRANGE(""https://docs.google.com/spreadsheets/d/10OvvATaaLtwErnr3qtWFcTmtbfpFEt5Bsqel9sXx0uE/edit?usp=sharing"",""งานกองทุน!H77"")"),79)</f>
        <v>79</v>
      </c>
      <c r="J781" s="152">
        <f ca="1">IFERROR(__xludf.DUMMYFUNCTION("IMPORTRANGE(""https://docs.google.com/spreadsheets/d/10OvvATaaLtwErnr3qtWFcTmtbfpFEt5Bsqel9sXx0uE/edit?usp=sharing"",""งานกองทุน!J77"")"),36)</f>
        <v>36</v>
      </c>
      <c r="K781" s="47">
        <f ca="1">IF(I781&gt;0,J781*100/I781,0)</f>
        <v>45.569620253164558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IFERROR(__xludf.DUMMYFUNCTION("IMPORTRANGE(""https://docs.google.com/spreadsheets/d/10OvvATaaLtwErnr3qtWFcTmtbfpFEt5Bsqel9sXx0uE/edit?usp=sharing"",""งานกองทุน!N77"")"),0)</f>
        <v>0</v>
      </c>
      <c r="J782" s="152">
        <f ca="1">IFERROR(__xludf.DUMMYFUNCTION("IMPORTRANGE(""https://docs.google.com/spreadsheets/d/10OvvATaaLtwErnr3qtWFcTmtbfpFEt5Bsqel9sXx0uE/edit?usp=sharing"",""งานกองทุน!P77"")"),0)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IFERROR(__xludf.DUMMYFUNCTION("IMPORTRANGE(""https://docs.google.com/spreadsheets/d/10OvvATaaLtwErnr3qtWFcTmtbfpFEt5Bsqel9sXx0uE/edit?usp=sharing"",""งานกองทุน!M77"")"),0)</f>
        <v>0</v>
      </c>
      <c r="J783" s="152">
        <f ca="1">IFERROR(__xludf.DUMMYFUNCTION("IMPORTRANGE(""https://docs.google.com/spreadsheets/d/10OvvATaaLtwErnr3qtWFcTmtbfpFEt5Bsqel9sXx0uE/edit?usp=sharing"",""งานกองทุน!O77"")"),0)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IFERROR(__xludf.DUMMYFUNCTION("IMPORTRANGE(""https://docs.google.com/spreadsheets/d/10OvvATaaLtwErnr3qtWFcTmtbfpFEt5Bsqel9sXx0uE/edit?usp=sharing"",""งานกองทุน!S77"")"),2296000)</f>
        <v>2296000</v>
      </c>
      <c r="J784" s="152">
        <f ca="1">IFERROR(__xludf.DUMMYFUNCTION("IMPORTRANGE(""https://docs.google.com/spreadsheets/d/10OvvATaaLtwErnr3qtWFcTmtbfpFEt5Bsqel9sXx0uE/edit?usp=sharing"",""งานกองทุน!U77"")"),855000)</f>
        <v>855000</v>
      </c>
      <c r="K784" s="47">
        <f ca="1">IF(I784&gt;0,J784*100/I784,0)</f>
        <v>37.238675958188153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IFERROR(__xludf.DUMMYFUNCTION("IMPORTRANGE(""https://docs.google.com/spreadsheets/d/10OvvATaaLtwErnr3qtWFcTmtbfpFEt5Bsqel9sXx0uE/edit?usp=sharing"",""งานกองทุน!R77"")"),82)</f>
        <v>82</v>
      </c>
      <c r="J785" s="197">
        <f ca="1">IFERROR(__xludf.DUMMYFUNCTION("IMPORTRANGE(""https://docs.google.com/spreadsheets/d/10OvvATaaLtwErnr3qtWFcTmtbfpFEt5Bsqel9sXx0uE/edit?usp=sharing"",""งานกองทุน!T77"")"),19)</f>
        <v>19</v>
      </c>
      <c r="K785" s="111">
        <f ca="1">IF(I785&gt;0,J785*100/I785,0)</f>
        <v>23.170731707317074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F86847-E4EE-451D-9F5D-A9EDB073E5CB}">
  <sheetPr codeName="Sheet5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317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7616597</v>
      </c>
      <c r="M18" s="35">
        <f ca="1">M19+M20</f>
        <v>7894143.4800000004</v>
      </c>
      <c r="N18" s="35">
        <f ca="1">N19+N20</f>
        <v>2763709.75</v>
      </c>
      <c r="O18" s="35">
        <f ca="1">IF(L18&gt;0,N18*100/L18,0)</f>
        <v>36.285361428469962</v>
      </c>
      <c r="P18" s="35">
        <f ca="1">IF(M18&gt;0,N18*100/M18,0)</f>
        <v>35.009621461808038</v>
      </c>
      <c r="Q18" s="35">
        <f ca="1">Q19+Q20</f>
        <v>1206797.3900000001</v>
      </c>
      <c r="R18" s="35">
        <f ca="1">R19+R20</f>
        <v>1200547</v>
      </c>
      <c r="S18" s="35">
        <f ca="1">S19+S20</f>
        <v>131253</v>
      </c>
      <c r="T18" s="35">
        <f ca="1">IF(Q18&gt;0,S18*100/Q18,0)</f>
        <v>10.876142183237567</v>
      </c>
      <c r="U18" s="35">
        <f ca="1">IF(R18&gt;0,S18*100/R18,0)</f>
        <v>10.932766480612587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7616597</v>
      </c>
      <c r="M20" s="39">
        <f ca="1">M23+M26</f>
        <v>7894143.4800000004</v>
      </c>
      <c r="N20" s="39">
        <f ca="1">N23+N26</f>
        <v>2763709.75</v>
      </c>
      <c r="O20" s="39">
        <f ca="1">IF(L20&gt;0,N20*100/L20,0)</f>
        <v>36.285361428469962</v>
      </c>
      <c r="P20" s="39">
        <f ca="1">IF(M20&gt;0,N20*100/M20,0)</f>
        <v>35.009621461808038</v>
      </c>
      <c r="Q20" s="39">
        <f ca="1">Q23+Q26</f>
        <v>1206797.3900000001</v>
      </c>
      <c r="R20" s="39">
        <f ca="1">R23+R26</f>
        <v>1200547</v>
      </c>
      <c r="S20" s="39">
        <f ca="1">S23+S26</f>
        <v>131253</v>
      </c>
      <c r="T20" s="39">
        <f ca="1">IF(Q20&gt;0,S20*100/Q20,0)</f>
        <v>10.876142183237567</v>
      </c>
      <c r="U20" s="39">
        <f ca="1">IF(R20&gt;0,S20*100/R20,0)</f>
        <v>10.932766480612587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4056597</v>
      </c>
      <c r="M21" s="47">
        <f ca="1">M22+M23</f>
        <v>4334143.4800000004</v>
      </c>
      <c r="N21" s="47">
        <f ca="1">N22+N23</f>
        <v>2404709.75</v>
      </c>
      <c r="O21" s="47">
        <f ca="1">IF(L21&gt;0,N21*100/L21,0)</f>
        <v>59.278990493756218</v>
      </c>
      <c r="P21" s="47">
        <f ca="1">IF(M21&gt;0,N21*100/M21,0)</f>
        <v>55.482929005386772</v>
      </c>
      <c r="Q21" s="47">
        <f ca="1">Q22+Q23</f>
        <v>1206797.3900000001</v>
      </c>
      <c r="R21" s="47">
        <f ca="1">R22+R23</f>
        <v>1200547</v>
      </c>
      <c r="S21" s="47">
        <f ca="1">S22+S23</f>
        <v>131253</v>
      </c>
      <c r="T21" s="47">
        <f ca="1">IF(Q21&gt;0,S21*100/Q21,0)</f>
        <v>10.876142183237567</v>
      </c>
      <c r="U21" s="47">
        <f ca="1">IF(R21&gt;0,S21*100/R21,0)</f>
        <v>10.932766480612587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4056597</v>
      </c>
      <c r="M23" s="47">
        <f ca="1">M49+M64+M77+M99+M122+M144+M162+M191+M178+M271+M287+M308+M325+M338+M361+M380+M418+M498+M518+M539+M560+M581+M604+M621+M647+M695+M719+M733+M765</f>
        <v>4334143.4800000004</v>
      </c>
      <c r="N23" s="47">
        <f ca="1">N49+N64+N77+N99+N122+N144+N162+N191+N178+N271+N287+N308+N325+N338+N361+N380+N418+N498+N518+N539+N560+N581+N604+N621+N647+N695+N719+N733+N765</f>
        <v>2404709.75</v>
      </c>
      <c r="O23" s="47">
        <f ca="1">IF(L23&gt;0,N23*100/L23,0)</f>
        <v>59.278990493756218</v>
      </c>
      <c r="P23" s="47">
        <f ca="1">IF(M23&gt;0,N23*100/M23,0)</f>
        <v>55.482929005386772</v>
      </c>
      <c r="Q23" s="47">
        <f ca="1">Q77+Q99+Q122+Q144+Q162+Q178+Q191+Q271+Q287+Q308+Q338+Q380+Q397+Q418+Q498+Q604+Q621+Q647+Q695+Q719+Q733+Q765</f>
        <v>1206797.3900000001</v>
      </c>
      <c r="R23" s="47">
        <f ca="1">R77+R99+R122+R144+R162+R178+R191+R271+R287+R308+R338+R380+R397+R418+R498+R604+R621+R647+R695+R719+R733+R765</f>
        <v>1200547</v>
      </c>
      <c r="S23" s="47">
        <f ca="1">S77+S99+S122+S144+S162+S178+S191+S271+S287+S308+S338+S380+S397+S418+S498+S604+S621+S647+S695+S719+S733+S765</f>
        <v>131253</v>
      </c>
      <c r="T23" s="47">
        <f ca="1">IF(Q23&gt;0,S23*100/Q23,0)</f>
        <v>10.876142183237567</v>
      </c>
      <c r="U23" s="47">
        <f ca="1">IF(R23&gt;0,S23*100/R23,0)</f>
        <v>10.932766480612587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3560000</v>
      </c>
      <c r="M24" s="47">
        <f ca="1">M25+M26</f>
        <v>3560000</v>
      </c>
      <c r="N24" s="47">
        <f ca="1">N25+N26</f>
        <v>359000</v>
      </c>
      <c r="O24" s="47">
        <f ca="1">IF(L24&gt;0,N24*100/L24,0)</f>
        <v>10.084269662921349</v>
      </c>
      <c r="P24" s="47">
        <f ca="1">IF(M24&gt;0,N24*100/M24,0)</f>
        <v>10.084269662921349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3560000</v>
      </c>
      <c r="M26" s="47">
        <f ca="1">M52+M67+M80+M102+M125+M147+M165+M194+M181+M274+M290+M311+M328+M341+M364+M383+M421+M501+M521+M542+M563+M584+M607+M624+M650+M698+M722+M736+M768</f>
        <v>3560000</v>
      </c>
      <c r="N26" s="47">
        <f ca="1">N52+N67+N80+N102+N125+N147+N165+N194+N181+N274+N290+N311+N328+N341+N364+N383+N421+N501+N521+N542+N563+N584+N607+N624+N650+N698+N722+N736+N768</f>
        <v>359000</v>
      </c>
      <c r="O26" s="47">
        <f ca="1">IF(L26&gt;0,N26*100/L26,0)</f>
        <v>10.084269662921349</v>
      </c>
      <c r="P26" s="47">
        <f ca="1">IF(M26&gt;0,N26*100/M26,0)</f>
        <v>10.084269662921349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6497420</v>
      </c>
      <c r="M40" s="802">
        <f ca="1">M44+M59+M72+M94+M125+M139+M157+M173+M186+M266+M282+M303+M320+M333+M356</f>
        <v>6774966.4800000004</v>
      </c>
      <c r="N40" s="802">
        <f ca="1">N44+N59+N72+N94+N125+N139+N157+N173+N186+N266+N282+N303+N320+N333+N356</f>
        <v>2763709.75</v>
      </c>
      <c r="O40" s="802">
        <f ca="1">IF(L40&gt;0,N40*100/L40,0)</f>
        <v>42.535494857959009</v>
      </c>
      <c r="P40" s="802">
        <f ca="1">IF(M40&gt;0,N40*100/M40,0)</f>
        <v>40.792965664975512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628000</v>
      </c>
      <c r="M44" s="79">
        <f ca="1">M45+M46</f>
        <v>722059.48</v>
      </c>
      <c r="N44" s="79">
        <f ca="1">N45+N46</f>
        <v>562982.72</v>
      </c>
      <c r="O44" s="79">
        <f ca="1">IF(L44&gt;0,N44*100/L44,0)</f>
        <v>89.646929936305739</v>
      </c>
      <c r="P44" s="79">
        <f ca="1">IF(M44&gt;0,N44*100/M44,0)</f>
        <v>77.969022718183822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628000</v>
      </c>
      <c r="M46" s="83">
        <f ca="1">M49+M52</f>
        <v>722059.48</v>
      </c>
      <c r="N46" s="83">
        <f ca="1">N49+N52</f>
        <v>562982.72</v>
      </c>
      <c r="O46" s="83">
        <f ca="1">IF(L46&gt;0,N46*100/L46,0)</f>
        <v>89.646929936305739</v>
      </c>
      <c r="P46" s="83">
        <f ca="1">IF(M46&gt;0,N46*100/M46,0)</f>
        <v>77.969022718183822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628000</v>
      </c>
      <c r="M47" s="47">
        <f ca="1">M48+M49</f>
        <v>722059.48</v>
      </c>
      <c r="N47" s="47">
        <f ca="1">N48+N49</f>
        <v>562982.72</v>
      </c>
      <c r="O47" s="47">
        <f ca="1">IF(L47&gt;0,N47*100/L47,0)</f>
        <v>89.646929936305739</v>
      </c>
      <c r="P47" s="47">
        <f ca="1">IF(M47&gt;0,N47*100/M47,0)</f>
        <v>77.969022718183822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IFERROR(__xludf.DUMMYFUNCTION("IMPORTRANGE(""https://docs.google.com/spreadsheets/d/1-uDff_7J0KD5mKrp0Vvzr7lt3OU09vwQwhkpOPPYv2Y/edit?usp=sharing"",""งบพรบ!P78"")"),628000)</f>
        <v>628000</v>
      </c>
      <c r="M49" s="47">
        <f ca="1">IFERROR(__xludf.DUMMYFUNCTION("IMPORTRANGE(""https://docs.google.com/spreadsheets/d/1-uDff_7J0KD5mKrp0Vvzr7lt3OU09vwQwhkpOPPYv2Y/edit?usp=sharing"",""งบพรบ!V78"")"),722059.48)</f>
        <v>722059.48</v>
      </c>
      <c r="N49" s="47">
        <f ca="1">IFERROR(__xludf.DUMMYFUNCTION("IMPORTRANGE(""https://docs.google.com/spreadsheets/d/1-uDff_7J0KD5mKrp0Vvzr7lt3OU09vwQwhkpOPPYv2Y/edit?usp=sharing"",""งบพรบ!Y78"")"),562982.72)</f>
        <v>562982.72</v>
      </c>
      <c r="O49" s="47">
        <f ca="1">IF(L49&gt;0,N49*100/L49,0)</f>
        <v>89.646929936305739</v>
      </c>
      <c r="P49" s="47">
        <f ca="1">IF(M49&gt;0,N49*100/M49,0)</f>
        <v>77.969022718183822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IFERROR(__xludf.DUMMYFUNCTION("IMPORTRANGE(""https://docs.google.com/spreadsheets/d/1-uDff_7J0KD5mKrp0Vvzr7lt3OU09vwQwhkpOPPYv2Y/edit?usp=sharing"",""งบพรบ!S78"")"),0)</f>
        <v>0</v>
      </c>
      <c r="M52" s="47">
        <f ca="1">IFERROR(__xludf.DUMMYFUNCTION("IMPORTRANGE(""https://docs.google.com/spreadsheets/d/1-uDff_7J0KD5mKrp0Vvzr7lt3OU09vwQwhkpOPPYv2Y/edit?usp=sharing"",""งบพรบ!W78"")"),0)</f>
        <v>0</v>
      </c>
      <c r="N52" s="47">
        <f ca="1">IFERROR(__xludf.DUMMYFUNCTION("IMPORTRANGE(""https://docs.google.com/spreadsheets/d/1-uDff_7J0KD5mKrp0Vvzr7lt3OU09vwQwhkpOPPYv2Y/edit?usp=sharing"",""งบพรบ!Z78"")"),0)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4319200</v>
      </c>
      <c r="M59" s="106">
        <f ca="1">M60+M61</f>
        <v>4444082</v>
      </c>
      <c r="N59" s="106">
        <f ca="1">N60+N61</f>
        <v>1056330.45</v>
      </c>
      <c r="O59" s="106">
        <f ca="1">IF(L59&gt;0,N59*100/L59,0)</f>
        <v>24.456622754213743</v>
      </c>
      <c r="P59" s="106">
        <f ca="1">IF(M59&gt;0,N59*100/M59,0)</f>
        <v>23.769373517410344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4319200</v>
      </c>
      <c r="M61" s="109">
        <f ca="1">M64+M67</f>
        <v>4444082</v>
      </c>
      <c r="N61" s="109">
        <f ca="1">N64+N67</f>
        <v>1056330.45</v>
      </c>
      <c r="O61" s="109">
        <f ca="1">IF(L61&gt;0,N61*100/L61,0)</f>
        <v>24.456622754213743</v>
      </c>
      <c r="P61" s="109">
        <f ca="1">IF(M61&gt;0,N61*100/M61,0)</f>
        <v>23.769373517410344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759200</v>
      </c>
      <c r="M62" s="47">
        <f ca="1">M63+M64</f>
        <v>884082</v>
      </c>
      <c r="N62" s="47">
        <f ca="1">N63+N64</f>
        <v>697330.45</v>
      </c>
      <c r="O62" s="47">
        <f ca="1">IF(L62&gt;0,N62*100/L62,0)</f>
        <v>91.850691517386721</v>
      </c>
      <c r="P62" s="47">
        <f ca="1">IF(M62&gt;0,N62*100/M62,0)</f>
        <v>78.876218495569418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IFERROR(__xludf.DUMMYFUNCTION("IMPORTRANGE(""https://docs.google.com/spreadsheets/d/1-uDff_7J0KD5mKrp0Vvzr7lt3OU09vwQwhkpOPPYv2Y/edit?usp=sharing"",""งบพรบ!AC78"")"),759200)</f>
        <v>759200</v>
      </c>
      <c r="M64" s="47">
        <f ca="1">IFERROR(__xludf.DUMMYFUNCTION("IMPORTRANGE(""https://docs.google.com/spreadsheets/d/1-uDff_7J0KD5mKrp0Vvzr7lt3OU09vwQwhkpOPPYv2Y/edit?usp=sharing"",""งบพรบ!AH78"")"),884082)</f>
        <v>884082</v>
      </c>
      <c r="N64" s="47">
        <f ca="1">IFERROR(__xludf.DUMMYFUNCTION("IMPORTRANGE(""https://docs.google.com/spreadsheets/d/1-uDff_7J0KD5mKrp0Vvzr7lt3OU09vwQwhkpOPPYv2Y/edit?usp=sharing"",""งบพรบ!AJ78"")"),697330.45)</f>
        <v>697330.45</v>
      </c>
      <c r="O64" s="47">
        <f ca="1">IF(L64&gt;0,N64*100/L64,0)</f>
        <v>91.850691517386721</v>
      </c>
      <c r="P64" s="47">
        <f ca="1">IF(M64&gt;0,N64*100/M64,0)</f>
        <v>78.876218495569418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3560000</v>
      </c>
      <c r="M65" s="47">
        <f ca="1">M66+M67</f>
        <v>3560000</v>
      </c>
      <c r="N65" s="47">
        <f ca="1">N66+N67</f>
        <v>359000</v>
      </c>
      <c r="O65" s="47">
        <f ca="1">IF(L65&gt;0,N65*100/L65,0)</f>
        <v>10.084269662921349</v>
      </c>
      <c r="P65" s="47">
        <f ca="1">IF(M65&gt;0,N65*100/M65,0)</f>
        <v>10.084269662921349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IFERROR(__xludf.DUMMYFUNCTION("IMPORTRANGE(""https://docs.google.com/spreadsheets/d/1-uDff_7J0KD5mKrp0Vvzr7lt3OU09vwQwhkpOPPYv2Y/edit?usp=sharing"",""งบพรบ!AF78"")"),3560000)</f>
        <v>3560000</v>
      </c>
      <c r="M67" s="111">
        <f ca="1">IFERROR(__xludf.DUMMYFUNCTION("IMPORTRANGE(""https://docs.google.com/spreadsheets/d/1-uDff_7J0KD5mKrp0Vvzr7lt3OU09vwQwhkpOPPYv2Y/edit?usp=sharing"",""งบพรบ!AI78"")"),3560000)</f>
        <v>3560000</v>
      </c>
      <c r="N67" s="111">
        <f ca="1">IFERROR(__xludf.DUMMYFUNCTION("IMPORTRANGE(""https://docs.google.com/spreadsheets/d/1-uDff_7J0KD5mKrp0Vvzr7lt3OU09vwQwhkpOPPYv2Y/edit?usp=sharing"",""งบพรบ!AK78"")"),359000)</f>
        <v>359000</v>
      </c>
      <c r="O67" s="111">
        <f ca="1">IF(L67&gt;0,N67*100/L67,0)</f>
        <v>10.084269662921349</v>
      </c>
      <c r="P67" s="111">
        <f ca="1">IF(M67&gt;0,N67*100/M67,0)</f>
        <v>10.084269662921349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IFERROR(__xludf.DUMMYFUNCTION("IMPORTRANGE(""https://docs.google.com/spreadsheets/d/1-uDff_7J0KD5mKrp0Vvzr7lt3OU09vwQwhkpOPPYv2Y/edit?usp=sharing"",""งบพรบ!AM78"")"),0)</f>
        <v>0</v>
      </c>
      <c r="M77" s="47">
        <f ca="1">IFERROR(__xludf.DUMMYFUNCTION("IMPORTRANGE(""https://docs.google.com/spreadsheets/d/1-uDff_7J0KD5mKrp0Vvzr7lt3OU09vwQwhkpOPPYv2Y/edit?usp=sharing"",""งบพรบ!AR78"")"),0)</f>
        <v>0</v>
      </c>
      <c r="N77" s="47">
        <f ca="1">IFERROR(__xludf.DUMMYFUNCTION("IMPORTRANGE(""https://docs.google.com/spreadsheets/d/1-uDff_7J0KD5mKrp0Vvzr7lt3OU09vwQwhkpOPPYv2Y/edit?usp=sharing"",""งบพรบ!AT78"")"),0)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IFERROR(__xludf.DUMMYFUNCTION("IMPORTRANGE(""https://docs.google.com/spreadsheets/d/1ItG2mGa2ceCfYo0BwxsXqNm01IGEUdYcSSLTEv9YCik/edit?usp=sharing"",""เบิกจ่ายกองทุน!BH78"")"),0)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IFERROR(__xludf.DUMMYFUNCTION("IMPORTRANGE(""https://docs.google.com/spreadsheets/d/1ItG2mGa2ceCfYo0BwxsXqNm01IGEUdYcSSLTEv9YCik/edit?usp=sharing"",""เบิกจ่ายกองทุน!BI78"")"),0)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IFERROR(__xludf.DUMMYFUNCTION("IMPORTRANGE(""https://docs.google.com/spreadsheets/d/1ItG2mGa2ceCfYo0BwxsXqNm01IGEUdYcSSLTEv9YCik/edit?usp=sharing"",""เบิกจ่ายกองทุน!BJ78"")"),0)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IFERROR(__xludf.DUMMYFUNCTION("IMPORTRANGE(""https://docs.google.com/spreadsheets/d/1-uDff_7J0KD5mKrp0Vvzr7lt3OU09vwQwhkpOPPYv2Y/edit?usp=sharing"",""งบพรบ!AP78"")"),0)</f>
        <v>0</v>
      </c>
      <c r="M80" s="47">
        <f ca="1">IFERROR(__xludf.DUMMYFUNCTION("IMPORTRANGE(""https://docs.google.com/spreadsheets/d/1-uDff_7J0KD5mKrp0Vvzr7lt3OU09vwQwhkpOPPYv2Y/edit?usp=sharing"",""งบพรบ!AS78"")"),0)</f>
        <v>0</v>
      </c>
      <c r="N80" s="47">
        <f ca="1">IFERROR(__xludf.DUMMYFUNCTION("IMPORTRANGE(""https://docs.google.com/spreadsheets/d/1-uDff_7J0KD5mKrp0Vvzr7lt3OU09vwQwhkpOPPYv2Y/edit?usp=sharing"",""งบพรบ!AU78"")"),0)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IFERROR(__xludf.DUMMYFUNCTION("IMPORTRANGE(""https://docs.google.com/spreadsheets/d/1ItG2mGa2ceCfYo0BwxsXqNm01IGEUdYcSSLTEv9YCik/edit?usp=sharing"",""เบิกจ่ายกองทุน!BK78"")"),0)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IFERROR(__xludf.DUMMYFUNCTION("IMPORTRANGE(""https://docs.google.com/spreadsheets/d/1ItG2mGa2ceCfYo0BwxsXqNm01IGEUdYcSSLTEv9YCik/edit?usp=sharing"",""เบิกจ่ายกองทุน!BL78"")"),0)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IFERROR(__xludf.DUMMYFUNCTION("IMPORTRANGE(""https://docs.google.com/spreadsheets/d/1ItG2mGa2ceCfYo0BwxsXqNm01IGEUdYcSSLTEv9YCik/edit?usp=sharing"",""เบิกจ่ายกองทุน!BM78"")"),0)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IFERROR(__xludf.DUMMYFUNCTION("IMPORTRANGE(""https://docs.google.com/spreadsheets/d/1eHaY18a8A9IcSdp1K8H6x8fbOy06t2VsZHhMHf-1x7Y/edit?usp=sharing"",""แผน!H78"")"),0)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IFERROR(__xludf.DUMMYFUNCTION("IMPORTRANGE(""https://docs.google.com/spreadsheets/d/1eHaY18a8A9IcSdp1K8H6x8fbOy06t2VsZHhMHf-1x7Y/edit?usp=sharing"",""แผน!I78"")"),0)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IFERROR(__xludf.DUMMYFUNCTION("IMPORTRANGE(""https://docs.google.com/spreadsheets/d/1eHaY18a8A9IcSdp1K8H6x8fbOy06t2VsZHhMHf-1x7Y/edit?usp=sharing"",""แผน!F78"")"),0)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IFERROR(__xludf.DUMMYFUNCTION("IMPORTRANGE(""https://docs.google.com/spreadsheets/d/1eHaY18a8A9IcSdp1K8H6x8fbOy06t2VsZHhMHf-1x7Y/edit?usp=sharing"",""แผน!G78"")"),0)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IFERROR(__xludf.DUMMYFUNCTION("IMPORTRANGE(""https://docs.google.com/spreadsheets/d/1eHaY18a8A9IcSdp1K8H6x8fbOy06t2VsZHhMHf-1x7Y/edit?usp=sharing"",""แผน!D78"")"),0)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IFERROR(__xludf.DUMMYFUNCTION("IMPORTRANGE(""https://docs.google.com/spreadsheets/d/1eHaY18a8A9IcSdp1K8H6x8fbOy06t2VsZHhMHf-1x7Y/edit?usp=sharing"",""แผน!E78"")"),0)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IFERROR(__xludf.DUMMYFUNCTION("IMPORTRANGE(""https://docs.google.com/spreadsheets/d/1eHaY18a8A9IcSdp1K8H6x8fbOy06t2VsZHhMHf-1x7Y/edit?usp=sharing"",""แผน!J78"")"),0)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IFERROR(__xludf.DUMMYFUNCTION("IMPORTRANGE(""https://docs.google.com/spreadsheets/d/1-uDff_7J0KD5mKrp0Vvzr7lt3OU09vwQwhkpOPPYv2Y/edit?usp=sharing"",""งบพรบ!AW78"")"),0)</f>
        <v>0</v>
      </c>
      <c r="M99" s="47">
        <f ca="1">IFERROR(__xludf.DUMMYFUNCTION("IMPORTRANGE(""https://docs.google.com/spreadsheets/d/1-uDff_7J0KD5mKrp0Vvzr7lt3OU09vwQwhkpOPPYv2Y/edit?usp=sharing"",""งบพรบ!BB78"")"),0)</f>
        <v>0</v>
      </c>
      <c r="N99" s="47">
        <f ca="1">IFERROR(__xludf.DUMMYFUNCTION("IMPORTRANGE(""https://docs.google.com/spreadsheets/d/1-uDff_7J0KD5mKrp0Vvzr7lt3OU09vwQwhkpOPPYv2Y/edit?usp=sharing"",""งบพรบ!BD78"")"),0)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IFERROR(__xludf.DUMMYFUNCTION("IMPORTRANGE(""https://docs.google.com/spreadsheets/d/1ItG2mGa2ceCfYo0BwxsXqNm01IGEUdYcSSLTEv9YCik/edit?usp=sharing"",""เบิกจ่ายกองทุน!AJ78"")"),0)</f>
        <v>0</v>
      </c>
      <c r="R99" s="47">
        <f ca="1">IFERROR(__xludf.DUMMYFUNCTION("IMPORTRANGE(""https://docs.google.com/spreadsheets/d/1ItG2mGa2ceCfYo0BwxsXqNm01IGEUdYcSSLTEv9YCik/edit?usp=sharing"",""เบิกจ่ายกองทุน!AK78"")"),0)</f>
        <v>0</v>
      </c>
      <c r="S99" s="47">
        <f ca="1">IFERROR(__xludf.DUMMYFUNCTION("IMPORTRANGE(""https://docs.google.com/spreadsheets/d/1ItG2mGa2ceCfYo0BwxsXqNm01IGEUdYcSSLTEv9YCik/edit?usp=sharing"",""เบิกจ่ายกองทุน!AL78"")"),0)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IFERROR(__xludf.DUMMYFUNCTION("IMPORTRANGE(""https://docs.google.com/spreadsheets/d/1-uDff_7J0KD5mKrp0Vvzr7lt3OU09vwQwhkpOPPYv2Y/edit?usp=sharing"",""งบพรบ!AZ78"")"),0)</f>
        <v>0</v>
      </c>
      <c r="M102" s="47">
        <f ca="1">IFERROR(__xludf.DUMMYFUNCTION("IMPORTRANGE(""https://docs.google.com/spreadsheets/d/1-uDff_7J0KD5mKrp0Vvzr7lt3OU09vwQwhkpOPPYv2Y/edit?usp=sharing"",""งบพรบ!BC78"")"),0)</f>
        <v>0</v>
      </c>
      <c r="N102" s="47">
        <f ca="1">IFERROR(__xludf.DUMMYFUNCTION("IMPORTRANGE(""https://docs.google.com/spreadsheets/d/1-uDff_7J0KD5mKrp0Vvzr7lt3OU09vwQwhkpOPPYv2Y/edit?usp=sharing"",""งบพรบ!BE78"")"),0)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IFERROR(__xludf.DUMMYFUNCTION("IMPORTRANGE(""https://docs.google.com/spreadsheets/d/1eHaY18a8A9IcSdp1K8H6x8fbOy06t2VsZHhMHf-1x7Y/edit?usp=sharing"",""แผน!N78"")"),0)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IFERROR(__xludf.DUMMYFUNCTION("IMPORTRANGE(""https://docs.google.com/spreadsheets/d/1eHaY18a8A9IcSdp1K8H6x8fbOy06t2VsZHhMHf-1x7Y/edit?usp=sharing"",""แผน!O78"")"),0)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IFERROR(__xludf.DUMMYFUNCTION("IMPORTRANGE(""https://docs.google.com/spreadsheets/d/1eHaY18a8A9IcSdp1K8H6x8fbOy06t2VsZHhMHf-1x7Y/edit?usp=sharing"",""แผน!R78"")"),0)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20</v>
      </c>
      <c r="J116" s="127">
        <f>J127</f>
        <v>0</v>
      </c>
      <c r="K116" s="35">
        <f ca="1">IF(I116&gt;0,J116*100/I116,0)</f>
        <v>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209360</v>
      </c>
      <c r="R117" s="132">
        <f ca="1">R118+R119</f>
        <v>209360</v>
      </c>
      <c r="S117" s="132">
        <f ca="1">S118+S119</f>
        <v>65436</v>
      </c>
      <c r="T117" s="132">
        <f ca="1">IF(Q117&gt;0,S117*100/Q117,0)</f>
        <v>31.255254107756972</v>
      </c>
      <c r="U117" s="132">
        <f ca="1">IF(R117&gt;0,S117*100/R117,0)</f>
        <v>31.255254107756972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209360</v>
      </c>
      <c r="R119" s="47">
        <f ca="1">R122+R125</f>
        <v>209360</v>
      </c>
      <c r="S119" s="47">
        <f ca="1">S122+S125</f>
        <v>65436</v>
      </c>
      <c r="T119" s="47">
        <f ca="1">IF(Q119&gt;0,S119*100/Q119,0)</f>
        <v>31.255254107756972</v>
      </c>
      <c r="U119" s="47">
        <f ca="1">IF(R119&gt;0,S119*100/R119,0)</f>
        <v>31.255254107756972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209360</v>
      </c>
      <c r="R120" s="47">
        <f ca="1">R121+R122</f>
        <v>209360</v>
      </c>
      <c r="S120" s="47">
        <f ca="1">S121+S122</f>
        <v>65436</v>
      </c>
      <c r="T120" s="47">
        <f ca="1">IF(Q120&gt;0,S120*100/Q120,0)</f>
        <v>31.255254107756972</v>
      </c>
      <c r="U120" s="47">
        <f ca="1">IF(R120&gt;0,S120*100/R120,0)</f>
        <v>31.255254107756972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IFERROR(__xludf.DUMMYFUNCTION("IMPORTRANGE(""https://docs.google.com/spreadsheets/d/1-uDff_7J0KD5mKrp0Vvzr7lt3OU09vwQwhkpOPPYv2Y/edit?usp=sharing"",""งบพรบ!BG78"")"),0)</f>
        <v>0</v>
      </c>
      <c r="M122" s="47">
        <f ca="1">IFERROR(__xludf.DUMMYFUNCTION("IMPORTRANGE(""https://docs.google.com/spreadsheets/d/1-uDff_7J0KD5mKrp0Vvzr7lt3OU09vwQwhkpOPPYv2Y/edit?usp=sharing"",""งบพรบ!BL78"")"),0)</f>
        <v>0</v>
      </c>
      <c r="N122" s="47">
        <f ca="1">IFERROR(__xludf.DUMMYFUNCTION("IMPORTRANGE(""https://docs.google.com/spreadsheets/d/1-uDff_7J0KD5mKrp0Vvzr7lt3OU09vwQwhkpOPPYv2Y/edit?usp=sharing"",""งบพรบ!BN78"")"),0)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IFERROR(__xludf.DUMMYFUNCTION("IMPORTRANGE(""https://docs.google.com/spreadsheets/d/1ItG2mGa2ceCfYo0BwxsXqNm01IGEUdYcSSLTEv9YCik/edit?usp=sharing"",""เบิกจ่ายกองทุน!U78"")"),209360)</f>
        <v>209360</v>
      </c>
      <c r="R122" s="47">
        <f ca="1">IFERROR(__xludf.DUMMYFUNCTION("IMPORTRANGE(""https://docs.google.com/spreadsheets/d/1ItG2mGa2ceCfYo0BwxsXqNm01IGEUdYcSSLTEv9YCik/edit?usp=sharing"",""เบิกจ่ายกองทุน!V78"")"),209360)</f>
        <v>209360</v>
      </c>
      <c r="S122" s="47">
        <f ca="1">IFERROR(__xludf.DUMMYFUNCTION("IMPORTRANGE(""https://docs.google.com/spreadsheets/d/1ItG2mGa2ceCfYo0BwxsXqNm01IGEUdYcSSLTEv9YCik/edit?usp=sharing"",""เบิกจ่ายกองทุน!W78"")"),65436)</f>
        <v>65436</v>
      </c>
      <c r="T122" s="47">
        <f ca="1">IF(Q122&gt;0,S122*100/Q122,0)</f>
        <v>31.255254107756972</v>
      </c>
      <c r="U122" s="47">
        <f ca="1">IF(R122&gt;0,S122*100/R122,0)</f>
        <v>31.255254107756972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IFERROR(__xludf.DUMMYFUNCTION("IMPORTRANGE(""https://docs.google.com/spreadsheets/d/1-uDff_7J0KD5mKrp0Vvzr7lt3OU09vwQwhkpOPPYv2Y/edit?usp=sharing"",""งบพรบ!BJ78"")"),0)</f>
        <v>0</v>
      </c>
      <c r="M125" s="47">
        <f ca="1">IFERROR(__xludf.DUMMYFUNCTION("IMPORTRANGE(""https://docs.google.com/spreadsheets/d/1-uDff_7J0KD5mKrp0Vvzr7lt3OU09vwQwhkpOPPYv2Y/edit?usp=sharing"",""งบพรบ!BM78"")"),0)</f>
        <v>0</v>
      </c>
      <c r="N125" s="47">
        <f ca="1">IFERROR(__xludf.DUMMYFUNCTION("IMPORTRANGE(""https://docs.google.com/spreadsheets/d/1-uDff_7J0KD5mKrp0Vvzr7lt3OU09vwQwhkpOPPYv2Y/edit?usp=sharing"",""งบพรบ!BO78"")"),0)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IFERROR(__xludf.DUMMYFUNCTION("IMPORTRANGE(""https://docs.google.com/spreadsheets/d/1ItG2mGa2ceCfYo0BwxsXqNm01IGEUdYcSSLTEv9YCik/edit?usp=sharing"",""เบิกจ่ายกองทุน!X78"")"),0)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IFERROR(__xludf.DUMMYFUNCTION("IMPORTRANGE(""https://docs.google.com/spreadsheets/d/1ItG2mGa2ceCfYo0BwxsXqNm01IGEUdYcSSLTEv9YCik/edit?usp=sharing"",""เบิกจ่ายกองทุน!Y78"")"),0)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IFERROR(__xludf.DUMMYFUNCTION("IMPORTRANGE(""https://docs.google.com/spreadsheets/d/1ItG2mGa2ceCfYo0BwxsXqNm01IGEUdYcSSLTEv9YCik/edit?usp=sharing"",""เบิกจ่ายกองทุน!Z78"")"),0)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IFERROR(__xludf.DUMMYFUNCTION("IMPORTRANGE(""https://docs.google.com/spreadsheets/d/1eHaY18a8A9IcSdp1K8H6x8fbOy06t2VsZHhMHf-1x7Y/edit?usp=sharing"",""แผน!FF78"")"),20)</f>
        <v>20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IFERROR(__xludf.DUMMYFUNCTION("IMPORTRANGE(""https://docs.google.com/spreadsheets/d/1eHaY18a8A9IcSdp1K8H6x8fbOy06t2VsZHhMHf-1x7Y/edit?usp=sharing"",""แผน!FG78"")"),0)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IFERROR(__xludf.DUMMYFUNCTION("IMPORTRANGE(""https://docs.google.com/spreadsheets/d/1eHaY18a8A9IcSdp1K8H6x8fbOy06t2VsZHhMHf-1x7Y/edit?usp=sharing"",""แผน!FH78"")"),20)</f>
        <v>20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IFERROR(__xludf.DUMMYFUNCTION("IMPORTRANGE(""https://docs.google.com/spreadsheets/d/1eHaY18a8A9IcSdp1K8H6x8fbOy06t2VsZHhMHf-1x7Y/edit?usp=sharing"",""แผน!FI78"")"),0)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40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4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135400</v>
      </c>
      <c r="M139" s="132">
        <f ca="1">M140+M141</f>
        <v>130400</v>
      </c>
      <c r="N139" s="132">
        <f ca="1">N140+N141</f>
        <v>72401</v>
      </c>
      <c r="O139" s="132">
        <f ca="1">IF(L139&gt;0,N139*100/L139,0)</f>
        <v>53.471935007385525</v>
      </c>
      <c r="P139" s="132">
        <f ca="1">IF(M139&gt;0,N139*100/M139,0)</f>
        <v>55.522239263803684</v>
      </c>
      <c r="Q139" s="132">
        <f ca="1">Q140+Q141</f>
        <v>44860</v>
      </c>
      <c r="R139" s="132">
        <f ca="1">R140+R141</f>
        <v>44860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135400</v>
      </c>
      <c r="M141" s="47">
        <f ca="1">M144+M147</f>
        <v>130400</v>
      </c>
      <c r="N141" s="47">
        <f ca="1">N144+N147</f>
        <v>72401</v>
      </c>
      <c r="O141" s="47">
        <f ca="1">IF(L141&gt;0,N141*100/L141,0)</f>
        <v>53.471935007385525</v>
      </c>
      <c r="P141" s="47">
        <f ca="1">IF(M141&gt;0,N141*100/M141,0)</f>
        <v>55.522239263803684</v>
      </c>
      <c r="Q141" s="47">
        <f ca="1">Q144+Q147</f>
        <v>44860</v>
      </c>
      <c r="R141" s="47">
        <f ca="1">R144+R147</f>
        <v>44860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135400</v>
      </c>
      <c r="M142" s="47">
        <f ca="1">M143+M144</f>
        <v>130400</v>
      </c>
      <c r="N142" s="47">
        <f ca="1">N143+N144</f>
        <v>72401</v>
      </c>
      <c r="O142" s="47">
        <f ca="1">IF(L142&gt;0,N142*100/L142,0)</f>
        <v>53.471935007385525</v>
      </c>
      <c r="P142" s="47">
        <f ca="1">IF(M142&gt;0,N142*100/M142,0)</f>
        <v>55.522239263803684</v>
      </c>
      <c r="Q142" s="47">
        <f ca="1">Q143+Q144</f>
        <v>44860</v>
      </c>
      <c r="R142" s="47">
        <f ca="1">R143+R144</f>
        <v>44860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IFERROR(__xludf.DUMMYFUNCTION("IMPORTRANGE(""https://docs.google.com/spreadsheets/d/1-uDff_7J0KD5mKrp0Vvzr7lt3OU09vwQwhkpOPPYv2Y/edit?usp=sharing"",""งบพรบ!BQ78"")"),135400)</f>
        <v>135400</v>
      </c>
      <c r="M144" s="47">
        <f ca="1">IFERROR(__xludf.DUMMYFUNCTION("IMPORTRANGE(""https://docs.google.com/spreadsheets/d/1-uDff_7J0KD5mKrp0Vvzr7lt3OU09vwQwhkpOPPYv2Y/edit?usp=sharing"",""งบพรบ!BV78"")"),130400)</f>
        <v>130400</v>
      </c>
      <c r="N144" s="47">
        <f ca="1">IFERROR(__xludf.DUMMYFUNCTION("IMPORTRANGE(""https://docs.google.com/spreadsheets/d/1-uDff_7J0KD5mKrp0Vvzr7lt3OU09vwQwhkpOPPYv2Y/edit?usp=sharing"",""งบพรบ!BX78"")"),72401)</f>
        <v>72401</v>
      </c>
      <c r="O144" s="47">
        <f ca="1">IF(L144&gt;0,N144*100/L144,0)</f>
        <v>53.471935007385525</v>
      </c>
      <c r="P144" s="47">
        <f ca="1">IF(M144&gt;0,N144*100/M144,0)</f>
        <v>55.522239263803684</v>
      </c>
      <c r="Q144" s="47">
        <f ca="1">IFERROR(__xludf.DUMMYFUNCTION("IMPORTRANGE(""https://docs.google.com/spreadsheets/d/1ItG2mGa2ceCfYo0BwxsXqNm01IGEUdYcSSLTEv9YCik/edit?usp=sharing"",""เบิกจ่ายกองทุน!CF78"")"),44860)</f>
        <v>44860</v>
      </c>
      <c r="R144" s="47">
        <f ca="1">IFERROR(__xludf.DUMMYFUNCTION("IMPORTRANGE(""https://docs.google.com/spreadsheets/d/1ItG2mGa2ceCfYo0BwxsXqNm01IGEUdYcSSLTEv9YCik/edit?usp=sharing"",""เบิกจ่ายกองทุน!CG78"")"),44860)</f>
        <v>44860</v>
      </c>
      <c r="S144" s="47">
        <f ca="1">IFERROR(__xludf.DUMMYFUNCTION("IMPORTRANGE(""https://docs.google.com/spreadsheets/d/1ItG2mGa2ceCfYo0BwxsXqNm01IGEUdYcSSLTEv9YCik/edit?usp=sharing"",""เบิกจ่ายกองทุน!CH78"")"),0)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IFERROR(__xludf.DUMMYFUNCTION("IMPORTRANGE(""https://docs.google.com/spreadsheets/d/1-uDff_7J0KD5mKrp0Vvzr7lt3OU09vwQwhkpOPPYv2Y/edit?usp=sharing"",""งบพรบ!BT78"")"),0)</f>
        <v>0</v>
      </c>
      <c r="M147" s="47">
        <f ca="1">IFERROR(__xludf.DUMMYFUNCTION("IMPORTRANGE(""https://docs.google.com/spreadsheets/d/1-uDff_7J0KD5mKrp0Vvzr7lt3OU09vwQwhkpOPPYv2Y/edit?usp=sharing"",""งบพรบ!BW78"")"),0)</f>
        <v>0</v>
      </c>
      <c r="N147" s="47">
        <f ca="1">IFERROR(__xludf.DUMMYFUNCTION("IMPORTRANGE(""https://docs.google.com/spreadsheets/d/1-uDff_7J0KD5mKrp0Vvzr7lt3OU09vwQwhkpOPPYv2Y/edit?usp=sharing"",""งบพรบ!BY78"")"),0)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IFERROR(__xludf.DUMMYFUNCTION("IMPORTRANGE(""https://docs.google.com/spreadsheets/d/1ItG2mGa2ceCfYo0BwxsXqNm01IGEUdYcSSLTEv9YCik/edit?usp=sharing"",""เบิกจ่ายกองทุน!CI78"")"),0)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IFERROR(__xludf.DUMMYFUNCTION("IMPORTRANGE(""https://docs.google.com/spreadsheets/d/1ItG2mGa2ceCfYo0BwxsXqNm01IGEUdYcSSLTEv9YCik/edit?usp=sharing"",""เบิกจ่ายกองทุน!CJ78"")"),0)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IFERROR(__xludf.DUMMYFUNCTION("IMPORTRANGE(""https://docs.google.com/spreadsheets/d/1ItG2mGa2ceCfYo0BwxsXqNm01IGEUdYcSSLTEv9YCik/edit?usp=sharing"",""เบิกจ่ายกองทุน!CK78"")"),0)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IFERROR(__xludf.DUMMYFUNCTION("IMPORTRANGE(""https://docs.google.com/spreadsheets/d/1eHaY18a8A9IcSdp1K8H6x8fbOy06t2VsZHhMHf-1x7Y/edit?usp=sharing"",""แผน!U78"")"),0)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IFERROR(__xludf.DUMMYFUNCTION("IMPORTRANGE(""https://docs.google.com/spreadsheets/d/1eHaY18a8A9IcSdp1K8H6x8fbOy06t2VsZHhMHf-1x7Y/edit?usp=sharing"",""แผน!V78"")"),0)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IFERROR(__xludf.DUMMYFUNCTION("IMPORTRANGE(""https://docs.google.com/spreadsheets/d/1eHaY18a8A9IcSdp1K8H6x8fbOy06t2VsZHhMHf-1x7Y/edit?usp=sharing"",""แผน!W78"")"),40)</f>
        <v>40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IFERROR(__xludf.DUMMYFUNCTION("IMPORTRANGE(""https://docs.google.com/spreadsheets/d/1eHaY18a8A9IcSdp1K8H6x8fbOy06t2VsZHhMHf-1x7Y/edit?usp=sharing"",""แผน!X78"")"),4)</f>
        <v>4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IFERROR(__xludf.DUMMYFUNCTION("IMPORTRANGE(""https://docs.google.com/spreadsheets/d/1eHaY18a8A9IcSdp1K8H6x8fbOy06t2VsZHhMHf-1x7Y/edit?usp=sharing"",""แผน!Y78"")"),0)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IFERROR(__xludf.DUMMYFUNCTION("IMPORTRANGE(""https://docs.google.com/spreadsheets/d/1-uDff_7J0KD5mKrp0Vvzr7lt3OU09vwQwhkpOPPYv2Y/edit?usp=sharing"",""งบพรบ!CA78"")"),0)</f>
        <v>0</v>
      </c>
      <c r="M162" s="47">
        <f ca="1">IFERROR(__xludf.DUMMYFUNCTION("IMPORTRANGE(""https://docs.google.com/spreadsheets/d/1-uDff_7J0KD5mKrp0Vvzr7lt3OU09vwQwhkpOPPYv2Y/edit?usp=sharing"",""งบพรบ!CF78"")"),0)</f>
        <v>0</v>
      </c>
      <c r="N162" s="47">
        <f ca="1">IFERROR(__xludf.DUMMYFUNCTION("IMPORTRANGE(""https://docs.google.com/spreadsheets/d/1-uDff_7J0KD5mKrp0Vvzr7lt3OU09vwQwhkpOPPYv2Y/edit?usp=sharing"",""งบพรบ!CH78"")"),0)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IFERROR(__xludf.DUMMYFUNCTION("IMPORTRANGE(""https://docs.google.com/spreadsheets/d/1ItG2mGa2ceCfYo0BwxsXqNm01IGEUdYcSSLTEv9YCik/edit?usp=sharing"",""เบิกจ่ายกองทุน!AM78"")"),0)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IFERROR(__xludf.DUMMYFUNCTION("IMPORTRANGE(""https://docs.google.com/spreadsheets/d/1ItG2mGa2ceCfYo0BwxsXqNm01IGEUdYcSSLTEv9YCik/edit?usp=sharing"",""เบิกจ่ายกองทุน!AN78"")"),0)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IFERROR(__xludf.DUMMYFUNCTION("IMPORTRANGE(""https://docs.google.com/spreadsheets/d/1ItG2mGa2ceCfYo0BwxsXqNm01IGEUdYcSSLTEv9YCik/edit?usp=sharing"",""เบิกจ่ายกองทุน!AO78"")"),0)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IFERROR(__xludf.DUMMYFUNCTION("IMPORTRANGE(""https://docs.google.com/spreadsheets/d/1-uDff_7J0KD5mKrp0Vvzr7lt3OU09vwQwhkpOPPYv2Y/edit?usp=sharing"",""งบพรบ!CD78"")"),0)</f>
        <v>0</v>
      </c>
      <c r="M165" s="47">
        <f ca="1">IFERROR(__xludf.DUMMYFUNCTION("IMPORTRANGE(""https://docs.google.com/spreadsheets/d/1-uDff_7J0KD5mKrp0Vvzr7lt3OU09vwQwhkpOPPYv2Y/edit?usp=sharing"",""งบพรบ!CG78"")"),0)</f>
        <v>0</v>
      </c>
      <c r="N165" s="47">
        <f ca="1">IFERROR(__xludf.DUMMYFUNCTION("IMPORTRANGE(""https://docs.google.com/spreadsheets/d/1-uDff_7J0KD5mKrp0Vvzr7lt3OU09vwQwhkpOPPYv2Y/edit?usp=sharing"",""งบพรบ!CI78"")"),0)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IFERROR(__xludf.DUMMYFUNCTION("IMPORTRANGE(""https://docs.google.com/spreadsheets/d/1eHaY18a8A9IcSdp1K8H6x8fbOy06t2VsZHhMHf-1x7Y/edit?usp=sharing"",""แผน!Z78"")"),0)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IFERROR(__xludf.DUMMYFUNCTION("IMPORTRANGE(""https://docs.google.com/spreadsheets/d/1eHaY18a8A9IcSdp1K8H6x8fbOy06t2VsZHhMHf-1x7Y/edit?usp=sharing"",""แผน!Z78"")"),0)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IFERROR(__xludf.DUMMYFUNCTION("IMPORTRANGE(""https://docs.google.com/spreadsheets/d/1eHaY18a8A9IcSdp1K8H6x8fbOy06t2VsZHhMHf-1x7Y/edit?usp=sharing"",""แผน!Z78"")"),0)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14</v>
      </c>
      <c r="J172" s="214">
        <f>J183+J184</f>
        <v>7</v>
      </c>
      <c r="K172" s="215">
        <f ca="1">IF(I172&gt;0,J172*100/I172,0)</f>
        <v>50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36520</v>
      </c>
      <c r="N173" s="132">
        <f ca="1">N174+N175</f>
        <v>34385</v>
      </c>
      <c r="O173" s="132">
        <f ca="1">IF(L173&gt;0,N173*100/L173,0)</f>
        <v>175.52322613578357</v>
      </c>
      <c r="P173" s="132">
        <f ca="1">IF(M173&gt;0,N173*100/M173,0)</f>
        <v>94.153888280394298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36520</v>
      </c>
      <c r="N175" s="47">
        <f ca="1">N178+N181</f>
        <v>34385</v>
      </c>
      <c r="O175" s="47">
        <f ca="1">IF(L175&gt;0,N175*100/L175,0)</f>
        <v>175.52322613578357</v>
      </c>
      <c r="P175" s="47">
        <f ca="1">IF(M175&gt;0,N175*100/M175,0)</f>
        <v>94.153888280394298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36520</v>
      </c>
      <c r="N176" s="47">
        <f ca="1">N177+N178</f>
        <v>34385</v>
      </c>
      <c r="O176" s="47">
        <f ca="1">IF(L176&gt;0,N176*100/L176,0)</f>
        <v>175.52322613578357</v>
      </c>
      <c r="P176" s="47">
        <f ca="1">IF(M176&gt;0,N176*100/M176,0)</f>
        <v>94.153888280394298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IFERROR(__xludf.DUMMYFUNCTION("IMPORTRANGE(""https://docs.google.com/spreadsheets/d/1-uDff_7J0KD5mKrp0Vvzr7lt3OU09vwQwhkpOPPYv2Y/edit?usp=sharing"",""งบพรบ!CK78"")"),19590)</f>
        <v>19590</v>
      </c>
      <c r="M178" s="47">
        <f ca="1">IFERROR(__xludf.DUMMYFUNCTION("IMPORTRANGE(""https://docs.google.com/spreadsheets/d/1-uDff_7J0KD5mKrp0Vvzr7lt3OU09vwQwhkpOPPYv2Y/edit?usp=sharing"",""งบพรบ!CP78"")"),36520)</f>
        <v>36520</v>
      </c>
      <c r="N178" s="47">
        <f ca="1">IFERROR(__xludf.DUMMYFUNCTION("IMPORTRANGE(""https://docs.google.com/spreadsheets/d/1-uDff_7J0KD5mKrp0Vvzr7lt3OU09vwQwhkpOPPYv2Y/edit?usp=sharing"",""งบพรบ!CR78"")"),34385)</f>
        <v>34385</v>
      </c>
      <c r="O178" s="47">
        <f ca="1">IF(L178&gt;0,N178*100/L178,0)</f>
        <v>175.52322613578357</v>
      </c>
      <c r="P178" s="47">
        <f ca="1">IF(M178&gt;0,N178*100/M178,0)</f>
        <v>94.153888280394298</v>
      </c>
      <c r="Q178" s="47">
        <f ca="1">IFERROR(__xludf.DUMMYFUNCTION("IMPORTRANGE(""https://docs.google.com/spreadsheets/d/1ItG2mGa2ceCfYo0BwxsXqNm01IGEUdYcSSLTEv9YCik/edit?usp=sharing"",""เบิกจ่ายกองทุน!DG78"")"),0)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IFERROR(__xludf.DUMMYFUNCTION("IMPORTRANGE(""https://docs.google.com/spreadsheets/d/1ItG2mGa2ceCfYo0BwxsXqNm01IGEUdYcSSLTEv9YCik/edit?usp=sharing"",""เบิกจ่ายกองทุน!DH78"")"),0)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IFERROR(__xludf.DUMMYFUNCTION("IMPORTRANGE(""https://docs.google.com/spreadsheets/d/1ItG2mGa2ceCfYo0BwxsXqNm01IGEUdYcSSLTEv9YCik/edit?usp=sharing"",""เบิกจ่ายกองทุน!DI78"")"),0)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IFERROR(__xludf.DUMMYFUNCTION("IMPORTRANGE(""https://docs.google.com/spreadsheets/d/1-uDff_7J0KD5mKrp0Vvzr7lt3OU09vwQwhkpOPPYv2Y/edit?usp=sharing"",""งบพรบ!CN78"")"),0)</f>
        <v>0</v>
      </c>
      <c r="M181" s="47">
        <f ca="1">IFERROR(__xludf.DUMMYFUNCTION("IMPORTRANGE(""https://docs.google.com/spreadsheets/d/1-uDff_7J0KD5mKrp0Vvzr7lt3OU09vwQwhkpOPPYv2Y/edit?usp=sharing"",""งบพรบ!CQ78"")"),0)</f>
        <v>0</v>
      </c>
      <c r="N181" s="47">
        <f ca="1">IFERROR(__xludf.DUMMYFUNCTION("IMPORTRANGE(""https://docs.google.com/spreadsheets/d/1-uDff_7J0KD5mKrp0Vvzr7lt3OU09vwQwhkpOPPYv2Y/edit?usp=sharing"",""งบพรบ!CS78"")"),0)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IFERROR(__xludf.DUMMYFUNCTION("IMPORTRANGE(""https://docs.google.com/spreadsheets/d/1eHaY18a8A9IcSdp1K8H6x8fbOy06t2VsZHhMHf-1x7Y/edit?usp=sharing"",""แผน!AA78"")"),14)</f>
        <v>14</v>
      </c>
      <c r="J183" s="167">
        <v>7</v>
      </c>
      <c r="K183" s="47">
        <f ca="1">IF(I183&gt;0,J183*100/I183,0)</f>
        <v>50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110</v>
      </c>
      <c r="J185" s="214">
        <f>J230+J231</f>
        <v>43</v>
      </c>
      <c r="K185" s="215">
        <f ca="1">IF(I185&gt;0,J185*100/I185,0)</f>
        <v>39.090909090909093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456100</v>
      </c>
      <c r="M186" s="132">
        <f ca="1">M187+M188</f>
        <v>468000</v>
      </c>
      <c r="N186" s="132">
        <f ca="1">N187+N188</f>
        <v>207969.41</v>
      </c>
      <c r="O186" s="132">
        <f ca="1">IF(L186&gt;0,N186*100/L186,0)</f>
        <v>45.597327340495504</v>
      </c>
      <c r="P186" s="132">
        <f ca="1">IF(M186&gt;0,N186*100/M186,0)</f>
        <v>44.437908119658118</v>
      </c>
      <c r="Q186" s="132">
        <f ca="1">Q187+Q188</f>
        <v>141400</v>
      </c>
      <c r="R186" s="132">
        <f ca="1">R187+R188</f>
        <v>141400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456100</v>
      </c>
      <c r="M188" s="47">
        <f ca="1">M191+M194</f>
        <v>468000</v>
      </c>
      <c r="N188" s="47">
        <f ca="1">N191+N194</f>
        <v>207969.41</v>
      </c>
      <c r="O188" s="47">
        <f ca="1">IF(L188&gt;0,N188*100/L188,0)</f>
        <v>45.597327340495504</v>
      </c>
      <c r="P188" s="47">
        <f ca="1">IF(M188&gt;0,N188*100/M188,0)</f>
        <v>44.437908119658118</v>
      </c>
      <c r="Q188" s="47">
        <f ca="1">Q191+Q194</f>
        <v>141400</v>
      </c>
      <c r="R188" s="47">
        <f ca="1">R191+R194</f>
        <v>141400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456100</v>
      </c>
      <c r="M189" s="47">
        <f ca="1">M190+M191</f>
        <v>468000</v>
      </c>
      <c r="N189" s="47">
        <f ca="1">N190+N191</f>
        <v>207969.41</v>
      </c>
      <c r="O189" s="47">
        <f ca="1">IF(L189&gt;0,N189*100/L189,0)</f>
        <v>45.597327340495504</v>
      </c>
      <c r="P189" s="47">
        <f ca="1">IF(M189&gt;0,N189*100/M189,0)</f>
        <v>44.437908119658118</v>
      </c>
      <c r="Q189" s="47">
        <f ca="1">Q190+Q191</f>
        <v>141400</v>
      </c>
      <c r="R189" s="47">
        <f ca="1">R190+R191</f>
        <v>141400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IFERROR(__xludf.DUMMYFUNCTION("IMPORTRANGE(""https://docs.google.com/spreadsheets/d/1-uDff_7J0KD5mKrp0Vvzr7lt3OU09vwQwhkpOPPYv2Y/edit?usp=sharing"",""งบพรบ!CU78"")"),456100)</f>
        <v>456100</v>
      </c>
      <c r="M191" s="47">
        <f ca="1">IFERROR(__xludf.DUMMYFUNCTION("IMPORTRANGE(""https://docs.google.com/spreadsheets/d/1-uDff_7J0KD5mKrp0Vvzr7lt3OU09vwQwhkpOPPYv2Y/edit?usp=sharing"",""งบพรบ!CZ78"")"),468000)</f>
        <v>468000</v>
      </c>
      <c r="N191" s="47">
        <f ca="1">IFERROR(__xludf.DUMMYFUNCTION("IMPORTRANGE(""https://docs.google.com/spreadsheets/d/1-uDff_7J0KD5mKrp0Vvzr7lt3OU09vwQwhkpOPPYv2Y/edit?usp=sharing"",""งบพรบ!DB78"")"),207969.41)</f>
        <v>207969.41</v>
      </c>
      <c r="O191" s="47">
        <f ca="1">IF(L191&gt;0,N191*100/L191,0)</f>
        <v>45.597327340495504</v>
      </c>
      <c r="P191" s="47">
        <f ca="1">IF(M191&gt;0,N191*100/M191,0)</f>
        <v>44.437908119658118</v>
      </c>
      <c r="Q191" s="47">
        <f ca="1">IFERROR(__xludf.DUMMYFUNCTION("IMPORTRANGE(""https://docs.google.com/spreadsheets/d/1ItG2mGa2ceCfYo0BwxsXqNm01IGEUdYcSSLTEv9YCik/edit?usp=sharing"",""เบิกจ่ายกองทุน!BQ78"")"),141400)</f>
        <v>141400</v>
      </c>
      <c r="R191" s="47">
        <f ca="1">IFERROR(__xludf.DUMMYFUNCTION("IMPORTRANGE(""https://docs.google.com/spreadsheets/d/1ItG2mGa2ceCfYo0BwxsXqNm01IGEUdYcSSLTEv9YCik/edit?usp=sharing"",""เบิกจ่ายกองทุน!BR78"")"),141400)</f>
        <v>141400</v>
      </c>
      <c r="S191" s="47">
        <f ca="1">IFERROR(__xludf.DUMMYFUNCTION("IMPORTRANGE(""https://docs.google.com/spreadsheets/d/1ItG2mGa2ceCfYo0BwxsXqNm01IGEUdYcSSLTEv9YCik/edit?usp=sharing"",""เบิกจ่ายกองทุน!BS78"")"),0)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IFERROR(__xludf.DUMMYFUNCTION("IMPORTRANGE(""https://docs.google.com/spreadsheets/d/1-uDff_7J0KD5mKrp0Vvzr7lt3OU09vwQwhkpOPPYv2Y/edit?usp=sharing"",""งบพรบ!CX78"")"),0)</f>
        <v>0</v>
      </c>
      <c r="M194" s="47">
        <f ca="1">IFERROR(__xludf.DUMMYFUNCTION("IMPORTRANGE(""https://docs.google.com/spreadsheets/d/1-uDff_7J0KD5mKrp0Vvzr7lt3OU09vwQwhkpOPPYv2Y/edit?usp=sharing"",""งบพรบ!DA78"")"),0)</f>
        <v>0</v>
      </c>
      <c r="N194" s="47">
        <f ca="1">IFERROR(__xludf.DUMMYFUNCTION("IMPORTRANGE(""https://docs.google.com/spreadsheets/d/1-uDff_7J0KD5mKrp0Vvzr7lt3OU09vwQwhkpOPPYv2Y/edit?usp=sharing"",""งบพรบ!DC78"")"),0)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IFERROR(__xludf.DUMMYFUNCTION("IMPORTRANGE(""https://docs.google.com/spreadsheets/d/1ItG2mGa2ceCfYo0BwxsXqNm01IGEUdYcSSLTEv9YCik/edit?usp=sharing"",""เบิกจ่ายกองทุน!BT78"")"),0)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IFERROR(__xludf.DUMMYFUNCTION("IMPORTRANGE(""https://docs.google.com/spreadsheets/d/1ItG2mGa2ceCfYo0BwxsXqNm01IGEUdYcSSLTEv9YCik/edit?usp=sharing"",""เบิกจ่ายกองทุน!BU78"")"),0)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IFERROR(__xludf.DUMMYFUNCTION("IMPORTRANGE(""https://docs.google.com/spreadsheets/d/1ItG2mGa2ceCfYo0BwxsXqNm01IGEUdYcSSLTEv9YCik/edit?usp=sharing"",""เบิกจ่ายกองทุน!BV78"")"),0)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IFERROR(__xludf.DUMMYFUNCTION("IMPORTRANGE(""https://docs.google.com/spreadsheets/d/1eHaY18a8A9IcSdp1K8H6x8fbOy06t2VsZHhMHf-1x7Y/edit?usp=sharing"",""แผน!AB78"")"),6000)</f>
        <v>6000</v>
      </c>
      <c r="M196" s="46"/>
      <c r="N196" s="768">
        <f>940+1000</f>
        <v>1940</v>
      </c>
      <c r="O196" s="132">
        <f ca="1">IF(L196&gt;0,N196*100/L196,0)</f>
        <v>32.333333333333336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IFERROR(__xludf.DUMMYFUNCTION("IMPORTRANGE(""https://docs.google.com/spreadsheets/d/1eHaY18a8A9IcSdp1K8H6x8fbOy06t2VsZHhMHf-1x7Y/edit?usp=sharing"",""แผน!AE78"")"),4)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134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f>50+48+36</f>
        <v>134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3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20000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42000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IFERROR(__xludf.DUMMYFUNCTION("IMPORTRANGE(""https://docs.google.com/spreadsheets/d/1eHaY18a8A9IcSdp1K8H6x8fbOy06t2VsZHhMHf-1x7Y/edit?usp=sharing"",""แผน!AG78"")"),3000)</f>
        <v>3000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IFERROR(__xludf.DUMMYFUNCTION("IMPORTRANGE(""https://docs.google.com/spreadsheets/d/1eHaY18a8A9IcSdp1K8H6x8fbOy06t2VsZHhMHf-1x7Y/edit?usp=sharing"",""แผน!AH78"")"),0)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IFERROR(__xludf.DUMMYFUNCTION("IMPORTRANGE(""https://docs.google.com/spreadsheets/d/1eHaY18a8A9IcSdp1K8H6x8fbOy06t2VsZHhMHf-1x7Y/edit?usp=sharing"",""แผน!AI78"")"),0)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IFERROR(__xludf.DUMMYFUNCTION("IMPORTRANGE(""https://docs.google.com/spreadsheets/d/1eHaY18a8A9IcSdp1K8H6x8fbOy06t2VsZHhMHf-1x7Y/edit?usp=sharing"",""แผน!LV78"")"),42000)</f>
        <v>42000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IFERROR(__xludf.DUMMYFUNCTION("IMPORTRANGE(""https://docs.google.com/spreadsheets/d/1eHaY18a8A9IcSdp1K8H6x8fbOy06t2VsZHhMHf-1x7Y/edit?usp=sharing"",""แผน!AJ78"")"),17000)</f>
        <v>17000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IFERROR(__xludf.DUMMYFUNCTION("IMPORTRANGE(""https://docs.google.com/spreadsheets/d/1eHaY18a8A9IcSdp1K8H6x8fbOy06t2VsZHhMHf-1x7Y/edit?usp=sharing"",""แผน!AK78"")"),3)</f>
        <v>3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IFERROR(__xludf.DUMMYFUNCTION("IMPORTRANGE(""https://docs.google.com/spreadsheets/d/1eHaY18a8A9IcSdp1K8H6x8fbOy06t2VsZHhMHf-1x7Y/edit?usp=sharing"",""แผน!JX78"")"),2)</f>
        <v>2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IFERROR(__xludf.DUMMYFUNCTION("IMPORTRANGE(""https://docs.google.com/spreadsheets/d/1eHaY18a8A9IcSdp1K8H6x8fbOy06t2VsZHhMHf-1x7Y/edit?usp=sharing"",""แผน!JY78"")"),1)</f>
        <v>1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2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x14ac:dyDescent="0.3">
      <c r="A214" s="128"/>
      <c r="B214" s="41"/>
      <c r="C214" s="386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12000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99400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IFERROR(__xludf.DUMMYFUNCTION("IMPORTRANGE(""https://docs.google.com/spreadsheets/d/1eHaY18a8A9IcSdp1K8H6x8fbOy06t2VsZHhMHf-1x7Y/edit?usp=sharing"",""แผน!AM78"")"),2000)</f>
        <v>2000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IFERROR(__xludf.DUMMYFUNCTION("IMPORTRANGE(""https://docs.google.com/spreadsheets/d/1eHaY18a8A9IcSdp1K8H6x8fbOy06t2VsZHhMHf-1x7Y/edit?usp=sharing"",""แผน!AN78"")"),10000)</f>
        <v>10000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IFERROR(__xludf.DUMMYFUNCTION("IMPORTRANGE(""https://docs.google.com/spreadsheets/d/1eHaY18a8A9IcSdp1K8H6x8fbOy06t2VsZHhMHf-1x7Y/edit?usp=sharing"",""แผน!AO78"")"),0)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IFERROR(__xludf.DUMMYFUNCTION("IMPORTRANGE(""https://docs.google.com/spreadsheets/d/1eHaY18a8A9IcSdp1K8H6x8fbOy06t2VsZHhMHf-1x7Y/edit?usp=sharing"",""แผน!LY78"")"),99400)</f>
        <v>99400</v>
      </c>
      <c r="R217" s="46"/>
      <c r="S217" s="742">
        <v>0</v>
      </c>
      <c r="T217" s="136"/>
      <c r="U217" s="46"/>
    </row>
    <row r="218" spans="1:21" ht="19.5" x14ac:dyDescent="0.3">
      <c r="A218" s="138"/>
      <c r="B218" s="139"/>
      <c r="C218" s="340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IFERROR(__xludf.DUMMYFUNCTION("IMPORTRANGE(""https://docs.google.com/spreadsheets/d/1eHaY18a8A9IcSdp1K8H6x8fbOy06t2VsZHhMHf-1x7Y/edit?usp=sharing"",""แผน!AP78"")"),2)</f>
        <v>2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IFERROR(__xludf.DUMMYFUNCTION("IMPORTRANGE(""https://docs.google.com/spreadsheets/d/1eHaY18a8A9IcSdp1K8H6x8fbOy06t2VsZHhMHf-1x7Y/edit?usp=sharing"",""แผน!AP78"")"),2)</f>
        <v>2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50000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8500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IFERROR(__xludf.DUMMYFUNCTION("IMPORTRANGE(""https://docs.google.com/spreadsheets/d/1eHaY18a8A9IcSdp1K8H6x8fbOy06t2VsZHhMHf-1x7Y/edit?usp=sharing"",""แผน!AR78"")"),7000)</f>
        <v>7000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IFERROR(__xludf.DUMMYFUNCTION("IMPORTRANGE(""https://docs.google.com/spreadsheets/d/1eHaY18a8A9IcSdp1K8H6x8fbOy06t2VsZHhMHf-1x7Y/edit?usp=sharing"",""แผน!AS78"")"),1500)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IFERROR(__xludf.DUMMYFUNCTION("IMPORTRANGE(""https://docs.google.com/spreadsheets/d/1eHaY18a8A9IcSdp1K8H6x8fbOy06t2VsZHhMHf-1x7Y/edit?usp=sharing"",""แผน!AT78"")"),0)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40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IFERROR(__xludf.DUMMYFUNCTION("IMPORTRANGE(""https://docs.google.com/spreadsheets/d/1eHaY18a8A9IcSdp1K8H6x8fbOy06t2VsZHhMHf-1x7Y/edit?usp=sharing"",""แผน!AV78"")"),50000)</f>
        <v>50000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IFERROR(__xludf.DUMMYFUNCTION("IMPORTRANGE(""https://docs.google.com/spreadsheets/d/1eHaY18a8A9IcSdp1K8H6x8fbOy06t2VsZHhMHf-1x7Y/edit?usp=sharing"",""แผน!AV78"")"),50000)</f>
        <v>50000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IFERROR(__xludf.DUMMYFUNCTION("IMPORTRANGE(""https://docs.google.com/spreadsheets/d/1eHaY18a8A9IcSdp1K8H6x8fbOy06t2VsZHhMHf-1x7Y/edit?usp=sharing"",""แผน!AU78"")"),0)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110</v>
      </c>
      <c r="J231" s="746">
        <f>J242+J253</f>
        <v>43</v>
      </c>
      <c r="K231" s="745">
        <f ca="1">IF(I231&gt;0,J231*100/I231,0)</f>
        <v>39.090909090909093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409600</v>
      </c>
      <c r="M232" s="46"/>
      <c r="N232" s="759">
        <f>N243+N254</f>
        <v>170699.40999999997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343" t="s">
        <v>312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167000</v>
      </c>
      <c r="M233" s="46"/>
      <c r="N233" s="49">
        <f>N244+N255</f>
        <v>12138.4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345" t="s">
        <v>87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10000</v>
      </c>
      <c r="M234" s="46"/>
      <c r="N234" s="49">
        <f>N245+N256</f>
        <v>76700.009999999995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345" t="s">
        <v>88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92600</v>
      </c>
      <c r="M235" s="46"/>
      <c r="N235" s="49">
        <f>N246+N257</f>
        <v>39166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89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140000</v>
      </c>
      <c r="M236" s="46"/>
      <c r="N236" s="49">
        <f>N247+N258</f>
        <v>42695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110</v>
      </c>
      <c r="J238" s="495">
        <f>J249+J260</f>
        <v>43</v>
      </c>
      <c r="K238" s="49">
        <f ca="1">IF(I238&gt;0,J238*100/I238,0)</f>
        <v>39.090909090909093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 ca="1">I251+I262</f>
        <v>40</v>
      </c>
      <c r="J240" s="495">
        <f>J251+J262</f>
        <v>23</v>
      </c>
      <c r="K240" s="49">
        <f ca="1">IF(I240&gt;0,J240*100/I240,0)</f>
        <v>57.5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 ca="1">I252+I263</f>
        <v>6</v>
      </c>
      <c r="J241" s="495">
        <f>J252+J263</f>
        <v>6</v>
      </c>
      <c r="K241" s="49">
        <f ca="1">IF(I241&gt;0,J241*100/I241,0)</f>
        <v>100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x14ac:dyDescent="0.3">
      <c r="A242" s="871"/>
      <c r="B242" s="870"/>
      <c r="C242" s="869" t="s">
        <v>316</v>
      </c>
      <c r="D242" s="868"/>
      <c r="E242" s="868"/>
      <c r="F242" s="868"/>
      <c r="G242" s="867"/>
      <c r="H242" s="866" t="s">
        <v>35</v>
      </c>
      <c r="I242" s="865">
        <f ca="1">I249</f>
        <v>110</v>
      </c>
      <c r="J242" s="865">
        <f>J249</f>
        <v>43</v>
      </c>
      <c r="K242" s="864">
        <f ca="1">IF(I242&gt;0,J242*100/I242,0)</f>
        <v>39.090909090909093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x14ac:dyDescent="0.3">
      <c r="A243" s="416"/>
      <c r="B243" s="424"/>
      <c r="C243" s="386" t="s">
        <v>18</v>
      </c>
      <c r="D243" s="418" t="s">
        <v>19</v>
      </c>
      <c r="E243" s="424"/>
      <c r="F243" s="424"/>
      <c r="G243" s="425"/>
      <c r="H243" s="419" t="s">
        <v>14</v>
      </c>
      <c r="I243" s="428"/>
      <c r="J243" s="428"/>
      <c r="K243" s="429"/>
      <c r="L243" s="550">
        <f ca="1">L244+L245+L246+L247</f>
        <v>409600</v>
      </c>
      <c r="M243" s="46"/>
      <c r="N243" s="132">
        <f>N244+N245+N246+N247</f>
        <v>170699.40999999997</v>
      </c>
      <c r="O243" s="132">
        <f ca="1">IF(L243&gt;0,N243*100/L243,0)</f>
        <v>41.674660644531244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x14ac:dyDescent="0.25">
      <c r="A244" s="416"/>
      <c r="B244" s="326"/>
      <c r="C244" s="424"/>
      <c r="D244" s="861" t="s">
        <v>312</v>
      </c>
      <c r="E244" s="424"/>
      <c r="F244" s="424"/>
      <c r="G244" s="425"/>
      <c r="H244" s="426" t="s">
        <v>14</v>
      </c>
      <c r="I244" s="428"/>
      <c r="J244" s="428"/>
      <c r="K244" s="429"/>
      <c r="L244" s="548">
        <f ca="1">IFERROR(__xludf.DUMMYFUNCTION("IMPORTRANGE(""https://docs.google.com/spreadsheets/d/1eHaY18a8A9IcSdp1K8H6x8fbOy06t2VsZHhMHf-1x7Y/edit?usp=sharing"",""แผน!AX78"")"),167000)</f>
        <v>167000</v>
      </c>
      <c r="M244" s="46"/>
      <c r="N244" s="742">
        <f>360+1740+1240+1360+1240+3338.4+1120+1740</f>
        <v>12138.4</v>
      </c>
      <c r="O244" s="46"/>
      <c r="P244" s="46"/>
      <c r="Q244" s="46"/>
      <c r="R244" s="46"/>
      <c r="S244" s="46"/>
      <c r="T244" s="46"/>
      <c r="U244" s="46"/>
    </row>
    <row r="245" spans="1:21" ht="18.75" x14ac:dyDescent="0.25">
      <c r="A245" s="617"/>
      <c r="B245" s="326"/>
      <c r="C245" s="326"/>
      <c r="D245" s="218" t="s">
        <v>310</v>
      </c>
      <c r="E245" s="424"/>
      <c r="F245" s="424"/>
      <c r="G245" s="425"/>
      <c r="H245" s="426" t="s">
        <v>14</v>
      </c>
      <c r="I245" s="420"/>
      <c r="J245" s="420"/>
      <c r="K245" s="332"/>
      <c r="L245" s="548">
        <f ca="1">IFERROR(__xludf.DUMMYFUNCTION("IMPORTRANGE(""https://docs.google.com/spreadsheets/d/1eHaY18a8A9IcSdp1K8H6x8fbOy06t2VsZHhMHf-1x7Y/edit?usp=sharing"",""แผน!AY78"")"),10000)</f>
        <v>10000</v>
      </c>
      <c r="M245" s="46"/>
      <c r="N245" s="742">
        <f>13000+12133.34+13000+13000+13000+12566.67</f>
        <v>76700.009999999995</v>
      </c>
      <c r="O245" s="46"/>
      <c r="P245" s="46"/>
      <c r="Q245" s="46"/>
      <c r="R245" s="46"/>
      <c r="S245" s="46"/>
      <c r="T245" s="46"/>
      <c r="U245" s="46"/>
    </row>
    <row r="246" spans="1:21" ht="18.75" x14ac:dyDescent="0.25">
      <c r="A246" s="617"/>
      <c r="B246" s="326"/>
      <c r="C246" s="326"/>
      <c r="D246" s="218" t="s">
        <v>88</v>
      </c>
      <c r="E246" s="424"/>
      <c r="F246" s="424"/>
      <c r="G246" s="425"/>
      <c r="H246" s="426" t="s">
        <v>14</v>
      </c>
      <c r="I246" s="420"/>
      <c r="J246" s="420"/>
      <c r="K246" s="332"/>
      <c r="L246" s="548">
        <f ca="1">IFERROR(__xludf.DUMMYFUNCTION("IMPORTRANGE(""https://docs.google.com/spreadsheets/d/1eHaY18a8A9IcSdp1K8H6x8fbOy06t2VsZHhMHf-1x7Y/edit?usp=sharing"",""แผน!AZ78"")"),92600)</f>
        <v>92600</v>
      </c>
      <c r="M246" s="46"/>
      <c r="N246" s="742">
        <v>39166</v>
      </c>
      <c r="O246" s="46"/>
      <c r="P246" s="46"/>
      <c r="Q246" s="46"/>
      <c r="R246" s="46"/>
      <c r="S246" s="46"/>
      <c r="T246" s="46"/>
      <c r="U246" s="46"/>
    </row>
    <row r="247" spans="1:21" ht="18.75" x14ac:dyDescent="0.25">
      <c r="A247" s="617"/>
      <c r="B247" s="326"/>
      <c r="C247" s="326"/>
      <c r="D247" s="48" t="s">
        <v>89</v>
      </c>
      <c r="E247" s="424"/>
      <c r="F247" s="424"/>
      <c r="G247" s="425"/>
      <c r="H247" s="426" t="s">
        <v>14</v>
      </c>
      <c r="I247" s="420"/>
      <c r="J247" s="420"/>
      <c r="K247" s="332"/>
      <c r="L247" s="548">
        <f ca="1">IFERROR(__xludf.DUMMYFUNCTION("IMPORTRANGE(""https://docs.google.com/spreadsheets/d/1eHaY18a8A9IcSdp1K8H6x8fbOy06t2VsZHhMHf-1x7Y/edit?usp=sharing"",""แผน!BA78"")"),140000)</f>
        <v>140000</v>
      </c>
      <c r="M247" s="46"/>
      <c r="N247" s="742">
        <f>4875+19170+11650+7000</f>
        <v>42695</v>
      </c>
      <c r="O247" s="46"/>
      <c r="P247" s="46"/>
      <c r="Q247" s="46"/>
      <c r="R247" s="46"/>
      <c r="S247" s="46"/>
      <c r="T247" s="46"/>
      <c r="U247" s="46"/>
    </row>
    <row r="248" spans="1:21" ht="19.5" x14ac:dyDescent="0.3">
      <c r="A248" s="432"/>
      <c r="B248" s="433"/>
      <c r="C248" s="386" t="s">
        <v>18</v>
      </c>
      <c r="D248" s="618" t="s">
        <v>38</v>
      </c>
      <c r="E248" s="435"/>
      <c r="F248" s="435"/>
      <c r="G248" s="436"/>
      <c r="H248" s="439"/>
      <c r="I248" s="428"/>
      <c r="J248" s="420"/>
      <c r="K248" s="332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x14ac:dyDescent="0.25">
      <c r="A249" s="432"/>
      <c r="B249" s="433"/>
      <c r="C249" s="433"/>
      <c r="D249" s="555" t="s">
        <v>108</v>
      </c>
      <c r="E249" s="422"/>
      <c r="F249" s="422"/>
      <c r="G249" s="439"/>
      <c r="H249" s="862" t="s">
        <v>35</v>
      </c>
      <c r="I249" s="330">
        <f ca="1">IFERROR(__xludf.DUMMYFUNCTION("IMPORTRANGE(""https://docs.google.com/spreadsheets/d/1eHaY18a8A9IcSdp1K8H6x8fbOy06t2VsZHhMHf-1x7Y/edit?usp=sharing"",""แผน!BG78"")"),110)</f>
        <v>110</v>
      </c>
      <c r="J249" s="554">
        <v>43</v>
      </c>
      <c r="K249" s="331">
        <f ca="1">IF(I249&gt;0,J249*100/I249,0)</f>
        <v>39.090909090909093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x14ac:dyDescent="0.25">
      <c r="A250" s="432"/>
      <c r="B250" s="433"/>
      <c r="C250" s="433"/>
      <c r="D250" s="863" t="s">
        <v>43</v>
      </c>
      <c r="E250" s="422"/>
      <c r="F250" s="422"/>
      <c r="G250" s="439"/>
      <c r="H250" s="439"/>
      <c r="I250" s="420"/>
      <c r="J250" s="420"/>
      <c r="K250" s="332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x14ac:dyDescent="0.25">
      <c r="A251" s="432"/>
      <c r="B251" s="433"/>
      <c r="C251" s="433"/>
      <c r="D251" s="433"/>
      <c r="E251" s="320" t="s">
        <v>109</v>
      </c>
      <c r="F251" s="422"/>
      <c r="G251" s="439"/>
      <c r="H251" s="862" t="s">
        <v>35</v>
      </c>
      <c r="I251" s="330">
        <f ca="1">IFERROR(__xludf.DUMMYFUNCTION("IMPORTRANGE(""https://docs.google.com/spreadsheets/d/1eHaY18a8A9IcSdp1K8H6x8fbOy06t2VsZHhMHf-1x7Y/edit?usp=sharing"",""แผน!KR78"")"),40)</f>
        <v>40</v>
      </c>
      <c r="J251" s="554">
        <v>23</v>
      </c>
      <c r="K251" s="331">
        <f ca="1">IF(I251&gt;0,J251*100/I251,0)</f>
        <v>57.5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x14ac:dyDescent="0.25">
      <c r="A252" s="432"/>
      <c r="B252" s="433"/>
      <c r="C252" s="433"/>
      <c r="D252" s="433"/>
      <c r="E252" s="320" t="s">
        <v>110</v>
      </c>
      <c r="F252" s="422"/>
      <c r="G252" s="439"/>
      <c r="H252" s="862" t="s">
        <v>61</v>
      </c>
      <c r="I252" s="330">
        <f ca="1">IFERROR(__xludf.DUMMYFUNCTION("IMPORTRANGE(""https://docs.google.com/spreadsheets/d/1eHaY18a8A9IcSdp1K8H6x8fbOy06t2VsZHhMHf-1x7Y/edit?usp=sharing"",""แผน!KS78"")"),6)</f>
        <v>6</v>
      </c>
      <c r="J252" s="554">
        <v>6</v>
      </c>
      <c r="K252" s="331">
        <f ca="1">IF(I252&gt;0,J252*100/I252,0)</f>
        <v>100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861" t="s">
        <v>312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IFERROR(__xludf.DUMMYFUNCTION("IMPORTRANGE(""https://docs.google.com/spreadsheets/d/1eHaY18a8A9IcSdp1K8H6x8fbOy06t2VsZHhMHf-1x7Y/edit?usp=sharing"",""แผน!BB78"")"),0)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218" t="s">
        <v>87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IFERROR(__xludf.DUMMYFUNCTION("IMPORTRANGE(""https://docs.google.com/spreadsheets/d/1eHaY18a8A9IcSdp1K8H6x8fbOy06t2VsZHhMHf-1x7Y/edit?usp=sharing"",""แผน!BC78"")"),0)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218" t="s">
        <v>88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IFERROR(__xludf.DUMMYFUNCTION("IMPORTRANGE(""https://docs.google.com/spreadsheets/d/1eHaY18a8A9IcSdp1K8H6x8fbOy06t2VsZHhMHf-1x7Y/edit?usp=sharing"",""แผน!BD78"")"),0)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48" t="s">
        <v>89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IFERROR(__xludf.DUMMYFUNCTION("IMPORTRANGE(""https://docs.google.com/spreadsheets/d/1eHaY18a8A9IcSdp1K8H6x8fbOy06t2VsZHhMHf-1x7Y/edit?usp=sharing"",""แผน!BE78"")"),0)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IFERROR(__xludf.DUMMYFUNCTION("IMPORTRANGE(""https://docs.google.com/spreadsheets/d/1eHaY18a8A9IcSdp1K8H6x8fbOy06t2VsZHhMHf-1x7Y/edit?usp=sharing"",""แผน!BH78"")"),0)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24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53440</v>
      </c>
      <c r="R266" s="421">
        <f ca="1">R267+R268</f>
        <v>53440</v>
      </c>
      <c r="S266" s="421">
        <f ca="1">S267+S268</f>
        <v>44528</v>
      </c>
      <c r="T266" s="421">
        <f ca="1">IF(Q266&gt;0,S266*100/Q266,0)</f>
        <v>83.323353293413177</v>
      </c>
      <c r="U266" s="421">
        <f ca="1">IF(R266&gt;0,S266*100/R266,0)</f>
        <v>83.323353293413177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53440</v>
      </c>
      <c r="R268" s="331">
        <f ca="1">R271+R274</f>
        <v>53440</v>
      </c>
      <c r="S268" s="331">
        <f ca="1">S271+S274</f>
        <v>44528</v>
      </c>
      <c r="T268" s="331">
        <f ca="1">IF(Q268&gt;0,S268*100/Q268,0)</f>
        <v>83.323353293413177</v>
      </c>
      <c r="U268" s="331">
        <f ca="1">IF(R268&gt;0,S268*100/R268,0)</f>
        <v>83.323353293413177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53440</v>
      </c>
      <c r="R269" s="331">
        <f ca="1">R270+R271</f>
        <v>53440</v>
      </c>
      <c r="S269" s="331">
        <f ca="1">S270+S271</f>
        <v>44528</v>
      </c>
      <c r="T269" s="331">
        <f ca="1">IF(Q269&gt;0,S269*100/Q269,0)</f>
        <v>83.323353293413177</v>
      </c>
      <c r="U269" s="331">
        <f ca="1">IF(R269&gt;0,S269*100/R269,0)</f>
        <v>83.323353293413177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IFERROR(__xludf.DUMMYFUNCTION("IMPORTRANGE(""https://docs.google.com/spreadsheets/d/1-uDff_7J0KD5mKrp0Vvzr7lt3OU09vwQwhkpOPPYv2Y/edit?usp=sharing"",""งบพรบ!DE78"")"),5000)</f>
        <v>5000</v>
      </c>
      <c r="M271" s="331">
        <f ca="1">IFERROR(__xludf.DUMMYFUNCTION("IMPORTRANGE(""https://docs.google.com/spreadsheets/d/1-uDff_7J0KD5mKrp0Vvzr7lt3OU09vwQwhkpOPPYv2Y/edit?usp=sharing"",""งบพรบ!DJ78"")"),5000)</f>
        <v>5000</v>
      </c>
      <c r="N271" s="331">
        <f ca="1">IFERROR(__xludf.DUMMYFUNCTION("IMPORTRANGE(""https://docs.google.com/spreadsheets/d/1-uDff_7J0KD5mKrp0Vvzr7lt3OU09vwQwhkpOPPYv2Y/edit?usp=sharing"",""งบพรบ!DL78"")"),0)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IFERROR(__xludf.DUMMYFUNCTION("IMPORTRANGE(""https://docs.google.com/spreadsheets/d/1ItG2mGa2ceCfYo0BwxsXqNm01IGEUdYcSSLTEv9YCik/edit?usp=sharing"",""เบิกจ่ายกองทุน!AP78"")"),53440)</f>
        <v>53440</v>
      </c>
      <c r="R271" s="331">
        <f ca="1">IFERROR(__xludf.DUMMYFUNCTION("IMPORTRANGE(""https://docs.google.com/spreadsheets/d/1ItG2mGa2ceCfYo0BwxsXqNm01IGEUdYcSSLTEv9YCik/edit?usp=sharing"",""เบิกจ่ายกองทุน!AQ78"")"),53440)</f>
        <v>53440</v>
      </c>
      <c r="S271" s="331">
        <f ca="1">IFERROR(__xludf.DUMMYFUNCTION("IMPORTRANGE(""https://docs.google.com/spreadsheets/d/1ItG2mGa2ceCfYo0BwxsXqNm01IGEUdYcSSLTEv9YCik/edit?usp=sharing"",""เบิกจ่ายกองทุน!AR78"")"),44528)</f>
        <v>44528</v>
      </c>
      <c r="T271" s="331">
        <f ca="1">IF(Q271&gt;0,S271*100/Q271,0)</f>
        <v>83.323353293413177</v>
      </c>
      <c r="U271" s="331">
        <f ca="1">IF(R271&gt;0,S271*100/R271,0)</f>
        <v>83.323353293413177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IFERROR(__xludf.DUMMYFUNCTION("IMPORTRANGE(""https://docs.google.com/spreadsheets/d/1-uDff_7J0KD5mKrp0Vvzr7lt3OU09vwQwhkpOPPYv2Y/edit?usp=sharing"",""งบพรบ!DH78"")"),0)</f>
        <v>0</v>
      </c>
      <c r="M274" s="331">
        <f ca="1">IFERROR(__xludf.DUMMYFUNCTION("IMPORTRANGE(""https://docs.google.com/spreadsheets/d/1-uDff_7J0KD5mKrp0Vvzr7lt3OU09vwQwhkpOPPYv2Y/edit?usp=sharing"",""งบพรบ!DK78"")"),0)</f>
        <v>0</v>
      </c>
      <c r="N274" s="331">
        <f ca="1">IFERROR(__xludf.DUMMYFUNCTION("IMPORTRANGE(""https://docs.google.com/spreadsheets/d/1-uDff_7J0KD5mKrp0Vvzr7lt3OU09vwQwhkpOPPYv2Y/edit?usp=sharing"",""งบพรบ!DM78"")"),0)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IFERROR(__xludf.DUMMYFUNCTION("IMPORTRANGE(""https://docs.google.com/spreadsheets/d/1eHaY18a8A9IcSdp1K8H6x8fbOy06t2VsZHhMHf-1x7Y/edit?usp=sharing"",""แผน!EC78"")"),24)</f>
        <v>24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IFERROR(__xludf.DUMMYFUNCTION("IMPORTRANGE(""https://docs.google.com/spreadsheets/d/1-uDff_7J0KD5mKrp0Vvzr7lt3OU09vwQwhkpOPPYv2Y/edit?usp=sharing"",""งบพรบ!DO78"")"),0)</f>
        <v>0</v>
      </c>
      <c r="M287" s="47">
        <f ca="1">IFERROR(__xludf.DUMMYFUNCTION("IMPORTRANGE(""https://docs.google.com/spreadsheets/d/1-uDff_7J0KD5mKrp0Vvzr7lt3OU09vwQwhkpOPPYv2Y/edit?usp=sharing"",""งบพรบ!DT78"")"),0)</f>
        <v>0</v>
      </c>
      <c r="N287" s="47">
        <f ca="1">IFERROR(__xludf.DUMMYFUNCTION("IMPORTRANGE(""https://docs.google.com/spreadsheets/d/1-uDff_7J0KD5mKrp0Vvzr7lt3OU09vwQwhkpOPPYv2Y/edit?usp=sharing"",""งบพรบ!DV78"")"),0)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IFERROR(__xludf.DUMMYFUNCTION("IMPORTRANGE(""https://docs.google.com/spreadsheets/d/1-uDff_7J0KD5mKrp0Vvzr7lt3OU09vwQwhkpOPPYv2Y/edit?usp=sharing"",""งบพรบ!DR78"")"),0)</f>
        <v>0</v>
      </c>
      <c r="M290" s="47">
        <f ca="1">IFERROR(__xludf.DUMMYFUNCTION("IMPORTRANGE(""https://docs.google.com/spreadsheets/d/1-uDff_7J0KD5mKrp0Vvzr7lt3OU09vwQwhkpOPPYv2Y/edit?usp=sharing"",""งบพรบ!DU78"")"),0)</f>
        <v>0</v>
      </c>
      <c r="N290" s="47">
        <f ca="1">IFERROR(__xludf.DUMMYFUNCTION("IMPORTRANGE(""https://docs.google.com/spreadsheets/d/1-uDff_7J0KD5mKrp0Vvzr7lt3OU09vwQwhkpOPPYv2Y/edit?usp=sharing"",""งบพรบ!DW78"")"),0)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IFERROR(__xludf.DUMMYFUNCTION("IMPORTRANGE(""https://docs.google.com/spreadsheets/d/1eHaY18a8A9IcSdp1K8H6x8fbOy06t2VsZHhMHf-1x7Y/edit?usp=sharing"",""แผน!EE78"")"),0)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IFERROR(__xludf.DUMMYFUNCTION("IMPORTRANGE(""https://docs.google.com/spreadsheets/d/1eHaY18a8A9IcSdp1K8H6x8fbOy06t2VsZHhMHf-1x7Y/edit?usp=sharing"",""แผน!ED78"")"),0)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IFERROR(__xludf.DUMMYFUNCTION("IMPORTRANGE(""https://docs.google.com/spreadsheets/d/1eHaY18a8A9IcSdp1K8H6x8fbOy06t2VsZHhMHf-1x7Y/edit?usp=sharing"",""แผน!ED78"")"),0)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IFERROR(__xludf.DUMMYFUNCTION("IMPORTRANGE(""https://docs.google.com/spreadsheets/d/1eHaY18a8A9IcSdp1K8H6x8fbOy06t2VsZHhMHf-1x7Y/edit?usp=sharing"",""แผน!ED78"")"),0)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30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260958.39</v>
      </c>
      <c r="R303" s="132">
        <f ca="1">R304+R305</f>
        <v>260958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260958.39</v>
      </c>
      <c r="R305" s="47">
        <f ca="1">R308+R311</f>
        <v>260958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260958.39</v>
      </c>
      <c r="R306" s="47">
        <f ca="1">R307+R308</f>
        <v>260958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IFERROR(__xludf.DUMMYFUNCTION("IMPORTRANGE(""https://docs.google.com/spreadsheets/d/1-uDff_7J0KD5mKrp0Vvzr7lt3OU09vwQwhkpOPPYv2Y/edit?usp=sharing"",""งบพรบ!DY78"")"),0)</f>
        <v>0</v>
      </c>
      <c r="M308" s="47">
        <f ca="1">IFERROR(__xludf.DUMMYFUNCTION("IMPORTRANGE(""https://docs.google.com/spreadsheets/d/1-uDff_7J0KD5mKrp0Vvzr7lt3OU09vwQwhkpOPPYv2Y/edit?usp=sharing"",""งบพรบ!ED78"")"),0)</f>
        <v>0</v>
      </c>
      <c r="N308" s="47">
        <f ca="1">IFERROR(__xludf.DUMMYFUNCTION("IMPORTRANGE(""https://docs.google.com/spreadsheets/d/1-uDff_7J0KD5mKrp0Vvzr7lt3OU09vwQwhkpOPPYv2Y/edit?usp=sharing"",""งบพรบ!EF78"")"),0)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IFERROR(__xludf.DUMMYFUNCTION("IMPORTRANGE(""https://docs.google.com/spreadsheets/d/1ItG2mGa2ceCfYo0BwxsXqNm01IGEUdYcSSLTEv9YCik/edit?usp=sharing"",""เบิกจ่ายกองทุน!BB78"")"),260958.39)</f>
        <v>260958.39</v>
      </c>
      <c r="R308" s="47">
        <f ca="1">IFERROR(__xludf.DUMMYFUNCTION("IMPORTRANGE(""https://docs.google.com/spreadsheets/d/1ItG2mGa2ceCfYo0BwxsXqNm01IGEUdYcSSLTEv9YCik/edit?usp=sharing"",""เบิกจ่ายกองทุน!BC78"")"),260958)</f>
        <v>260958</v>
      </c>
      <c r="S308" s="47">
        <f ca="1">IFERROR(__xludf.DUMMYFUNCTION("IMPORTRANGE(""https://docs.google.com/spreadsheets/d/1ItG2mGa2ceCfYo0BwxsXqNm01IGEUdYcSSLTEv9YCik/edit?usp=sharing"",""เบิกจ่ายกองทุน!BD78"")"),0)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IFERROR(__xludf.DUMMYFUNCTION("IMPORTRANGE(""https://docs.google.com/spreadsheets/d/1-uDff_7J0KD5mKrp0Vvzr7lt3OU09vwQwhkpOPPYv2Y/edit?usp=sharing"",""งบพรบ!EB78"")"),0)</f>
        <v>0</v>
      </c>
      <c r="M311" s="47">
        <f ca="1">IFERROR(__xludf.DUMMYFUNCTION("IMPORTRANGE(""https://docs.google.com/spreadsheets/d/1-uDff_7J0KD5mKrp0Vvzr7lt3OU09vwQwhkpOPPYv2Y/edit?usp=sharing"",""งบพรบ!EE78"")"),0)</f>
        <v>0</v>
      </c>
      <c r="N311" s="47">
        <f ca="1">IFERROR(__xludf.DUMMYFUNCTION("IMPORTRANGE(""https://docs.google.com/spreadsheets/d/1-uDff_7J0KD5mKrp0Vvzr7lt3OU09vwQwhkpOPPYv2Y/edit?usp=sharing"",""งบพรบ!EG78"")"),0)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IFERROR(__xludf.DUMMYFUNCTION("IMPORTRANGE(""https://docs.google.com/spreadsheets/d/1eHaY18a8A9IcSdp1K8H6x8fbOy06t2VsZHhMHf-1x7Y/edit?usp=sharing"",""แผน!EF78"")"),30)</f>
        <v>30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IFERROR(__xludf.DUMMYFUNCTION("IMPORTRANGE(""https://docs.google.com/spreadsheets/d/1-uDff_7J0KD5mKrp0Vvzr7lt3OU09vwQwhkpOPPYv2Y/edit?usp=sharing"",""งบพรบ!EI78"")"),0)</f>
        <v>0</v>
      </c>
      <c r="M325" s="47">
        <f ca="1">IFERROR(__xludf.DUMMYFUNCTION("IMPORTRANGE(""https://docs.google.com/spreadsheets/d/1-uDff_7J0KD5mKrp0Vvzr7lt3OU09vwQwhkpOPPYv2Y/edit?usp=sharing"",""งบพรบ!EN78"")"),0)</f>
        <v>0</v>
      </c>
      <c r="N325" s="47">
        <f ca="1">IFERROR(__xludf.DUMMYFUNCTION("IMPORTRANGE(""https://docs.google.com/spreadsheets/d/1-uDff_7J0KD5mKrp0Vvzr7lt3OU09vwQwhkpOPPYv2Y/edit?usp=sharing"",""งบพรบ!EP78"")"),0)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IFERROR(__xludf.DUMMYFUNCTION("IMPORTRANGE(""https://docs.google.com/spreadsheets/d/1-uDff_7J0KD5mKrp0Vvzr7lt3OU09vwQwhkpOPPYv2Y/edit?usp=sharing"",""งบพรบ!EL78"")"),0)</f>
        <v>0</v>
      </c>
      <c r="M328" s="47">
        <f ca="1">IFERROR(__xludf.DUMMYFUNCTION("IMPORTRANGE(""https://docs.google.com/spreadsheets/d/1-uDff_7J0KD5mKrp0Vvzr7lt3OU09vwQwhkpOPPYv2Y/edit?usp=sharing"",""งบพรบ!EO78"")"),0)</f>
        <v>0</v>
      </c>
      <c r="N328" s="47">
        <f ca="1">IFERROR(__xludf.DUMMYFUNCTION("IMPORTRANGE(""https://docs.google.com/spreadsheets/d/1-uDff_7J0KD5mKrp0Vvzr7lt3OU09vwQwhkpOPPYv2Y/edit?usp=sharing"",""งบพรบ!EQ78"")"),0)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IFERROR(__xludf.DUMMYFUNCTION("IMPORTRANGE(""https://docs.google.com/spreadsheets/d/1eHaY18a8A9IcSdp1K8H6x8fbOy06t2VsZHhMHf-1x7Y/edit?usp=sharing"",""แผน!EJ78"")"),0)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1060</v>
      </c>
      <c r="J332" s="697">
        <f ca="1">J344+J347+J348+J349+J353</f>
        <v>7848</v>
      </c>
      <c r="K332" s="696">
        <f ca="1">IF(I332&gt;0,J332*100/I332,0)</f>
        <v>740.37735849056605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189000</v>
      </c>
      <c r="M333" s="132">
        <f ca="1">M334+M335</f>
        <v>240175</v>
      </c>
      <c r="N333" s="132">
        <f ca="1">N334+N335</f>
        <v>164309.78</v>
      </c>
      <c r="O333" s="132">
        <f ca="1">IF(L333&gt;0,N333*100/L333,0)</f>
        <v>86.936391534391532</v>
      </c>
      <c r="P333" s="132">
        <f ca="1">IF(M333&gt;0,N333*100/M333,0)</f>
        <v>68.412524201103366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189000</v>
      </c>
      <c r="M335" s="47">
        <f ca="1">M338+M341</f>
        <v>240175</v>
      </c>
      <c r="N335" s="47">
        <f ca="1">N338+N341</f>
        <v>164309.78</v>
      </c>
      <c r="O335" s="47">
        <f ca="1">IF(L335&gt;0,N335*100/L335,0)</f>
        <v>86.936391534391532</v>
      </c>
      <c r="P335" s="47">
        <f ca="1">IF(M335&gt;0,N335*100/M335,0)</f>
        <v>68.412524201103366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189000</v>
      </c>
      <c r="M336" s="47">
        <f ca="1">M337+M338</f>
        <v>240175</v>
      </c>
      <c r="N336" s="47">
        <f ca="1">N337+N338</f>
        <v>164309.78</v>
      </c>
      <c r="O336" s="47">
        <f ca="1">IF(L336&gt;0,N336*100/L336,0)</f>
        <v>86.936391534391532</v>
      </c>
      <c r="P336" s="47">
        <f ca="1">IF(M336&gt;0,N336*100/M336,0)</f>
        <v>68.412524201103366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IFERROR(__xludf.DUMMYFUNCTION("IMPORTRANGE(""https://docs.google.com/spreadsheets/d/1-uDff_7J0KD5mKrp0Vvzr7lt3OU09vwQwhkpOPPYv2Y/edit?usp=sharing"",""งบพรบ!ES78"")"),189000)</f>
        <v>189000</v>
      </c>
      <c r="M338" s="47">
        <f ca="1">IFERROR(__xludf.DUMMYFUNCTION("IMPORTRANGE(""https://docs.google.com/spreadsheets/d/1-uDff_7J0KD5mKrp0Vvzr7lt3OU09vwQwhkpOPPYv2Y/edit?usp=sharing"",""งบพรบ!EX78"")"),240175)</f>
        <v>240175</v>
      </c>
      <c r="N338" s="47">
        <f ca="1">IFERROR(__xludf.DUMMYFUNCTION("IMPORTRANGE(""https://docs.google.com/spreadsheets/d/1-uDff_7J0KD5mKrp0Vvzr7lt3OU09vwQwhkpOPPYv2Y/edit?usp=sharing"",""งบพรบ!EZ78"")"),164309.78)</f>
        <v>164309.78</v>
      </c>
      <c r="O338" s="47">
        <f ca="1">IF(L338&gt;0,N338*100/L338,0)</f>
        <v>86.936391534391532</v>
      </c>
      <c r="P338" s="47">
        <f ca="1">IF(M338&gt;0,N338*100/M338,0)</f>
        <v>68.412524201103366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IFERROR(__xludf.DUMMYFUNCTION("IMPORTRANGE(""https://docs.google.com/spreadsheets/d/1-uDff_7J0KD5mKrp0Vvzr7lt3OU09vwQwhkpOPPYv2Y/edit?usp=sharing"",""งบพรบ!EV78"")"),0)</f>
        <v>0</v>
      </c>
      <c r="M341" s="47">
        <f ca="1">IFERROR(__xludf.DUMMYFUNCTION("IMPORTRANGE(""https://docs.google.com/spreadsheets/d/1-uDff_7J0KD5mKrp0Vvzr7lt3OU09vwQwhkpOPPYv2Y/edit?usp=sharing"",""งบพรบ!EY78"")"),0)</f>
        <v>0</v>
      </c>
      <c r="N341" s="47">
        <f ca="1">IFERROR(__xludf.DUMMYFUNCTION("IMPORTRANGE(""https://docs.google.com/spreadsheets/d/1-uDff_7J0KD5mKrp0Vvzr7lt3OU09vwQwhkpOPPYv2Y/edit?usp=sharing"",""งบพรบ!FA78"")"),0)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2595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IFERROR(__xludf.DUMMYFUNCTION("IMPORTRANGE(""https://docs.google.com/spreadsheets/d/1eHaY18a8A9IcSdp1K8H6x8fbOy06t2VsZHhMHf-1x7Y/edit?usp=sharing"",""แผน!EK78"")"),1060)</f>
        <v>1060</v>
      </c>
      <c r="J344" s="152">
        <f ca="1">IFERROR(__xludf.DUMMYFUNCTION("IMPORTRANGE(""https://docs.google.com/spreadsheets/d/1awYsYK3VOup2i3Pq_Yjnu8DRu_mYwSBnCR2QPthd0rU/edit?usp=sharing"",""ศูนย์ยกเว้นโฉนด!D78"")"),2591)</f>
        <v>2591</v>
      </c>
      <c r="K344" s="47">
        <f ca="1">IF(I344&gt;0,J344*100/I344,0)</f>
        <v>244.43396226415095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IFERROR(__xludf.DUMMYFUNCTION("IMPORTRANGE(""https://docs.google.com/spreadsheets/d/1eHaY18a8A9IcSdp1K8H6x8fbOy06t2VsZHhMHf-1x7Y/edit?usp=sharing"",""แผน!EL78"")"),5)</f>
        <v>5</v>
      </c>
      <c r="J346" s="152">
        <f ca="1">IFERROR(__xludf.DUMMYFUNCTION("IMPORTRANGE(""https://docs.google.com/spreadsheets/d/1awYsYK3VOup2i3Pq_Yjnu8DRu_mYwSBnCR2QPthd0rU/edit?usp=sharing"",""ศูนย์รวม!E78"")"),8)</f>
        <v>8</v>
      </c>
      <c r="K346" s="47">
        <f ca="1">IF(I346&gt;0,J346*100/I346,0)</f>
        <v>160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IFERROR(__xludf.DUMMYFUNCTION("IMPORTRANGE(""https://docs.google.com/spreadsheets/d/1awYsYK3VOup2i3Pq_Yjnu8DRu_mYwSBnCR2QPthd0rU/edit?usp=sharing"",""ศูนย์ยกเว้นโฉนด!F78"")"),2)</f>
        <v>2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IFERROR(__xludf.DUMMYFUNCTION("IMPORTRANGE(""https://docs.google.com/spreadsheets/d/1awYsYK3VOup2i3Pq_Yjnu8DRu_mYwSBnCR2QPthd0rU/edit?usp=sharing"",""ศูนย์ยกเว้นโฉนด!G78"")"),2)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IFERROR(__xludf.DUMMYFUNCTION("IMPORTRANGE(""https://docs.google.com/spreadsheets/d/1awYsYK3VOup2i3Pq_Yjnu8DRu_mYwSBnCR2QPthd0rU/edit?usp=sharing"",""ศูนย์ยกเว้นโฉนด!H78"")"),0)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7314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IFERROR(__xludf.DUMMYFUNCTION("IMPORTRANGE(""https://docs.google.com/spreadsheets/d/1awYsYK3VOup2i3Pq_Yjnu8DRu_mYwSBnCR2QPthd0rU/edit?usp=sharing"",""โฉนดM3!G78"")"),2061)</f>
        <v>2061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IFERROR(__xludf.DUMMYFUNCTION("IMPORTRANGE(""https://docs.google.com/spreadsheets/d/1awYsYK3VOup2i3Pq_Yjnu8DRu_mYwSBnCR2QPthd0rU/edit?usp=sharing"",""โฉนดM3!H78"")"),5253)</f>
        <v>5253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745130</v>
      </c>
      <c r="M356" s="132">
        <f ca="1">M357+M358</f>
        <v>728730</v>
      </c>
      <c r="N356" s="132">
        <f ca="1">N357+N358</f>
        <v>665331.39</v>
      </c>
      <c r="O356" s="132">
        <f ca="1">IF(L356&gt;0,N356*100/L356,0)</f>
        <v>89.29064592755627</v>
      </c>
      <c r="P356" s="132">
        <f ca="1">IF(M356&gt;0,N356*100/M356,0)</f>
        <v>91.300123502531804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745130</v>
      </c>
      <c r="M358" s="47">
        <f ca="1">M361+M364</f>
        <v>728730</v>
      </c>
      <c r="N358" s="47">
        <f ca="1">N361+N364</f>
        <v>665331.39</v>
      </c>
      <c r="O358" s="47">
        <f ca="1">IF(L358&gt;0,N358*100/L358,0)</f>
        <v>89.29064592755627</v>
      </c>
      <c r="P358" s="47">
        <f ca="1">IF(M358&gt;0,N358*100/M358,0)</f>
        <v>91.300123502531804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745130</v>
      </c>
      <c r="M359" s="47">
        <f ca="1">M360+M361</f>
        <v>728730</v>
      </c>
      <c r="N359" s="47">
        <f ca="1">N360+N361</f>
        <v>665331.39</v>
      </c>
      <c r="O359" s="47">
        <f ca="1">IF(L359&gt;0,N359*100/L359,0)</f>
        <v>89.29064592755627</v>
      </c>
      <c r="P359" s="47">
        <f ca="1">IF(M359&gt;0,N359*100/M359,0)</f>
        <v>91.300123502531804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IFERROR(__xludf.DUMMYFUNCTION("IMPORTRANGE(""https://docs.google.com/spreadsheets/d/1-uDff_7J0KD5mKrp0Vvzr7lt3OU09vwQwhkpOPPYv2Y/edit?usp=sharing"",""งบพรบ!FC78"")"),745130)</f>
        <v>745130</v>
      </c>
      <c r="M361" s="47">
        <f ca="1">IFERROR(__xludf.DUMMYFUNCTION("IMPORTRANGE(""https://docs.google.com/spreadsheets/d/1-uDff_7J0KD5mKrp0Vvzr7lt3OU09vwQwhkpOPPYv2Y/edit?usp=sharing"",""งบพรบ!FH78"")"),728730)</f>
        <v>728730</v>
      </c>
      <c r="N361" s="47">
        <f ca="1">IFERROR(__xludf.DUMMYFUNCTION("IMPORTRANGE(""https://docs.google.com/spreadsheets/d/1-uDff_7J0KD5mKrp0Vvzr7lt3OU09vwQwhkpOPPYv2Y/edit?usp=sharing"",""งบพรบ!FJ78"")"),665331.39)</f>
        <v>665331.39</v>
      </c>
      <c r="O361" s="47">
        <f ca="1">IF(L361&gt;0,N361*100/L361,0)</f>
        <v>89.29064592755627</v>
      </c>
      <c r="P361" s="47">
        <f ca="1">IF(M361&gt;0,N361*100/M361,0)</f>
        <v>91.300123502531804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IFERROR(__xludf.DUMMYFUNCTION("IMPORTRANGE(""https://docs.google.com/spreadsheets/d/1-uDff_7J0KD5mKrp0Vvzr7lt3OU09vwQwhkpOPPYv2Y/edit?usp=sharing"",""งบพรบ!FF78"")"),0)</f>
        <v>0</v>
      </c>
      <c r="M364" s="47">
        <f ca="1">IFERROR(__xludf.DUMMYFUNCTION("IMPORTRANGE(""https://docs.google.com/spreadsheets/d/1-uDff_7J0KD5mKrp0Vvzr7lt3OU09vwQwhkpOPPYv2Y/edit?usp=sharing"",""งบพรบ!FI78"")"),0)</f>
        <v>0</v>
      </c>
      <c r="N364" s="47">
        <f ca="1">IFERROR(__xludf.DUMMYFUNCTION("IMPORTRANGE(""https://docs.google.com/spreadsheets/d/1-uDff_7J0KD5mKrp0Vvzr7lt3OU09vwQwhkpOPPYv2Y/edit?usp=sharing"",""งบพรบ!FK78"")"),0)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827</v>
      </c>
      <c r="J365" s="228">
        <f ca="1">J371</f>
        <v>279</v>
      </c>
      <c r="K365" s="229">
        <f ca="1">IF(I365&gt;0,J365*100/I365,0)</f>
        <v>33.736396614268443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IFERROR(__xludf.DUMMYFUNCTION("IMPORTRANGE(""https://docs.google.com/spreadsheets/d/1tdoBKaGub7dwA3U6UFTqxio9LNnvDCQjHKmttSEBsFQ/edit?usp=sharing"",""จัดที่ดิน!AB78"")"),396)</f>
        <v>396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IFERROR(__xludf.DUMMYFUNCTION("IMPORTRANGE(""https://docs.google.com/spreadsheets/d/1eHaY18a8A9IcSdp1K8H6x8fbOy06t2VsZHhMHf-1x7Y/edit?usp=sharing"",""แผน!EW78"")"),1890)</f>
        <v>1890</v>
      </c>
      <c r="J368" s="685">
        <f ca="1">IFERROR(__xludf.DUMMYFUNCTION("IMPORTRANGE(""https://docs.google.com/spreadsheets/d/1tdoBKaGub7dwA3U6UFTqxio9LNnvDCQjHKmttSEBsFQ/edit?usp=sharing"",""จัดที่ดิน!AC78"")"),2714.83999999999)</f>
        <v>2714.8399999999901</v>
      </c>
      <c r="K368" s="47">
        <f ca="1">IF(I368&gt;0,J368*100/I368,0)</f>
        <v>143.64232804232751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IFERROR(__xludf.DUMMYFUNCTION("IMPORTRANGE(""https://docs.google.com/spreadsheets/d/1eHaY18a8A9IcSdp1K8H6x8fbOy06t2VsZHhMHf-1x7Y/edit?usp=sharing"",""แผน!EX78"")"),827)</f>
        <v>827</v>
      </c>
      <c r="J369" s="152">
        <f ca="1">IFERROR(__xludf.DUMMYFUNCTION("IMPORTRANGE(""https://docs.google.com/spreadsheets/d/1tdoBKaGub7dwA3U6UFTqxio9LNnvDCQjHKmttSEBsFQ/edit?usp=sharing"",""จัดที่ดิน!AD78"")"),679)</f>
        <v>679</v>
      </c>
      <c r="K369" s="47">
        <f ca="1">IF(I369&gt;0,J369*100/I369,0)</f>
        <v>82.103990326481252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IFERROR(__xludf.DUMMYFUNCTION("IMPORTRANGE(""https://docs.google.com/spreadsheets/d/1tdoBKaGub7dwA3U6UFTqxio9LNnvDCQjHKmttSEBsFQ/edit?usp=sharing"",""จัดที่ดิน!AE78"")"),5766.59)</f>
        <v>5766.59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IFERROR(__xludf.DUMMYFUNCTION("IMPORTRANGE(""https://docs.google.com/spreadsheets/d/1eHaY18a8A9IcSdp1K8H6x8fbOy06t2VsZHhMHf-1x7Y/edit?usp=sharing"",""แผน!EY78"")"),827)</f>
        <v>827</v>
      </c>
      <c r="J371" s="152">
        <f ca="1">IFERROR(__xludf.DUMMYFUNCTION("IMPORTRANGE(""https://docs.google.com/spreadsheets/d/1tdoBKaGub7dwA3U6UFTqxio9LNnvDCQjHKmttSEBsFQ/edit?usp=sharing"",""จัดที่ดิน!AF78"")"),279)</f>
        <v>279</v>
      </c>
      <c r="K371" s="47">
        <f ca="1">IF(I371&gt;0,J371*100/I371,0)</f>
        <v>33.736396614268443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IFERROR(__xludf.DUMMYFUNCTION("IMPORTRANGE(""https://docs.google.com/spreadsheets/d/1tdoBKaGub7dwA3U6UFTqxio9LNnvDCQjHKmttSEBsFQ/edit?usp=sharing"",""จัดที่ดิน!AG78"")"),2833.39)</f>
        <v>2833.39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56250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56250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56250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IFERROR(__xludf.DUMMYFUNCTION("IMPORTRANGE(""https://docs.google.com/spreadsheets/d/1-uDff_7J0KD5mKrp0Vvzr7lt3OU09vwQwhkpOPPYv2Y/edit?usp=sharing"",""งบพรบ!IE78"")"),0)</f>
        <v>0</v>
      </c>
      <c r="M380" s="47">
        <f ca="1">IFERROR(__xludf.DUMMYFUNCTION("IMPORTRANGE(""https://docs.google.com/spreadsheets/d/1-uDff_7J0KD5mKrp0Vvzr7lt3OU09vwQwhkpOPPYv2Y/edit?usp=sharing"",""งบพรบ!IJ78"")"),0)</f>
        <v>0</v>
      </c>
      <c r="N380" s="47">
        <f ca="1">IFERROR(__xludf.DUMMYFUNCTION("IMPORTRANGE(""https://docs.google.com/spreadsheets/d/1-uDff_7J0KD5mKrp0Vvzr7lt3OU09vwQwhkpOPPYv2Y/edit?usp=sharing"",""งบพรบ!IL78"")"),0)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IFERROR(__xludf.DUMMYFUNCTION("IMPORTRANGE(""https://docs.google.com/spreadsheets/d/1ItG2mGa2ceCfYo0BwxsXqNm01IGEUdYcSSLTEv9YCik/edit?usp=sharing"",""เบิกจ่ายกองทุน!BW78"")"),62500)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IFERROR(__xludf.DUMMYFUNCTION("IMPORTRANGE(""https://docs.google.com/spreadsheets/d/1ItG2mGa2ceCfYo0BwxsXqNm01IGEUdYcSSLTEv9YCik/edit?usp=sharing"",""เบิกจ่ายกองทุน!BX78"")"),56250)</f>
        <v>56250</v>
      </c>
      <c r="S380" s="47">
        <f ca="1">IFERROR(__xludf.DUMMYFUNCTION("IMPORTRANGE(""https://docs.google.com/spreadsheets/d/1ItG2mGa2ceCfYo0BwxsXqNm01IGEUdYcSSLTEv9YCik/edit?usp=sharing"",""เบิกจ่ายกองทุน!BY78"")"),0)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IFERROR(__xludf.DUMMYFUNCTION("IMPORTRANGE(""https://docs.google.com/spreadsheets/d/1-uDff_7J0KD5mKrp0Vvzr7lt3OU09vwQwhkpOPPYv2Y/edit?usp=sharing"",""งบพรบ!IH78"")"),0)</f>
        <v>0</v>
      </c>
      <c r="M383" s="47">
        <f ca="1">IFERROR(__xludf.DUMMYFUNCTION("IMPORTRANGE(""https://docs.google.com/spreadsheets/d/1-uDff_7J0KD5mKrp0Vvzr7lt3OU09vwQwhkpOPPYv2Y/edit?usp=sharing"",""งบพรบ!IK78"")"),0)</f>
        <v>0</v>
      </c>
      <c r="N383" s="47">
        <f ca="1">IFERROR(__xludf.DUMMYFUNCTION("IMPORTRANGE(""https://docs.google.com/spreadsheets/d/1-uDff_7J0KD5mKrp0Vvzr7lt3OU09vwQwhkpOPPYv2Y/edit?usp=sharing"",""งบพรบ!IM78"")"),0)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IFERROR(__xludf.DUMMYFUNCTION("IMPORTRANGE(""https://docs.google.com/spreadsheets/d/1w5rwWK1o49a35cNtocGL0gxDwhFSTZUQu90BiH9_zqM/edit?usp=sharing"",""RTK!H78"")"),0)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IFERROR(__xludf.DUMMYFUNCTION("IMPORTRANGE(""https://docs.google.com/spreadsheets/d/1w5rwWK1o49a35cNtocGL0gxDwhFSTZUQu90BiH9_zqM/edit?usp=sharing"",""RTK!G78"")"),1000)</f>
        <v>1000</v>
      </c>
      <c r="J386" s="152">
        <f ca="1">IFERROR(__xludf.DUMMYFUNCTION("IMPORTRANGE(""https://docs.google.com/spreadsheets/d/1w5rwWK1o49a35cNtocGL0gxDwhFSTZUQu90BiH9_zqM/edit?usp=sharing"",""RTK!I78"")"),0)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IFERROR(__xludf.DUMMYFUNCTION("IMPORTRANGE(""https://docs.google.com/spreadsheets/d/1w5rwWK1o49a35cNtocGL0gxDwhFSTZUQu90BiH9_zqM/edit?usp=sharing"",""RTK!L78"")"),0)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IFERROR(__xludf.DUMMYFUNCTION("IMPORTRANGE(""https://docs.google.com/spreadsheets/d/1w5rwWK1o49a35cNtocGL0gxDwhFSTZUQu90BiH9_zqM/edit?usp=sharing"",""RTK!K78"")"),0)</f>
        <v>0</v>
      </c>
      <c r="J388" s="330">
        <f ca="1">IFERROR(__xludf.DUMMYFUNCTION("IMPORTRANGE(""https://docs.google.com/spreadsheets/d/1w5rwWK1o49a35cNtocGL0gxDwhFSTZUQu90BiH9_zqM/edit?usp=sharing"",""RTK!M78"")"),0)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IFERROR(__xludf.DUMMYFUNCTION("IMPORTRANGE(""https://docs.google.com/spreadsheets/d/1ItG2mGa2ceCfYo0BwxsXqNm01IGEUdYcSSLTEv9YCik/edit?usp=sharing"",""เบิกจ่ายกองทุน!CL78"")"),0)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IFERROR(__xludf.DUMMYFUNCTION("IMPORTRANGE(""https://docs.google.com/spreadsheets/d/1ItG2mGa2ceCfYo0BwxsXqNm01IGEUdYcSSLTEv9YCik/edit?usp=sharing"",""เบิกจ่ายกองทุน!CM78"")"),0)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IFERROR(__xludf.DUMMYFUNCTION("IMPORTRANGE(""https://docs.google.com/spreadsheets/d/1ItG2mGa2ceCfYo0BwxsXqNm01IGEUdYcSSLTEv9YCik/edit?usp=sharing"",""เบิกจ่ายกองทุน!CN78"")"),0)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24960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309640</v>
      </c>
      <c r="M413" s="132">
        <f ca="1">M414+M415</f>
        <v>309640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67200</v>
      </c>
      <c r="R413" s="132">
        <f ca="1">R414+R415</f>
        <v>67200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309640</v>
      </c>
      <c r="M415" s="47">
        <f ca="1">M418+M421</f>
        <v>309640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67200</v>
      </c>
      <c r="R415" s="47">
        <f ca="1">R418+R421</f>
        <v>67200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309640</v>
      </c>
      <c r="M416" s="47">
        <f ca="1">M417+M418</f>
        <v>309640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67200</v>
      </c>
      <c r="R416" s="47">
        <f ca="1">R417+R418</f>
        <v>67200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IFERROR(__xludf.DUMMYFUNCTION("IMPORTRANGE(""https://docs.google.com/spreadsheets/d/1-uDff_7J0KD5mKrp0Vvzr7lt3OU09vwQwhkpOPPYv2Y/edit?usp=sharing"",""งบพรบ!IO78"")"),309640)</f>
        <v>309640</v>
      </c>
      <c r="M418" s="47">
        <f ca="1">IFERROR(__xludf.DUMMYFUNCTION("IMPORTRANGE(""https://docs.google.com/spreadsheets/d/1-uDff_7J0KD5mKrp0Vvzr7lt3OU09vwQwhkpOPPYv2Y/edit?usp=sharing"",""งบพรบ!IT78"")"),309640)</f>
        <v>309640</v>
      </c>
      <c r="N418" s="47">
        <f ca="1">IFERROR(__xludf.DUMMYFUNCTION("IMPORTRANGE(""https://docs.google.com/spreadsheets/d/1-uDff_7J0KD5mKrp0Vvzr7lt3OU09vwQwhkpOPPYv2Y/edit?usp=sharing"",""งบพรบ!IV78"")"),0)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IFERROR(__xludf.DUMMYFUNCTION("IMPORTRANGE(""https://docs.google.com/spreadsheets/d/1ItG2mGa2ceCfYo0BwxsXqNm01IGEUdYcSSLTEv9YCik/edit?usp=sharing"",""เบิกจ่ายกองทุน!BZ78"")"),67200)</f>
        <v>67200</v>
      </c>
      <c r="R418" s="47">
        <f ca="1">IFERROR(__xludf.DUMMYFUNCTION("IMPORTRANGE(""https://docs.google.com/spreadsheets/d/1ItG2mGa2ceCfYo0BwxsXqNm01IGEUdYcSSLTEv9YCik/edit?usp=sharing"",""เบิกจ่ายกองทุน!CA78"")"),67200)</f>
        <v>67200</v>
      </c>
      <c r="S418" s="47">
        <f ca="1">IFERROR(__xludf.DUMMYFUNCTION("IMPORTRANGE(""https://docs.google.com/spreadsheets/d/1ItG2mGa2ceCfYo0BwxsXqNm01IGEUdYcSSLTEv9YCik/edit?usp=sharing"",""เบิกจ่ายกองทุน!CB78"")"),0)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IFERROR(__xludf.DUMMYFUNCTION("IMPORTRANGE(""https://docs.google.com/spreadsheets/d/1-uDff_7J0KD5mKrp0Vvzr7lt3OU09vwQwhkpOPPYv2Y/edit?usp=sharing"",""งบพรบ!IR78"")"),0)</f>
        <v>0</v>
      </c>
      <c r="M421" s="47">
        <f ca="1">IFERROR(__xludf.DUMMYFUNCTION("IMPORTRANGE(""https://docs.google.com/spreadsheets/d/1-uDff_7J0KD5mKrp0Vvzr7lt3OU09vwQwhkpOPPYv2Y/edit?usp=sharing"",""งบพรบ!IU78"")"),0)</f>
        <v>0</v>
      </c>
      <c r="N421" s="47">
        <f ca="1">IFERROR(__xludf.DUMMYFUNCTION("IMPORTRANGE(""https://docs.google.com/spreadsheets/d/1-uDff_7J0KD5mKrp0Vvzr7lt3OU09vwQwhkpOPPYv2Y/edit?usp=sharing"",""งบพรบ!IW78"")"),0)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24960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IFERROR(__xludf.DUMMYFUNCTION("IMPORTRANGE(""https://docs.google.com/spreadsheets/d/1eHaY18a8A9IcSdp1K8H6x8fbOy06t2VsZHhMHf-1x7Y/edit?usp=sharing"",""แผน!HJ78"")"),24960)</f>
        <v>24960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IFERROR(__xludf.DUMMYFUNCTION("IMPORTRANGE(""https://docs.google.com/spreadsheets/d/1eHaY18a8A9IcSdp1K8H6x8fbOy06t2VsZHhMHf-1x7Y/edit?usp=sharing"",""แผน!HK78"")"),2753)</f>
        <v>2753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IFERROR(__xludf.DUMMYFUNCTION("IMPORTRANGE(""https://docs.google.com/spreadsheets/d/1eHaY18a8A9IcSdp1K8H6x8fbOy06t2VsZHhMHf-1x7Y/edit?usp=sharing"",""แผน!HJ78"")"),24960)</f>
        <v>24960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IFERROR(__xludf.DUMMYFUNCTION("IMPORTRANGE(""https://docs.google.com/spreadsheets/d/1eHaY18a8A9IcSdp1K8H6x8fbOy06t2VsZHhMHf-1x7Y/edit?usp=sharing"",""แผน!HK78"")"),2753)</f>
        <v>2753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IFERROR(__xludf.DUMMYFUNCTION("IMPORTRANGE(""https://docs.google.com/spreadsheets/d/1eHaY18a8A9IcSdp1K8H6x8fbOy06t2VsZHhMHf-1x7Y/edit?usp=sharing"",""แผน!HJ78"")"),24960)</f>
        <v>24960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IFERROR(__xludf.DUMMYFUNCTION("IMPORTRANGE(""https://docs.google.com/spreadsheets/d/1eHaY18a8A9IcSdp1K8H6x8fbOy06t2VsZHhMHf-1x7Y/edit?usp=sharing"",""แผน!HK78"")"),2753)</f>
        <v>2753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192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IFERROR(__xludf.DUMMYFUNCTION("IMPORTRANGE(""https://docs.google.com/spreadsheets/d/1eHaY18a8A9IcSdp1K8H6x8fbOy06t2VsZHhMHf-1x7Y/edit?usp=sharing"",""แผน!HL78"")"),192)</f>
        <v>192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IFERROR(__xludf.DUMMYFUNCTION("IMPORTRANGE(""https://docs.google.com/spreadsheets/d/1eHaY18a8A9IcSdp1K8H6x8fbOy06t2VsZHhMHf-1x7Y/edit?usp=sharing"",""แผน!HM78"")"),0)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IFERROR(__xludf.DUMMYFUNCTION("IMPORTRANGE(""https://docs.google.com/spreadsheets/d/1-uDff_7J0KD5mKrp0Vvzr7lt3OU09vwQwhkpOPPYv2Y/edit?usp=sharing"",""งบพรบ!HU78"")"),0)</f>
        <v>0</v>
      </c>
      <c r="M498" s="47">
        <f ca="1">IFERROR(__xludf.DUMMYFUNCTION("IMPORTRANGE(""https://docs.google.com/spreadsheets/d/1-uDff_7J0KD5mKrp0Vvzr7lt3OU09vwQwhkpOPPYv2Y/edit?usp=sharing"",""งบพรบ!HZ78"")"),0)</f>
        <v>0</v>
      </c>
      <c r="N498" s="47">
        <f ca="1">IFERROR(__xludf.DUMMYFUNCTION("IMPORTRANGE(""https://docs.google.com/spreadsheets/d/1-uDff_7J0KD5mKrp0Vvzr7lt3OU09vwQwhkpOPPYv2Y/edit?usp=sharing"",""งบพรบ!IB78"")"),0)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IFERROR(__xludf.DUMMYFUNCTION("IMPORTRANGE(""https://docs.google.com/spreadsheets/d/1ItG2mGa2ceCfYo0BwxsXqNm01IGEUdYcSSLTEv9YCik/edit?usp=sharing"",""เบิกจ่ายกองทุน!AD78"")"),0)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IFERROR(__xludf.DUMMYFUNCTION("IMPORTRANGE(""https://docs.google.com/spreadsheets/d/1ItG2mGa2ceCfYo0BwxsXqNm01IGEUdYcSSLTEv9YCik/edit?usp=sharing"",""เบิกจ่ายกองทุน!AE78"")"),0)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IFERROR(__xludf.DUMMYFUNCTION("IMPORTRANGE(""https://docs.google.com/spreadsheets/d/1ItG2mGa2ceCfYo0BwxsXqNm01IGEUdYcSSLTEv9YCik/edit?usp=sharing"",""เบิกจ่ายกองทุน!AF78"")"),0)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IFERROR(__xludf.DUMMYFUNCTION("IMPORTRANGE(""https://docs.google.com/spreadsheets/d/1-uDff_7J0KD5mKrp0Vvzr7lt3OU09vwQwhkpOPPYv2Y/edit?usp=sharing"",""งบพรบ!HX78"")"),0)</f>
        <v>0</v>
      </c>
      <c r="M501" s="47">
        <f ca="1">IFERROR(__xludf.DUMMYFUNCTION("IMPORTRANGE(""https://docs.google.com/spreadsheets/d/1-uDff_7J0KD5mKrp0Vvzr7lt3OU09vwQwhkpOPPYv2Y/edit?usp=sharing"",""งบพรบ!IA78"")"),0)</f>
        <v>0</v>
      </c>
      <c r="N501" s="47">
        <f ca="1">IFERROR(__xludf.DUMMYFUNCTION("IMPORTRANGE(""https://docs.google.com/spreadsheets/d/1-uDff_7J0KD5mKrp0Vvzr7lt3OU09vwQwhkpOPPYv2Y/edit?usp=sharing"",""งบพรบ!IC78"")"),0)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IFERROR(__xludf.DUMMYFUNCTION("IMPORTRANGE(""https://docs.google.com/spreadsheets/d/1eHaY18a8A9IcSdp1K8H6x8fbOy06t2VsZHhMHf-1x7Y/edit?usp=sharing"",""แผน!GX78"")"),0)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IFERROR(__xludf.DUMMYFUNCTION("IMPORTRANGE(""https://docs.google.com/spreadsheets/d/1eHaY18a8A9IcSdp1K8H6x8fbOy06t2VsZHhMHf-1x7Y/edit?usp=sharing"",""แผน!GY78"")"),0)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IFERROR(__xludf.DUMMYFUNCTION("IMPORTRANGE(""https://docs.google.com/spreadsheets/d/1eHaY18a8A9IcSdp1K8H6x8fbOy06t2VsZHhMHf-1x7Y/edit?usp=sharing"",""แผน!GZ78"")"),0)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IFERROR(__xludf.DUMMYFUNCTION("IMPORTRANGE(""https://docs.google.com/spreadsheets/d/1eHaY18a8A9IcSdp1K8H6x8fbOy06t2VsZHhMHf-1x7Y/edit?usp=sharing"",""แผน!HA78"")"),0)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IFERROR(__xludf.DUMMYFUNCTION("IMPORTRANGE(""https://docs.google.com/spreadsheets/d/1eHaY18a8A9IcSdp1K8H6x8fbOy06t2VsZHhMHf-1x7Y/edit?usp=sharing"",""แผน!HB78"")"),0)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IFERROR(__xludf.DUMMYFUNCTION("IMPORTRANGE(""https://docs.google.com/spreadsheets/d/1eHaY18a8A9IcSdp1K8H6x8fbOy06t2VsZHhMHf-1x7Y/edit?usp=sharing"",""แผน!HC78"")"),0)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6"/>
      <c r="M510" s="835"/>
      <c r="N510" s="835"/>
      <c r="O510" s="835"/>
      <c r="P510" s="835"/>
      <c r="Q510" s="835"/>
      <c r="R510" s="835"/>
      <c r="S510" s="835"/>
      <c r="T510" s="835"/>
      <c r="U510" s="835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IFERROR(__xludf.DUMMYFUNCTION("IMPORTRANGE(""https://docs.google.com/spreadsheets/d/1-uDff_7J0KD5mKrp0Vvzr7lt3OU09vwQwhkpOPPYv2Y/edit?usp=sharing"",""งบพรบ!FM78"")"),0)</f>
        <v>0</v>
      </c>
      <c r="M518" s="47">
        <f ca="1">IFERROR(__xludf.DUMMYFUNCTION("IMPORTRANGE(""https://docs.google.com/spreadsheets/d/1-uDff_7J0KD5mKrp0Vvzr7lt3OU09vwQwhkpOPPYv2Y/edit?usp=sharing"",""งบพรบ!FR78"")"),0)</f>
        <v>0</v>
      </c>
      <c r="N518" s="47">
        <f ca="1">IFERROR(__xludf.DUMMYFUNCTION("IMPORTRANGE(""https://docs.google.com/spreadsheets/d/1-uDff_7J0KD5mKrp0Vvzr7lt3OU09vwQwhkpOPPYv2Y/edit?usp=sharing"",""งบพรบ!FT78"")"),0)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IFERROR(__xludf.DUMMYFUNCTION("IMPORTRANGE(""https://docs.google.com/spreadsheets/d/1-uDff_7J0KD5mKrp0Vvzr7lt3OU09vwQwhkpOPPYv2Y/edit?usp=sharing"",""งบพรบ!FP78"")"),0)</f>
        <v>0</v>
      </c>
      <c r="M521" s="47">
        <f ca="1">IFERROR(__xludf.DUMMYFUNCTION("IMPORTRANGE(""https://docs.google.com/spreadsheets/d/1-uDff_7J0KD5mKrp0Vvzr7lt3OU09vwQwhkpOPPYv2Y/edit?usp=sharing"",""งบพรบ!FS78"")"),0)</f>
        <v>0</v>
      </c>
      <c r="N521" s="47">
        <f ca="1">IFERROR(__xludf.DUMMYFUNCTION("IMPORTRANGE(""https://docs.google.com/spreadsheets/d/1-uDff_7J0KD5mKrp0Vvzr7lt3OU09vwQwhkpOPPYv2Y/edit?usp=sharing"",""งบพรบ!FU78"")"),0)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IFERROR(__xludf.DUMMYFUNCTION("IMPORTRANGE(""https://docs.google.com/spreadsheets/d/1-uDff_7J0KD5mKrp0Vvzr7lt3OU09vwQwhkpOPPYv2Y/edit?usp=sharing"",""งบพรบ!FW78"")"),0)</f>
        <v>0</v>
      </c>
      <c r="M539" s="47">
        <f ca="1">IFERROR(__xludf.DUMMYFUNCTION("IMPORTRANGE(""https://docs.google.com/spreadsheets/d/1-uDff_7J0KD5mKrp0Vvzr7lt3OU09vwQwhkpOPPYv2Y/edit?usp=sharing"",""งบพรบ!GB78"")"),0)</f>
        <v>0</v>
      </c>
      <c r="N539" s="47">
        <f ca="1">IFERROR(__xludf.DUMMYFUNCTION("IMPORTRANGE(""https://docs.google.com/spreadsheets/d/1-uDff_7J0KD5mKrp0Vvzr7lt3OU09vwQwhkpOPPYv2Y/edit?usp=sharing"",""งบพรบ!GD78"")"),0)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IFERROR(__xludf.DUMMYFUNCTION("IMPORTRANGE(""https://docs.google.com/spreadsheets/d/1-uDff_7J0KD5mKrp0Vvzr7lt3OU09vwQwhkpOPPYv2Y/edit?usp=sharing"",""งบพรบ!FZ78"")"),0)</f>
        <v>0</v>
      </c>
      <c r="M542" s="47">
        <f ca="1">IFERROR(__xludf.DUMMYFUNCTION("IMPORTRANGE(""https://docs.google.com/spreadsheets/d/1-uDff_7J0KD5mKrp0Vvzr7lt3OU09vwQwhkpOPPYv2Y/edit?usp=sharing"",""งบพรบ!GC78"")"),0)</f>
        <v>0</v>
      </c>
      <c r="N542" s="47">
        <f ca="1">IFERROR(__xludf.DUMMYFUNCTION("IMPORTRANGE(""https://docs.google.com/spreadsheets/d/1-uDff_7J0KD5mKrp0Vvzr7lt3OU09vwQwhkpOPPYv2Y/edit?usp=sharing"",""งบพรบ!GE78"")"),0)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IFERROR(__xludf.DUMMYFUNCTION("IMPORTRANGE(""https://docs.google.com/spreadsheets/d/1-uDff_7J0KD5mKrp0Vvzr7lt3OU09vwQwhkpOPPYv2Y/edit?usp=sharing"",""งบพรบ!GG78"")"),0)</f>
        <v>0</v>
      </c>
      <c r="M560" s="47">
        <f ca="1">IFERROR(__xludf.DUMMYFUNCTION("IMPORTRANGE(""https://docs.google.com/spreadsheets/d/1-uDff_7J0KD5mKrp0Vvzr7lt3OU09vwQwhkpOPPYv2Y/edit?usp=sharing"",""งบพรบ!GL78"")"),0)</f>
        <v>0</v>
      </c>
      <c r="N560" s="47">
        <f ca="1">IFERROR(__xludf.DUMMYFUNCTION("IMPORTRANGE(""https://docs.google.com/spreadsheets/d/1-uDff_7J0KD5mKrp0Vvzr7lt3OU09vwQwhkpOPPYv2Y/edit?usp=sharing"",""งบพรบ!GN78"")"),0)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IFERROR(__xludf.DUMMYFUNCTION("IMPORTRANGE(""https://docs.google.com/spreadsheets/d/1-uDff_7J0KD5mKrp0Vvzr7lt3OU09vwQwhkpOPPYv2Y/edit?usp=sharing"",""งบพรบ!GJ78"")"),0)</f>
        <v>0</v>
      </c>
      <c r="M563" s="47">
        <f ca="1">IFERROR(__xludf.DUMMYFUNCTION("IMPORTRANGE(""https://docs.google.com/spreadsheets/d/1-uDff_7J0KD5mKrp0Vvzr7lt3OU09vwQwhkpOPPYv2Y/edit?usp=sharing"",""งบพรบ!GM78"")"),0)</f>
        <v>0</v>
      </c>
      <c r="N563" s="47">
        <f ca="1">IFERROR(__xludf.DUMMYFUNCTION("IMPORTRANGE(""https://docs.google.com/spreadsheets/d/1-uDff_7J0KD5mKrp0Vvzr7lt3OU09vwQwhkpOPPYv2Y/edit?usp=sharing"",""งบพรบ!GO78"")"),0)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16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796469</v>
      </c>
      <c r="M576" s="132">
        <f ca="1">M577+M578</f>
        <v>796469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796469</v>
      </c>
      <c r="M578" s="47">
        <f ca="1">M581+M584</f>
        <v>796469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796469</v>
      </c>
      <c r="M579" s="47">
        <f ca="1">M580+M581</f>
        <v>796469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IFERROR(__xludf.DUMMYFUNCTION("IMPORTRANGE(""https://docs.google.com/spreadsheets/d/1-uDff_7J0KD5mKrp0Vvzr7lt3OU09vwQwhkpOPPYv2Y/edit?usp=sharing"",""งบพรบ!GQ78"")"),796469)</f>
        <v>796469</v>
      </c>
      <c r="M581" s="47">
        <f ca="1">IFERROR(__xludf.DUMMYFUNCTION("IMPORTRANGE(""https://docs.google.com/spreadsheets/d/1-uDff_7J0KD5mKrp0Vvzr7lt3OU09vwQwhkpOPPYv2Y/edit?usp=sharing"",""งบพรบ!GV78"")"),796469)</f>
        <v>796469</v>
      </c>
      <c r="N581" s="47">
        <f ca="1">IFERROR(__xludf.DUMMYFUNCTION("IMPORTRANGE(""https://docs.google.com/spreadsheets/d/1-uDff_7J0KD5mKrp0Vvzr7lt3OU09vwQwhkpOPPYv2Y/edit?usp=sharing"",""งบพรบ!GX78"")"),0)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IFERROR(__xludf.DUMMYFUNCTION("IMPORTRANGE(""https://docs.google.com/spreadsheets/d/1-uDff_7J0KD5mKrp0Vvzr7lt3OU09vwQwhkpOPPYv2Y/edit?usp=sharing"",""งบพรบ!GT78"")"),0)</f>
        <v>0</v>
      </c>
      <c r="M584" s="47">
        <f ca="1">IFERROR(__xludf.DUMMYFUNCTION("IMPORTRANGE(""https://docs.google.com/spreadsheets/d/1-uDff_7J0KD5mKrp0Vvzr7lt3OU09vwQwhkpOPPYv2Y/edit?usp=sharing"",""งบพรบ!GW78"")"),0)</f>
        <v>0</v>
      </c>
      <c r="N584" s="47">
        <f ca="1">IFERROR(__xludf.DUMMYFUNCTION("IMPORTRANGE(""https://docs.google.com/spreadsheets/d/1-uDff_7J0KD5mKrp0Vvzr7lt3OU09vwQwhkpOPPYv2Y/edit?usp=sharing"",""งบพรบ!GY78"")"),0)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2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16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860"/>
      <c r="B588" s="859"/>
      <c r="C588" s="859"/>
      <c r="D588" s="858"/>
      <c r="E588" s="858"/>
      <c r="F588" s="858"/>
      <c r="G588" s="857"/>
      <c r="H588" s="856"/>
      <c r="I588" s="855"/>
      <c r="J588" s="855"/>
      <c r="K588" s="853"/>
      <c r="L588" s="854"/>
      <c r="M588" s="853"/>
      <c r="N588" s="853"/>
      <c r="O588" s="853"/>
      <c r="P588" s="853"/>
      <c r="Q588" s="853"/>
      <c r="R588" s="853"/>
      <c r="S588" s="853"/>
      <c r="T588" s="853"/>
      <c r="U588" s="853"/>
    </row>
    <row r="589" spans="1:21" ht="12.75" hidden="1" x14ac:dyDescent="0.2">
      <c r="A589" s="860"/>
      <c r="B589" s="859"/>
      <c r="C589" s="859"/>
      <c r="D589" s="858"/>
      <c r="E589" s="858"/>
      <c r="F589" s="858"/>
      <c r="G589" s="857"/>
      <c r="H589" s="856"/>
      <c r="I589" s="855"/>
      <c r="J589" s="855"/>
      <c r="K589" s="853"/>
      <c r="L589" s="854"/>
      <c r="M589" s="853"/>
      <c r="N589" s="853"/>
      <c r="O589" s="853"/>
      <c r="P589" s="853"/>
      <c r="Q589" s="853"/>
      <c r="R589" s="853"/>
      <c r="S589" s="853"/>
      <c r="T589" s="853"/>
      <c r="U589" s="853"/>
    </row>
    <row r="590" spans="1:21" ht="12.75" hidden="1" x14ac:dyDescent="0.2">
      <c r="A590" s="860"/>
      <c r="B590" s="859"/>
      <c r="C590" s="859"/>
      <c r="D590" s="858"/>
      <c r="E590" s="858"/>
      <c r="F590" s="858"/>
      <c r="G590" s="857"/>
      <c r="H590" s="856"/>
      <c r="I590" s="855"/>
      <c r="J590" s="855"/>
      <c r="K590" s="853"/>
      <c r="L590" s="854"/>
      <c r="M590" s="853"/>
      <c r="N590" s="853"/>
      <c r="O590" s="853"/>
      <c r="P590" s="853"/>
      <c r="Q590" s="853"/>
      <c r="R590" s="853"/>
      <c r="S590" s="853"/>
      <c r="T590" s="853"/>
      <c r="U590" s="853"/>
    </row>
    <row r="591" spans="1:21" ht="12.75" hidden="1" x14ac:dyDescent="0.2">
      <c r="A591" s="860"/>
      <c r="B591" s="859"/>
      <c r="C591" s="859"/>
      <c r="D591" s="858"/>
      <c r="E591" s="858"/>
      <c r="F591" s="858"/>
      <c r="G591" s="857"/>
      <c r="H591" s="856"/>
      <c r="I591" s="855"/>
      <c r="J591" s="855"/>
      <c r="K591" s="853"/>
      <c r="L591" s="854"/>
      <c r="M591" s="853"/>
      <c r="N591" s="853"/>
      <c r="O591" s="853"/>
      <c r="P591" s="853"/>
      <c r="Q591" s="853"/>
      <c r="R591" s="853"/>
      <c r="S591" s="853"/>
      <c r="T591" s="853"/>
      <c r="U591" s="853"/>
    </row>
    <row r="592" spans="1:21" ht="12.75" hidden="1" x14ac:dyDescent="0.2">
      <c r="A592" s="860"/>
      <c r="B592" s="859"/>
      <c r="C592" s="859"/>
      <c r="D592" s="858"/>
      <c r="E592" s="858"/>
      <c r="F592" s="858"/>
      <c r="G592" s="857"/>
      <c r="H592" s="856"/>
      <c r="I592" s="855"/>
      <c r="J592" s="855"/>
      <c r="K592" s="853"/>
      <c r="L592" s="854"/>
      <c r="M592" s="853"/>
      <c r="N592" s="853"/>
      <c r="O592" s="853"/>
      <c r="P592" s="853"/>
      <c r="Q592" s="853"/>
      <c r="R592" s="853"/>
      <c r="S592" s="853"/>
      <c r="T592" s="853"/>
      <c r="U592" s="853"/>
    </row>
    <row r="593" spans="1:21" ht="12.75" hidden="1" x14ac:dyDescent="0.2">
      <c r="A593" s="860"/>
      <c r="B593" s="859"/>
      <c r="C593" s="859"/>
      <c r="D593" s="858"/>
      <c r="E593" s="858"/>
      <c r="F593" s="858"/>
      <c r="G593" s="857"/>
      <c r="H593" s="856"/>
      <c r="I593" s="855"/>
      <c r="J593" s="855"/>
      <c r="K593" s="853"/>
      <c r="L593" s="854"/>
      <c r="M593" s="853"/>
      <c r="N593" s="853"/>
      <c r="O593" s="853"/>
      <c r="P593" s="853"/>
      <c r="Q593" s="853"/>
      <c r="R593" s="853"/>
      <c r="S593" s="853"/>
      <c r="T593" s="853"/>
      <c r="U593" s="853"/>
    </row>
    <row r="594" spans="1:21" ht="12.75" hidden="1" x14ac:dyDescent="0.2">
      <c r="A594" s="860"/>
      <c r="B594" s="859"/>
      <c r="C594" s="859"/>
      <c r="D594" s="858"/>
      <c r="E594" s="858"/>
      <c r="F594" s="858"/>
      <c r="G594" s="857"/>
      <c r="H594" s="856"/>
      <c r="I594" s="855"/>
      <c r="J594" s="855"/>
      <c r="K594" s="853"/>
      <c r="L594" s="854"/>
      <c r="M594" s="853"/>
      <c r="N594" s="853"/>
      <c r="O594" s="853"/>
      <c r="P594" s="853"/>
      <c r="Q594" s="853"/>
      <c r="R594" s="853"/>
      <c r="S594" s="853"/>
      <c r="T594" s="853"/>
      <c r="U594" s="853"/>
    </row>
    <row r="595" spans="1:21" ht="12.75" hidden="1" x14ac:dyDescent="0.2">
      <c r="A595" s="852"/>
      <c r="B595" s="851"/>
      <c r="C595" s="851"/>
      <c r="D595" s="850"/>
      <c r="E595" s="850"/>
      <c r="F595" s="850"/>
      <c r="G595" s="849"/>
      <c r="H595" s="848"/>
      <c r="I595" s="847"/>
      <c r="J595" s="847"/>
      <c r="K595" s="845"/>
      <c r="L595" s="846"/>
      <c r="M595" s="845"/>
      <c r="N595" s="845"/>
      <c r="O595" s="845"/>
      <c r="P595" s="845"/>
      <c r="Q595" s="845"/>
      <c r="R595" s="845"/>
      <c r="S595" s="845"/>
      <c r="T595" s="845"/>
      <c r="U595" s="845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417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13068</v>
      </c>
      <c r="M599" s="421">
        <f ca="1">M600+M601</f>
        <v>13068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13068</v>
      </c>
      <c r="M601" s="331">
        <f ca="1">M604+M607</f>
        <v>13068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0">
        <f ca="1">L603+L604</f>
        <v>13068</v>
      </c>
      <c r="M602" s="331">
        <f ca="1">M603+M604</f>
        <v>13068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IFERROR(__xludf.DUMMYFUNCTION("IMPORTRANGE(""https://docs.google.com/spreadsheets/d/1-uDff_7J0KD5mKrp0Vvzr7lt3OU09vwQwhkpOPPYv2Y/edit?usp=sharing"",""งบพรบ!HK78"")"),13068)</f>
        <v>13068</v>
      </c>
      <c r="M604" s="331">
        <f ca="1">IFERROR(__xludf.DUMMYFUNCTION("IMPORTRANGE(""https://docs.google.com/spreadsheets/d/1-uDff_7J0KD5mKrp0Vvzr7lt3OU09vwQwhkpOPPYv2Y/edit?usp=sharing"",""งบพรบ!HP78"")"),13068)</f>
        <v>13068</v>
      </c>
      <c r="N604" s="331">
        <f ca="1">IFERROR(__xludf.DUMMYFUNCTION("IMPORTRANGE(""https://docs.google.com/spreadsheets/d/1-uDff_7J0KD5mKrp0Vvzr7lt3OU09vwQwhkpOPPYv2Y/edit?usp=sharing"",""งบพรบ!HR78"")"),0)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IFERROR(__xludf.DUMMYFUNCTION("IMPORTRANGE(""https://docs.google.com/spreadsheets/d/1ItG2mGa2ceCfYo0BwxsXqNm01IGEUdYcSSLTEv9YCik/edit?usp=sharing"",""เบิกจ่ายกองทุน!AV78"")"),0)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IFERROR(__xludf.DUMMYFUNCTION("IMPORTRANGE(""https://docs.google.com/spreadsheets/d/1ItG2mGa2ceCfYo0BwxsXqNm01IGEUdYcSSLTEv9YCik/edit?usp=sharing"",""เบิกจ่ายกองทุน!AW78"")"),0)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IFERROR(__xludf.DUMMYFUNCTION("IMPORTRANGE(""https://docs.google.com/spreadsheets/d/1ItG2mGa2ceCfYo0BwxsXqNm01IGEUdYcSSLTEv9YCik/edit?usp=sharing"",""เบิกจ่ายกองทุน!AX78"")"),0)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0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0">
        <f ca="1">IFERROR(__xludf.DUMMYFUNCTION("IMPORTRANGE(""https://docs.google.com/spreadsheets/d/1-uDff_7J0KD5mKrp0Vvzr7lt3OU09vwQwhkpOPPYv2Y/edit?usp=sharing"",""งบพรบ!HN78"")"),0)</f>
        <v>0</v>
      </c>
      <c r="M607" s="331">
        <f ca="1">IFERROR(__xludf.DUMMYFUNCTION("IMPORTRANGE(""https://docs.google.com/spreadsheets/d/1-uDff_7J0KD5mKrp0Vvzr7lt3OU09vwQwhkpOPPYv2Y/edit?usp=sharing"",""งบพรบ!HQ78"")"),0)</f>
        <v>0</v>
      </c>
      <c r="N607" s="331">
        <f ca="1">IFERROR(__xludf.DUMMYFUNCTION("IMPORTRANGE(""https://docs.google.com/spreadsheets/d/1-uDff_7J0KD5mKrp0Vvzr7lt3OU09vwQwhkpOPPYv2Y/edit?usp=sharing"",""งบพรบ!HS78"")"),0)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IFERROR(__xludf.DUMMYFUNCTION("IMPORTRANGE(""https://docs.google.com/spreadsheets/d/1ItG2mGa2ceCfYo0BwxsXqNm01IGEUdYcSSLTEv9YCik/edit?usp=sharing"",""เบิกจ่ายกองทุน!AY78"")"),0)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IFERROR(__xludf.DUMMYFUNCTION("IMPORTRANGE(""https://docs.google.com/spreadsheets/d/1ItG2mGa2ceCfYo0BwxsXqNm01IGEUdYcSSLTEv9YCik/edit?usp=sharing"",""เบิกจ่ายกองทุน!AZ78"")"),0)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IFERROR(__xludf.DUMMYFUNCTION("IMPORTRANGE(""https://docs.google.com/spreadsheets/d/1ItG2mGa2ceCfYo0BwxsXqNm01IGEUdYcSSLTEv9YCik/edit?usp=sharing"",""เบิกจ่ายกองทุน!BA78"")"),0)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3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100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12675</v>
      </c>
      <c r="R616" s="132">
        <f ca="1">R617+R618</f>
        <v>12675</v>
      </c>
      <c r="S616" s="132">
        <f ca="1">S617+S618</f>
        <v>1619</v>
      </c>
      <c r="T616" s="132">
        <f ca="1">IF(Q616&gt;0,S616*100/Q616,0)</f>
        <v>12.773175542406312</v>
      </c>
      <c r="U616" s="132">
        <f ca="1">IF(R616&gt;0,S616*100/R616,0)</f>
        <v>12.773175542406312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12675</v>
      </c>
      <c r="R618" s="47">
        <f ca="1">R621+R624</f>
        <v>12675</v>
      </c>
      <c r="S618" s="47">
        <f ca="1">S621+S624</f>
        <v>1619</v>
      </c>
      <c r="T618" s="47">
        <f ca="1">IF(Q618&gt;0,S618*100/Q618,0)</f>
        <v>12.773175542406312</v>
      </c>
      <c r="U618" s="47">
        <f ca="1">IF(R618&gt;0,S618*100/R618,0)</f>
        <v>12.773175542406312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12675</v>
      </c>
      <c r="R619" s="47">
        <f ca="1">R620+R621</f>
        <v>12675</v>
      </c>
      <c r="S619" s="47">
        <f ca="1">S620+S621</f>
        <v>1619</v>
      </c>
      <c r="T619" s="47">
        <f ca="1">IF(Q619&gt;0,S619*100/Q619,0)</f>
        <v>12.773175542406312</v>
      </c>
      <c r="U619" s="47">
        <f ca="1">IF(R619&gt;0,S619*100/R619,0)</f>
        <v>12.773175542406312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IFERROR(__xludf.DUMMYFUNCTION("IMPORTRANGE(""https://docs.google.com/spreadsheets/d/1ItG2mGa2ceCfYo0BwxsXqNm01IGEUdYcSSLTEv9YCik/edit?usp=sharing"",""เบิกจ่ายกองทุน!F78"")"),12675)</f>
        <v>12675</v>
      </c>
      <c r="R621" s="47">
        <f ca="1">IFERROR(__xludf.DUMMYFUNCTION("IMPORTRANGE(""https://docs.google.com/spreadsheets/d/1ItG2mGa2ceCfYo0BwxsXqNm01IGEUdYcSSLTEv9YCik/edit?usp=sharing"",""เบิกจ่ายกองทุน!G78"")"),12675)</f>
        <v>12675</v>
      </c>
      <c r="S621" s="47">
        <f ca="1">IFERROR(__xludf.DUMMYFUNCTION("IMPORTRANGE(""https://docs.google.com/spreadsheets/d/1ItG2mGa2ceCfYo0BwxsXqNm01IGEUdYcSSLTEv9YCik/edit?usp=sharing"",""เบิกจ่ายกองทุน!H78"")"),1619)</f>
        <v>1619</v>
      </c>
      <c r="T621" s="47">
        <f ca="1">IF(Q621&gt;0,S621*100/Q621,0)</f>
        <v>12.773175542406312</v>
      </c>
      <c r="U621" s="47">
        <f ca="1">IF(R621&gt;0,S621*100/R621,0)</f>
        <v>12.773175542406312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IFERROR(__xludf.DUMMYFUNCTION("IMPORTRANGE(""https://docs.google.com/spreadsheets/d/1eHaY18a8A9IcSdp1K8H6x8fbOy06t2VsZHhMHf-1x7Y/edit?usp=sharing"",""แผน!ID78"")"),100)</f>
        <v>100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IFERROR(__xludf.DUMMYFUNCTION("IMPORTRANGE(""https://docs.google.com/spreadsheets/d/1eHaY18a8A9IcSdp1K8H6x8fbOy06t2VsZHhMHf-1x7Y/edit?usp=sharing"",""แผน!IC78"")"),1)</f>
        <v>1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IFERROR(__xludf.DUMMYFUNCTION("IMPORTRANGE(""https://docs.google.com/spreadsheets/d/1eHaY18a8A9IcSdp1K8H6x8fbOy06t2VsZHhMHf-1x7Y/edit?usp=sharing"",""แผน!IC78"")"),1)</f>
        <v>1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IFERROR(__xludf.DUMMYFUNCTION("IMPORTRANGE(""https://docs.google.com/spreadsheets/d/1eHaY18a8A9IcSdp1K8H6x8fbOy06t2VsZHhMHf-1x7Y/edit?usp=sharing"",""แผน!IE78"")"),0)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IFERROR(__xludf.DUMMYFUNCTION("IMPORTRANGE(""https://docs.google.com/spreadsheets/d/1ItG2mGa2ceCfYo0BwxsXqNm01IGEUdYcSSLTEv9YCik/edit?usp=sharing"",""เบิกจ่ายกองทุน!I78"")"),0)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IFERROR(__xludf.DUMMYFUNCTION("IMPORTRANGE(""https://docs.google.com/spreadsheets/d/1ItG2mGa2ceCfYo0BwxsXqNm01IGEUdYcSSLTEv9YCik/edit?usp=sharing"",""เบิกจ่ายกองทุน!J78"")"),0)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IFERROR(__xludf.DUMMYFUNCTION("IMPORTRANGE(""https://docs.google.com/spreadsheets/d/1ItG2mGa2ceCfYo0BwxsXqNm01IGEUdYcSSLTEv9YCik/edit?usp=sharing"",""เบิกจ่ายกองทุน!K78"")"),0)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IFERROR(__xludf.DUMMYFUNCTION("IMPORTRANGE(""https://docs.google.com/spreadsheets/d/1eHaY18a8A9IcSdp1K8H6x8fbOy06t2VsZHhMHf-1x7Y/edit?usp=sharing"",""แผน!IF78"")"),0)</f>
        <v>0</v>
      </c>
      <c r="J652" s="152">
        <f ca="1">IFERROR(__xludf.DUMMYFUNCTION("IMPORTRANGE(""https://docs.google.com/spreadsheets/d/1tdoBKaGub7dwA3U6UFTqxio9LNnvDCQjHKmttSEBsFQ/edit?usp=sharing"",""จัดที่ดิน!AU78"")"),0)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IFERROR(__xludf.DUMMYFUNCTION("IMPORTRANGE(""https://docs.google.com/spreadsheets/d/1eHaY18a8A9IcSdp1K8H6x8fbOy06t2VsZHhMHf-1x7Y/edit?usp=sharing"",""แผน!IG78"")"),0)</f>
        <v>0</v>
      </c>
      <c r="J653" s="152">
        <f ca="1">IFERROR(__xludf.DUMMYFUNCTION("IMPORTRANGE(""https://docs.google.com/spreadsheets/d/1tdoBKaGub7dwA3U6UFTqxio9LNnvDCQjHKmttSEBsFQ/edit?usp=sharing"",""จัดที่ดิน!AW78"")"),0)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IFERROR(__xludf.DUMMYFUNCTION("IMPORTRANGE(""https://docs.google.com/spreadsheets/d/1eHaY18a8A9IcSdp1K8H6x8fbOy06t2VsZHhMHf-1x7Y/edit?usp=sharing"",""แผน!IH78"")"),0)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IFERROR(__xludf.DUMMYFUNCTION("IMPORTRANGE(""https://docs.google.com/spreadsheets/d/1eHaY18a8A9IcSdp1K8H6x8fbOy06t2VsZHhMHf-1x7Y/edit?usp=sharing"",""แผน!II78"")"),0)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IFERROR(__xludf.DUMMYFUNCTION("IMPORTRANGE(""https://docs.google.com/spreadsheets/d/1eHaY18a8A9IcSdp1K8H6x8fbOy06t2VsZHhMHf-1x7Y/edit?usp=sharing"",""แผน!IJ78"")"),0)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IFERROR(__xludf.DUMMYFUNCTION("IMPORTRANGE(""https://docs.google.com/spreadsheets/d/1eHaY18a8A9IcSdp1K8H6x8fbOy06t2VsZHhMHf-1x7Y/edit?usp=sharing"",""แผน!IK78"")"),0)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IFERROR(__xludf.DUMMYFUNCTION("IMPORTRANGE(""https://docs.google.com/spreadsheets/d/1tdoBKaGub7dwA3U6UFTqxio9LNnvDCQjHKmttSEBsFQ/edit?usp=sharing"",""จัดที่ดิน!AY78"")"),0)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IFERROR(__xludf.DUMMYFUNCTION("IMPORTRANGE(""https://docs.google.com/spreadsheets/d/1tdoBKaGub7dwA3U6UFTqxio9LNnvDCQjHKmttSEBsFQ/edit?usp=sharing"",""จัดที่ดิน!AZ78"")"),0)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IFERROR(__xludf.DUMMYFUNCTION("IMPORTRANGE(""https://docs.google.com/spreadsheets/d/1eHaY18a8A9IcSdp1K8H6x8fbOy06t2VsZHhMHf-1x7Y/edit?usp=sharing"",""แผน!IL78"")"),0)</f>
        <v>0</v>
      </c>
      <c r="J673" s="152">
        <f ca="1">IFERROR(__xludf.DUMMYFUNCTION("IMPORTRANGE(""https://docs.google.com/spreadsheets/d/1tdoBKaGub7dwA3U6UFTqxio9LNnvDCQjHKmttSEBsFQ/edit?usp=sharing"",""จัดที่ดิน!BA78"")"),0)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IFERROR(__xludf.DUMMYFUNCTION("IMPORTRANGE(""https://docs.google.com/spreadsheets/d/1eHaY18a8A9IcSdp1K8H6x8fbOy06t2VsZHhMHf-1x7Y/edit?usp=sharing"",""แผน!IM78"")"),0)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IFERROR(__xludf.DUMMYFUNCTION("IMPORTRANGE(""https://docs.google.com/spreadsheets/d/1eHaY18a8A9IcSdp1K8H6x8fbOy06t2VsZHhMHf-1x7Y/edit?usp=sharing"",""แผน!IN78"")"),0)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IFERROR(__xludf.DUMMYFUNCTION("IMPORTRANGE(""https://docs.google.com/spreadsheets/d/1eHaY18a8A9IcSdp1K8H6x8fbOy06t2VsZHhMHf-1x7Y/edit?usp=sharing"",""แผน!IO78"")"),0)</f>
        <v>0</v>
      </c>
      <c r="J676" s="152">
        <f ca="1">IFERROR(__xludf.DUMMYFUNCTION("IMPORTRANGE(""https://docs.google.com/spreadsheets/d/1tdoBKaGub7dwA3U6UFTqxio9LNnvDCQjHKmttSEBsFQ/edit?usp=sharing"",""จัดที่ดิน!BF78"")"),0)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IFERROR(__xludf.DUMMYFUNCTION("IMPORTRANGE(""https://docs.google.com/spreadsheets/d/1tdoBKaGub7dwA3U6UFTqxio9LNnvDCQjHKmttSEBsFQ/edit?usp=sharing"",""จัดที่ดิน!BG78"")"),0)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IFERROR(__xludf.DUMMYFUNCTION("IMPORTRANGE(""https://docs.google.com/spreadsheets/d/1eHaY18a8A9IcSdp1K8H6x8fbOy06t2VsZHhMHf-1x7Y/edit?usp=sharing"",""แผน!IP78"")"),0)</f>
        <v>0</v>
      </c>
      <c r="J678" s="152">
        <f ca="1">IFERROR(__xludf.DUMMYFUNCTION("IMPORTRANGE(""https://docs.google.com/spreadsheets/d/1tdoBKaGub7dwA3U6UFTqxio9LNnvDCQjHKmttSEBsFQ/edit?usp=sharing"",""จัดที่ดิน!BH78"")"),0)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IFERROR(__xludf.DUMMYFUNCTION("IMPORTRANGE(""https://docs.google.com/spreadsheets/d/1eHaY18a8A9IcSdp1K8H6x8fbOy06t2VsZHhMHf-1x7Y/edit?usp=sharing"",""แผน!IQ78"")"),0)</f>
        <v>0</v>
      </c>
      <c r="J679" s="152">
        <f ca="1">IFERROR(__xludf.DUMMYFUNCTION("IMPORTRANGE(""https://docs.google.com/spreadsheets/d/1tdoBKaGub7dwA3U6UFTqxio9LNnvDCQjHKmttSEBsFQ/edit?usp=sharing"",""จัดที่ดิน!BK78"")"),0)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IFERROR(__xludf.DUMMYFUNCTION("IMPORTRANGE(""https://docs.google.com/spreadsheets/d/1tdoBKaGub7dwA3U6UFTqxio9LNnvDCQjHKmttSEBsFQ/edit?usp=sharing"",""จัดที่ดิน!BL78"")"),0)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IFERROR(__xludf.DUMMYFUNCTION("IMPORTRANGE(""https://docs.google.com/spreadsheets/d/1eHaY18a8A9IcSdp1K8H6x8fbOy06t2VsZHhMHf-1x7Y/edit?usp=sharing"",""แผน!IR78"")"),0)</f>
        <v>0</v>
      </c>
      <c r="J681" s="152">
        <f ca="1">IFERROR(__xludf.DUMMYFUNCTION("IMPORTRANGE(""https://docs.google.com/spreadsheets/d/1tdoBKaGub7dwA3U6UFTqxio9LNnvDCQjHKmttSEBsFQ/edit?usp=sharing"",""จัดที่ดิน!BM78"")"),0)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IFERROR(__xludf.DUMMYFUNCTION("IMPORTRANGE(""https://docs.google.com/spreadsheets/d/1eHaY18a8A9IcSdp1K8H6x8fbOy06t2VsZHhMHf-1x7Y/edit?usp=sharing"",""แผน!IS78"")"),0)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482" t="s">
        <v>35</v>
      </c>
      <c r="I689" s="483">
        <f ca="1">I707</f>
        <v>45</v>
      </c>
      <c r="J689" s="483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178410</v>
      </c>
      <c r="R690" s="132">
        <f ca="1">R691+R692</f>
        <v>178410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178410</v>
      </c>
      <c r="R692" s="47">
        <f ca="1">R695+R698</f>
        <v>178410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178410</v>
      </c>
      <c r="R693" s="47">
        <f ca="1">R694+R695</f>
        <v>178410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IFERROR(__xludf.DUMMYFUNCTION("IMPORTRANGE(""https://docs.google.com/spreadsheets/d/1ItG2mGa2ceCfYo0BwxsXqNm01IGEUdYcSSLTEv9YCik/edit?usp=sharing"",""เบิกจ่ายกองทุน!L78"")"),178410)</f>
        <v>178410</v>
      </c>
      <c r="R695" s="47">
        <f ca="1">IFERROR(__xludf.DUMMYFUNCTION("IMPORTRANGE(""https://docs.google.com/spreadsheets/d/1ItG2mGa2ceCfYo0BwxsXqNm01IGEUdYcSSLTEv9YCik/edit?usp=sharing"",""เบิกจ่ายกองทุน!M78"")"),178410)</f>
        <v>178410</v>
      </c>
      <c r="S695" s="47">
        <f ca="1">IFERROR(__xludf.DUMMYFUNCTION("IMPORTRANGE(""https://docs.google.com/spreadsheets/d/1ItG2mGa2ceCfYo0BwxsXqNm01IGEUdYcSSLTEv9YCik/edit?usp=sharing"",""เบิกจ่ายกองทุน!N78"")"),0)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IFERROR(__xludf.DUMMYFUNCTION("IMPORTRANGE(""https://docs.google.com/spreadsheets/d/1eHaY18a8A9IcSdp1K8H6x8fbOy06t2VsZHhMHf-1x7Y/edit?usp=sharing"",""แผน!LC78"")"),0)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49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IFERROR(__xludf.DUMMYFUNCTION("IMPORTRANGE(""https://docs.google.com/spreadsheets/d/1eHaY18a8A9IcSdp1K8H6x8fbOy06t2VsZHhMHf-1x7Y/edit?usp=sharing"",""แผน!LJ78"")"),45)</f>
        <v>45</v>
      </c>
      <c r="J703" s="152">
        <f ca="1">IFERROR(__xludf.DUMMYFUNCTION("IMPORTRANGE(""https://docs.google.com/spreadsheets/d/1tdoBKaGub7dwA3U6UFTqxio9LNnvDCQjHKmttSEBsFQ/edit?usp=sharing"",""จัดที่ดิน!AP78"")"),0)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IFERROR(__xludf.DUMMYFUNCTION("IMPORTRANGE(""https://docs.google.com/spreadsheets/d/1tdoBKaGub7dwA3U6UFTqxio9LNnvDCQjHKmttSEBsFQ/edit?usp=sharing"",""จัดที่ดิน!AQ78"")"),0)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IFERROR(__xludf.DUMMYFUNCTION("IMPORTRANGE(""https://docs.google.com/spreadsheets/d/1eHaY18a8A9IcSdp1K8H6x8fbOy06t2VsZHhMHf-1x7Y/edit?usp=sharing"",""แผน!LK78"")"),4)</f>
        <v>4</v>
      </c>
      <c r="J705" s="152">
        <f ca="1">IFERROR(__xludf.DUMMYFUNCTION("IMPORTRANGE(""https://docs.google.com/spreadsheets/d/1tdoBKaGub7dwA3U6UFTqxio9LNnvDCQjHKmttSEBsFQ/edit?usp=sharing"",""จัดที่ดิน!AR78"")"),0)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IFERROR(__xludf.DUMMYFUNCTION("IMPORTRANGE(""https://docs.google.com/spreadsheets/d/1tdoBKaGub7dwA3U6UFTqxio9LNnvDCQjHKmttSEBsFQ/edit?usp=sharing"",""จัดที่ดิน!AS78"")"),0)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IFERROR(__xludf.DUMMYFUNCTION("IMPORTRANGE(""https://docs.google.com/spreadsheets/d/1eHaY18a8A9IcSdp1K8H6x8fbOy06t2VsZHhMHf-1x7Y/edit?usp=sharing"",""แผน!LJ78"")"),45)</f>
        <v>45</v>
      </c>
      <c r="J707" s="152">
        <f ca="1">IFERROR(__xludf.DUMMYFUNCTION("IMPORTRANGE(""https://docs.google.com/spreadsheets/d/1tdoBKaGub7dwA3U6UFTqxio9LNnvDCQjHKmttSEBsFQ/edit?usp=sharing"",""จัดที่ดิน!BN78"")"),0)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IFERROR(__xludf.DUMMYFUNCTION("IMPORTRANGE(""https://docs.google.com/spreadsheets/d/1tdoBKaGub7dwA3U6UFTqxio9LNnvDCQjHKmttSEBsFQ/edit?usp=sharing"",""จัดที่ดิน!BO78"")"),0)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IFERROR(__xludf.DUMMYFUNCTION("IMPORTRANGE(""https://docs.google.com/spreadsheets/d/1eHaY18a8A9IcSdp1K8H6x8fbOy06t2VsZHhMHf-1x7Y/edit?usp=sharing"",""แผน!LK78"")"),4)</f>
        <v>4</v>
      </c>
      <c r="J709" s="152">
        <f ca="1">IFERROR(__xludf.DUMMYFUNCTION("IMPORTRANGE(""https://docs.google.com/spreadsheets/d/1tdoBKaGub7dwA3U6UFTqxio9LNnvDCQjHKmttSEBsFQ/edit?usp=sharing"",""จัดที่ดิน!BP78"")"),3)</f>
        <v>3</v>
      </c>
      <c r="K709" s="47">
        <f ca="1">IF(I709&gt;0,J709*100/I709,0)</f>
        <v>75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IFERROR(__xludf.DUMMYFUNCTION("IMPORTRANGE(""https://docs.google.com/spreadsheets/d/1tdoBKaGub7dwA3U6UFTqxio9LNnvDCQjHKmttSEBsFQ/edit?usp=sharing"",""จัดที่ดิน!BQ78"")"),0)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IFERROR(__xludf.DUMMYFUNCTION("IMPORTRANGE(""https://docs.google.com/spreadsheets/d/1eHaY18a8A9IcSdp1K8H6x8fbOy06t2VsZHhMHf-1x7Y/edit?usp=sharing"",""แผน!GA78"")"),21)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IFERROR(__xludf.DUMMYFUNCTION("IMPORTRANGE(""https://docs.google.com/spreadsheets/d/1eHaY18a8A9IcSdp1K8H6x8fbOy06t2VsZHhMHf-1x7Y/edit?usp=sharing"",""แผน!FZ78"")"),200)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19670</v>
      </c>
      <c r="T728" s="132">
        <f ca="1">IF(Q728&gt;0,S728*100/Q728,0)</f>
        <v>11.176517381274362</v>
      </c>
      <c r="U728" s="132">
        <f ca="1">IF(R728&gt;0,S728*100/R728,0)</f>
        <v>11.176517381274362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19670</v>
      </c>
      <c r="T730" s="47">
        <f ca="1">IF(Q730&gt;0,S730*100/Q730,0)</f>
        <v>11.176517381274362</v>
      </c>
      <c r="U730" s="47">
        <f ca="1">IF(R730&gt;0,S730*100/R730,0)</f>
        <v>11.176517381274362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19670</v>
      </c>
      <c r="T731" s="47">
        <f ca="1">IF(Q731&gt;0,S731*100/Q731,0)</f>
        <v>11.176517381274362</v>
      </c>
      <c r="U731" s="47">
        <f ca="1">IF(R731&gt;0,S731*100/R731,0)</f>
        <v>11.176517381274362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IFERROR(__xludf.DUMMYFUNCTION("IMPORTRANGE(""https://docs.google.com/spreadsheets/d/1ItG2mGa2ceCfYo0BwxsXqNm01IGEUdYcSSLTEv9YCik/edit?usp=sharing"",""เบิกจ่ายกองทุน!O78"")"),175994)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IFERROR(__xludf.DUMMYFUNCTION("IMPORTRANGE(""https://docs.google.com/spreadsheets/d/1ItG2mGa2ceCfYo0BwxsXqNm01IGEUdYcSSLTEv9YCik/edit?usp=sharing"",""เบิกจ่ายกองทุน!P78"")"),175994)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IFERROR(__xludf.DUMMYFUNCTION("IMPORTRANGE(""https://docs.google.com/spreadsheets/d/1ItG2mGa2ceCfYo0BwxsXqNm01IGEUdYcSSLTEv9YCik/edit?usp=sharing"",""เบิกจ่ายกองทุน!Q78"")"),19670)</f>
        <v>19670</v>
      </c>
      <c r="T733" s="47">
        <f ca="1">IF(Q733&gt;0,S733*100/Q733,0)</f>
        <v>11.176517381274362</v>
      </c>
      <c r="U733" s="47">
        <f ca="1">IF(R733&gt;0,S733*100/R733,0)</f>
        <v>11.176517381274362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IFERROR(__xludf.DUMMYFUNCTION("IMPORTRANGE(""https://docs.google.com/spreadsheets/d/1eHaY18a8A9IcSdp1K8H6x8fbOy06t2VsZHhMHf-1x7Y/edit?usp=sharing"",""แผน!GB78"")"),160)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IFERROR(__xludf.DUMMYFUNCTION("IMPORTRANGE(""https://docs.google.com/spreadsheets/d/1eHaY18a8A9IcSdp1K8H6x8fbOy06t2VsZHhMHf-1x7Y/edit?usp=sharing"",""แผน!GC78"")"),16)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IFERROR(__xludf.DUMMYFUNCTION("IMPORTRANGE(""https://docs.google.com/spreadsheets/d/1eHaY18a8A9IcSdp1K8H6x8fbOy06t2VsZHhMHf-1x7Y/edit?usp=sharing"",""แผน!GD78"")"),40)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IFERROR(__xludf.DUMMYFUNCTION("IMPORTRANGE(""https://docs.google.com/spreadsheets/d/1eHaY18a8A9IcSdp1K8H6x8fbOy06t2VsZHhMHf-1x7Y/edit?usp=sharing"",""แผน!GE78"")"),4)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IFERROR(__xludf.DUMMYFUNCTION("IMPORTRANGE(""https://docs.google.com/spreadsheets/d/1eHaY18a8A9IcSdp1K8H6x8fbOy06t2VsZHhMHf-1x7Y/edit?usp=sharing"",""แผน!GF78"")"),1)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IFERROR(__xludf.DUMMYFUNCTION("IMPORTRANGE(""https://docs.google.com/spreadsheets/d/1eHaY18a8A9IcSdp1K8H6x8fbOy06t2VsZHhMHf-1x7Y/edit?usp=sharing"",""แผน!GB78"")"),160)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IFERROR(__xludf.DUMMYFUNCTION("IMPORTRANGE(""https://docs.google.com/spreadsheets/d/1eHaY18a8A9IcSdp1K8H6x8fbOy06t2VsZHhMHf-1x7Y/edit?usp=sharing"",""แผน!GD78"")"),40)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IFERROR(__xludf.DUMMYFUNCTION("IMPORTRANGE(""https://docs.google.com/spreadsheets/d/1ItG2mGa2ceCfYo0BwxsXqNm01IGEUdYcSSLTEv9YCik/edit?usp=sharing"",""เบิกจ่ายกองทุน!AA78"")"),0)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IFERROR(__xludf.DUMMYFUNCTION("IMPORTRANGE(""https://docs.google.com/spreadsheets/d/1ItG2mGa2ceCfYo0BwxsXqNm01IGEUdYcSSLTEv9YCik/edit?usp=sharing"",""เบิกจ่ายกองทุน!AB78"")"),0)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IFERROR(__xludf.DUMMYFUNCTION("IMPORTRANGE(""https://docs.google.com/spreadsheets/d/1ItG2mGa2ceCfYo0BwxsXqNm01IGEUdYcSSLTEv9YCik/edit?usp=sharing"",""เบิกจ่ายกองทุน!AC78"")"),0)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IFERROR(__xludf.DUMMYFUNCTION("IMPORTRANGE(""https://docs.google.com/spreadsheets/d/1eHaY18a8A9IcSdp1K8H6x8fbOy06t2VsZHhMHf-1x7Y/edit?usp=sharing"",""แผน!FI78"")"),0)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IFERROR(__xludf.DUMMYFUNCTION("IMPORTRANGE(""https://docs.google.com/spreadsheets/d/1eHaY18a8A9IcSdp1K8H6x8fbOy06t2VsZHhMHf-1x7Y/edit?usp=sharing"",""แผน!FQ78"")"),0)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IFERROR(__xludf.DUMMYFUNCTION("IMPORTRANGE(""https://docs.google.com/spreadsheets/d/1eHaY18a8A9IcSdp1K8H6x8fbOy06t2VsZHhMHf-1x7Y/edit?usp=sharing"",""แผน!FR78"")"),0)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IFERROR(__xludf.DUMMYFUNCTION("IMPORTRANGE(""https://docs.google.com/spreadsheets/d/1eHaY18a8A9IcSdp1K8H6x8fbOy06t2VsZHhMHf-1x7Y/edit?usp=sharing"",""แผน!FS78"")"),0)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IFERROR(__xludf.DUMMYFUNCTION("IMPORTRANGE(""https://docs.google.com/spreadsheets/d/1eHaY18a8A9IcSdp1K8H6x8fbOy06t2VsZHhMHf-1x7Y/edit?usp=sharing"",""แผน!FT78"")"),0)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IFERROR(__xludf.DUMMYFUNCTION("IMPORTRANGE(""https://docs.google.com/spreadsheets/d/10OvvATaaLtwErnr3qtWFcTmtbfpFEt5Bsqel9sXx0uE/edit?usp=sharing"",""งานกองทุน!D78"")"),2182922.15)</f>
        <v>2182922.15</v>
      </c>
      <c r="J778" s="152">
        <f ca="1">IFERROR(__xludf.DUMMYFUNCTION("IMPORTRANGE(""https://docs.google.com/spreadsheets/d/10OvvATaaLtwErnr3qtWFcTmtbfpFEt5Bsqel9sXx0uE/edit?usp=sharing"",""งานกองทุน!F78"")"),1341265.28)</f>
        <v>1341265.28</v>
      </c>
      <c r="K778" s="47">
        <f ca="1">IF(I778&gt;0,J778*100/I778,0)</f>
        <v>61.443569116745643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IFERROR(__xludf.DUMMYFUNCTION("IMPORTRANGE(""https://docs.google.com/spreadsheets/d/10OvvATaaLtwErnr3qtWFcTmtbfpFEt5Bsqel9sXx0uE/edit?usp=sharing"",""งานกองทุน!C78"")"),123)</f>
        <v>123</v>
      </c>
      <c r="J779" s="152">
        <f ca="1">IFERROR(__xludf.DUMMYFUNCTION("IMPORTRANGE(""https://docs.google.com/spreadsheets/d/10OvvATaaLtwErnr3qtWFcTmtbfpFEt5Bsqel9sXx0uE/edit?usp=sharing"",""งานกองทุน!E78"")"),83)</f>
        <v>83</v>
      </c>
      <c r="K779" s="47">
        <f ca="1">IF(I779&gt;0,J779*100/I779,0)</f>
        <v>67.479674796747972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IFERROR(__xludf.DUMMYFUNCTION("IMPORTRANGE(""https://docs.google.com/spreadsheets/d/10OvvATaaLtwErnr3qtWFcTmtbfpFEt5Bsqel9sXx0uE/edit?usp=sharing"",""งานกองทุน!I78"")"),2311561.09)</f>
        <v>2311561.09</v>
      </c>
      <c r="J780" s="152">
        <f ca="1">IFERROR(__xludf.DUMMYFUNCTION("IMPORTRANGE(""https://docs.google.com/spreadsheets/d/10OvvATaaLtwErnr3qtWFcTmtbfpFEt5Bsqel9sXx0uE/edit?usp=sharing"",""งานกองทุน!K78"")"),331861.74)</f>
        <v>331861.74</v>
      </c>
      <c r="K780" s="47">
        <f ca="1">IF(I780&gt;0,J780*100/I780,0)</f>
        <v>14.356606945655068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IFERROR(__xludf.DUMMYFUNCTION("IMPORTRANGE(""https://docs.google.com/spreadsheets/d/10OvvATaaLtwErnr3qtWFcTmtbfpFEt5Bsqel9sXx0uE/edit?usp=sharing"",""งานกองทุน!H78"")"),99)</f>
        <v>99</v>
      </c>
      <c r="J781" s="152">
        <f ca="1">IFERROR(__xludf.DUMMYFUNCTION("IMPORTRANGE(""https://docs.google.com/spreadsheets/d/10OvvATaaLtwErnr3qtWFcTmtbfpFEt5Bsqel9sXx0uE/edit?usp=sharing"",""งานกองทุน!J78"")"),48)</f>
        <v>48</v>
      </c>
      <c r="K781" s="47">
        <f ca="1">IF(I781&gt;0,J781*100/I781,0)</f>
        <v>48.484848484848484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IFERROR(__xludf.DUMMYFUNCTION("IMPORTRANGE(""https://docs.google.com/spreadsheets/d/10OvvATaaLtwErnr3qtWFcTmtbfpFEt5Bsqel9sXx0uE/edit?usp=sharing"",""งานกองทุน!N78"")"),0)</f>
        <v>0</v>
      </c>
      <c r="J782" s="152">
        <f ca="1">IFERROR(__xludf.DUMMYFUNCTION("IMPORTRANGE(""https://docs.google.com/spreadsheets/d/10OvvATaaLtwErnr3qtWFcTmtbfpFEt5Bsqel9sXx0uE/edit?usp=sharing"",""งานกองทุน!P78"")"),0)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IFERROR(__xludf.DUMMYFUNCTION("IMPORTRANGE(""https://docs.google.com/spreadsheets/d/10OvvATaaLtwErnr3qtWFcTmtbfpFEt5Bsqel9sXx0uE/edit?usp=sharing"",""งานกองทุน!M78"")"),0)</f>
        <v>0</v>
      </c>
      <c r="J783" s="152">
        <f ca="1">IFERROR(__xludf.DUMMYFUNCTION("IMPORTRANGE(""https://docs.google.com/spreadsheets/d/10OvvATaaLtwErnr3qtWFcTmtbfpFEt5Bsqel9sXx0uE/edit?usp=sharing"",""งานกองทุน!O78"")"),0)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IFERROR(__xludf.DUMMYFUNCTION("IMPORTRANGE(""https://docs.google.com/spreadsheets/d/10OvvATaaLtwErnr3qtWFcTmtbfpFEt5Bsqel9sXx0uE/edit?usp=sharing"",""งานกองทุน!S78"")"),3500000)</f>
        <v>3500000</v>
      </c>
      <c r="J784" s="152">
        <f ca="1">IFERROR(__xludf.DUMMYFUNCTION("IMPORTRANGE(""https://docs.google.com/spreadsheets/d/10OvvATaaLtwErnr3qtWFcTmtbfpFEt5Bsqel9sXx0uE/edit?usp=sharing"",""งานกองทุน!U78"")"),3470000)</f>
        <v>3470000</v>
      </c>
      <c r="K784" s="47">
        <f ca="1">IF(I784&gt;0,J784*100/I784,0)</f>
        <v>99.142857142857139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IFERROR(__xludf.DUMMYFUNCTION("IMPORTRANGE(""https://docs.google.com/spreadsheets/d/10OvvATaaLtwErnr3qtWFcTmtbfpFEt5Bsqel9sXx0uE/edit?usp=sharing"",""งานกองทุน!R78"")"),125)</f>
        <v>125</v>
      </c>
      <c r="J785" s="197">
        <f ca="1">IFERROR(__xludf.DUMMYFUNCTION("IMPORTRANGE(""https://docs.google.com/spreadsheets/d/10OvvATaaLtwErnr3qtWFcTmtbfpFEt5Bsqel9sXx0uE/edit?usp=sharing"",""งานกองทุน!T78"")"),90)</f>
        <v>90</v>
      </c>
      <c r="K785" s="111">
        <f ca="1">IF(I785&gt;0,J785*100/I785,0)</f>
        <v>72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DDC6F5-83F7-46FA-B1F6-8D9E07992334}">
  <sheetPr codeName="Sheet6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319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1921360</v>
      </c>
      <c r="M18" s="35">
        <f ca="1">M19+M20</f>
        <v>2022609</v>
      </c>
      <c r="N18" s="35">
        <f ca="1">N19+N20</f>
        <v>1402953.94</v>
      </c>
      <c r="O18" s="35">
        <f ca="1">IF(L18&gt;0,N18*100/L18,0)</f>
        <v>73.018796061123368</v>
      </c>
      <c r="P18" s="35">
        <f ca="1">IF(M18&gt;0,N18*100/M18,0)</f>
        <v>69.363576450020744</v>
      </c>
      <c r="Q18" s="35">
        <f ca="1">Q19+Q20</f>
        <v>653547</v>
      </c>
      <c r="R18" s="35">
        <f ca="1">R19+R20</f>
        <v>653547</v>
      </c>
      <c r="S18" s="35">
        <f ca="1">S19+S20</f>
        <v>348997</v>
      </c>
      <c r="T18" s="35">
        <f ca="1">IF(Q18&gt;0,S18*100/Q18,0)</f>
        <v>53.400444038454772</v>
      </c>
      <c r="U18" s="35">
        <f ca="1">IF(R18&gt;0,S18*100/R18,0)</f>
        <v>53.400444038454772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1921360</v>
      </c>
      <c r="M20" s="39">
        <f ca="1">M23+M26</f>
        <v>2022609</v>
      </c>
      <c r="N20" s="39">
        <f ca="1">N23+N26</f>
        <v>1402953.94</v>
      </c>
      <c r="O20" s="39">
        <f ca="1">IF(L20&gt;0,N20*100/L20,0)</f>
        <v>73.018796061123368</v>
      </c>
      <c r="P20" s="39">
        <f ca="1">IF(M20&gt;0,N20*100/M20,0)</f>
        <v>69.363576450020744</v>
      </c>
      <c r="Q20" s="39">
        <f ca="1">Q23+Q26</f>
        <v>653547</v>
      </c>
      <c r="R20" s="39">
        <f ca="1">R23+R26</f>
        <v>653547</v>
      </c>
      <c r="S20" s="39">
        <f ca="1">S23+S26</f>
        <v>348997</v>
      </c>
      <c r="T20" s="39">
        <f ca="1">IF(Q20&gt;0,S20*100/Q20,0)</f>
        <v>53.400444038454772</v>
      </c>
      <c r="U20" s="39">
        <f ca="1">IF(R20&gt;0,S20*100/R20,0)</f>
        <v>53.400444038454772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1921360</v>
      </c>
      <c r="M21" s="47">
        <f ca="1">M22+M23</f>
        <v>2022609</v>
      </c>
      <c r="N21" s="47">
        <f ca="1">N22+N23</f>
        <v>1402953.94</v>
      </c>
      <c r="O21" s="47">
        <f ca="1">IF(L21&gt;0,N21*100/L21,0)</f>
        <v>73.018796061123368</v>
      </c>
      <c r="P21" s="47">
        <f ca="1">IF(M21&gt;0,N21*100/M21,0)</f>
        <v>69.363576450020744</v>
      </c>
      <c r="Q21" s="47">
        <f ca="1">Q22+Q23</f>
        <v>653547</v>
      </c>
      <c r="R21" s="47">
        <f ca="1">R22+R23</f>
        <v>653547</v>
      </c>
      <c r="S21" s="47">
        <f ca="1">S22+S23</f>
        <v>348997</v>
      </c>
      <c r="T21" s="47">
        <f ca="1">IF(Q21&gt;0,S21*100/Q21,0)</f>
        <v>53.400444038454772</v>
      </c>
      <c r="U21" s="47">
        <f ca="1">IF(R21&gt;0,S21*100/R21,0)</f>
        <v>53.400444038454772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1921360</v>
      </c>
      <c r="M23" s="47">
        <f ca="1">M49+M64+M77+M99+M122+M144+M162+M191+M178+M271+M287+M308+M325+M338+M361+M380+M418+M498+M518+M539+M560+M581+M604+M621+M647+M695+M719+M733+M765</f>
        <v>2022609</v>
      </c>
      <c r="N23" s="47">
        <f ca="1">N49+N64+N77+N99+N122+N144+N162+N191+N178+N271+N287+N308+N325+N338+N361+N380+N418+N498+N518+N539+N560+N581+N604+N621+N647+N695+N719+N733+N765</f>
        <v>1402953.94</v>
      </c>
      <c r="O23" s="47">
        <f ca="1">IF(L23&gt;0,N23*100/L23,0)</f>
        <v>73.018796061123368</v>
      </c>
      <c r="P23" s="47">
        <f ca="1">IF(M23&gt;0,N23*100/M23,0)</f>
        <v>69.363576450020744</v>
      </c>
      <c r="Q23" s="47">
        <f ca="1">Q77+Q99+Q122+Q144+Q162+Q178+Q191+Q271+Q287+Q308+Q338+Q380+Q397+Q418+Q498+Q604+Q621+Q647+Q695+Q719+Q733+Q765</f>
        <v>653547</v>
      </c>
      <c r="R23" s="47">
        <f ca="1">R77+R99+R122+R144+R162+R178+R191+R271+R287+R308+R338+R380+R397+R418+R498+R604+R621+R647+R695+R719+R733+R765</f>
        <v>653547</v>
      </c>
      <c r="S23" s="47">
        <f ca="1">S77+S99+S122+S144+S162+S178+S191+S271+S287+S308+S338+S380+S397+S418+S498+S604+S621+S647+S695+S719+S733+S765</f>
        <v>348997</v>
      </c>
      <c r="T23" s="47">
        <f ca="1">IF(Q23&gt;0,S23*100/Q23,0)</f>
        <v>53.400444038454772</v>
      </c>
      <c r="U23" s="47">
        <f ca="1">IF(R23&gt;0,S23*100/R23,0)</f>
        <v>53.400444038454772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1713180</v>
      </c>
      <c r="M40" s="802">
        <f ca="1">M44+M59+M72+M94+M125+M139+M157+M173+M186+M266+M282+M303+M320+M333+M356</f>
        <v>1814429</v>
      </c>
      <c r="N40" s="802">
        <f ca="1">N44+N59+N72+N94+N125+N139+N157+N173+N186+N266+N282+N303+N320+N333+N356</f>
        <v>1389753.94</v>
      </c>
      <c r="O40" s="802">
        <f ca="1">IF(L40&gt;0,N40*100/L40,0)</f>
        <v>81.121303073815938</v>
      </c>
      <c r="P40" s="802">
        <f ca="1">IF(M40&gt;0,N40*100/M40,0)</f>
        <v>76.594561705087386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358900</v>
      </c>
      <c r="M44" s="79">
        <f ca="1">M45+M46</f>
        <v>426299</v>
      </c>
      <c r="N44" s="79">
        <f ca="1">N45+N46</f>
        <v>338079</v>
      </c>
      <c r="O44" s="79">
        <f ca="1">IF(L44&gt;0,N44*100/L44,0)</f>
        <v>94.198662580105875</v>
      </c>
      <c r="P44" s="79">
        <f ca="1">IF(M44&gt;0,N44*100/M44,0)</f>
        <v>79.305604751594544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358900</v>
      </c>
      <c r="M46" s="83">
        <f ca="1">M49+M52</f>
        <v>426299</v>
      </c>
      <c r="N46" s="83">
        <f ca="1">N49+N52</f>
        <v>338079</v>
      </c>
      <c r="O46" s="83">
        <f ca="1">IF(L46&gt;0,N46*100/L46,0)</f>
        <v>94.198662580105875</v>
      </c>
      <c r="P46" s="83">
        <f ca="1">IF(M46&gt;0,N46*100/M46,0)</f>
        <v>79.305604751594544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358900</v>
      </c>
      <c r="M47" s="47">
        <f ca="1">M48+M49</f>
        <v>426299</v>
      </c>
      <c r="N47" s="47">
        <f ca="1">N48+N49</f>
        <v>338079</v>
      </c>
      <c r="O47" s="47">
        <f ca="1">IF(L47&gt;0,N47*100/L47,0)</f>
        <v>94.198662580105875</v>
      </c>
      <c r="P47" s="47">
        <f ca="1">IF(M47&gt;0,N47*100/M47,0)</f>
        <v>79.305604751594544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IFERROR(__xludf.DUMMYFUNCTION("IMPORTRANGE(""https://docs.google.com/spreadsheets/d/1-uDff_7J0KD5mKrp0Vvzr7lt3OU09vwQwhkpOPPYv2Y/edit?usp=sharing"",""งบพรบ!P79"")"),358900)</f>
        <v>358900</v>
      </c>
      <c r="M49" s="47">
        <f ca="1">IFERROR(__xludf.DUMMYFUNCTION("IMPORTRANGE(""https://docs.google.com/spreadsheets/d/1-uDff_7J0KD5mKrp0Vvzr7lt3OU09vwQwhkpOPPYv2Y/edit?usp=sharing"",""งบพรบ!V79"")"),426299)</f>
        <v>426299</v>
      </c>
      <c r="N49" s="47">
        <f ca="1">IFERROR(__xludf.DUMMYFUNCTION("IMPORTRANGE(""https://docs.google.com/spreadsheets/d/1-uDff_7J0KD5mKrp0Vvzr7lt3OU09vwQwhkpOPPYv2Y/edit?usp=sharing"",""งบพรบ!Y79"")"),338079)</f>
        <v>338079</v>
      </c>
      <c r="O49" s="47">
        <f ca="1">IF(L49&gt;0,N49*100/L49,0)</f>
        <v>94.198662580105875</v>
      </c>
      <c r="P49" s="47">
        <f ca="1">IF(M49&gt;0,N49*100/M49,0)</f>
        <v>79.305604751594544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IFERROR(__xludf.DUMMYFUNCTION("IMPORTRANGE(""https://docs.google.com/spreadsheets/d/1-uDff_7J0KD5mKrp0Vvzr7lt3OU09vwQwhkpOPPYv2Y/edit?usp=sharing"",""งบพรบ!S79"")"),0)</f>
        <v>0</v>
      </c>
      <c r="M52" s="47">
        <f ca="1">IFERROR(__xludf.DUMMYFUNCTION("IMPORTRANGE(""https://docs.google.com/spreadsheets/d/1-uDff_7J0KD5mKrp0Vvzr7lt3OU09vwQwhkpOPPYv2Y/edit?usp=sharing"",""งบพรบ!W79"")"),0)</f>
        <v>0</v>
      </c>
      <c r="N52" s="47">
        <f ca="1">IFERROR(__xludf.DUMMYFUNCTION("IMPORTRANGE(""https://docs.google.com/spreadsheets/d/1-uDff_7J0KD5mKrp0Vvzr7lt3OU09vwQwhkpOPPYv2Y/edit?usp=sharing"",""งบพรบ!Z79"")"),0)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567100</v>
      </c>
      <c r="M59" s="106">
        <f ca="1">M60+M61</f>
        <v>567100</v>
      </c>
      <c r="N59" s="106">
        <f ca="1">N60+N61</f>
        <v>464633.37</v>
      </c>
      <c r="O59" s="106">
        <f ca="1">IF(L59&gt;0,N59*100/L59,0)</f>
        <v>81.931470640098752</v>
      </c>
      <c r="P59" s="106">
        <f ca="1">IF(M59&gt;0,N59*100/M59,0)</f>
        <v>81.931470640098752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567100</v>
      </c>
      <c r="M61" s="109">
        <f ca="1">M64+M67</f>
        <v>567100</v>
      </c>
      <c r="N61" s="109">
        <f ca="1">N64+N67</f>
        <v>464633.37</v>
      </c>
      <c r="O61" s="109">
        <f ca="1">IF(L61&gt;0,N61*100/L61,0)</f>
        <v>81.931470640098752</v>
      </c>
      <c r="P61" s="109">
        <f ca="1">IF(M61&gt;0,N61*100/M61,0)</f>
        <v>81.931470640098752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567100</v>
      </c>
      <c r="M62" s="47">
        <f ca="1">M63+M64</f>
        <v>567100</v>
      </c>
      <c r="N62" s="47">
        <f ca="1">N63+N64</f>
        <v>464633.37</v>
      </c>
      <c r="O62" s="47">
        <f ca="1">IF(L62&gt;0,N62*100/L62,0)</f>
        <v>81.931470640098752</v>
      </c>
      <c r="P62" s="47">
        <f ca="1">IF(M62&gt;0,N62*100/M62,0)</f>
        <v>81.931470640098752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IFERROR(__xludf.DUMMYFUNCTION("IMPORTRANGE(""https://docs.google.com/spreadsheets/d/1-uDff_7J0KD5mKrp0Vvzr7lt3OU09vwQwhkpOPPYv2Y/edit?usp=sharing"",""งบพรบ!AC79"")"),567100)</f>
        <v>567100</v>
      </c>
      <c r="M64" s="47">
        <f ca="1">IFERROR(__xludf.DUMMYFUNCTION("IMPORTRANGE(""https://docs.google.com/spreadsheets/d/1-uDff_7J0KD5mKrp0Vvzr7lt3OU09vwQwhkpOPPYv2Y/edit?usp=sharing"",""งบพรบ!AH79"")"),567100)</f>
        <v>567100</v>
      </c>
      <c r="N64" s="47">
        <f ca="1">IFERROR(__xludf.DUMMYFUNCTION("IMPORTRANGE(""https://docs.google.com/spreadsheets/d/1-uDff_7J0KD5mKrp0Vvzr7lt3OU09vwQwhkpOPPYv2Y/edit?usp=sharing"",""งบพรบ!AJ79"")"),464633.37)</f>
        <v>464633.37</v>
      </c>
      <c r="O64" s="47">
        <f ca="1">IF(L64&gt;0,N64*100/L64,0)</f>
        <v>81.931470640098752</v>
      </c>
      <c r="P64" s="47">
        <f ca="1">IF(M64&gt;0,N64*100/M64,0)</f>
        <v>81.931470640098752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IFERROR(__xludf.DUMMYFUNCTION("IMPORTRANGE(""https://docs.google.com/spreadsheets/d/1-uDff_7J0KD5mKrp0Vvzr7lt3OU09vwQwhkpOPPYv2Y/edit?usp=sharing"",""งบพรบ!AF79"")"),0)</f>
        <v>0</v>
      </c>
      <c r="M67" s="111">
        <f ca="1">IFERROR(__xludf.DUMMYFUNCTION("IMPORTRANGE(""https://docs.google.com/spreadsheets/d/1-uDff_7J0KD5mKrp0Vvzr7lt3OU09vwQwhkpOPPYv2Y/edit?usp=sharing"",""งบพรบ!AI79"")"),0)</f>
        <v>0</v>
      </c>
      <c r="N67" s="111">
        <f ca="1">IFERROR(__xludf.DUMMYFUNCTION("IMPORTRANGE(""https://docs.google.com/spreadsheets/d/1-uDff_7J0KD5mKrp0Vvzr7lt3OU09vwQwhkpOPPYv2Y/edit?usp=sharing"",""งบพรบ!AK79"")"),0)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IFERROR(__xludf.DUMMYFUNCTION("IMPORTRANGE(""https://docs.google.com/spreadsheets/d/1-uDff_7J0KD5mKrp0Vvzr7lt3OU09vwQwhkpOPPYv2Y/edit?usp=sharing"",""งบพรบ!AM79"")"),0)</f>
        <v>0</v>
      </c>
      <c r="M77" s="47">
        <f ca="1">IFERROR(__xludf.DUMMYFUNCTION("IMPORTRANGE(""https://docs.google.com/spreadsheets/d/1-uDff_7J0KD5mKrp0Vvzr7lt3OU09vwQwhkpOPPYv2Y/edit?usp=sharing"",""งบพรบ!AR79"")"),0)</f>
        <v>0</v>
      </c>
      <c r="N77" s="47">
        <f ca="1">IFERROR(__xludf.DUMMYFUNCTION("IMPORTRANGE(""https://docs.google.com/spreadsheets/d/1-uDff_7J0KD5mKrp0Vvzr7lt3OU09vwQwhkpOPPYv2Y/edit?usp=sharing"",""งบพรบ!AT79"")"),0)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IFERROR(__xludf.DUMMYFUNCTION("IMPORTRANGE(""https://docs.google.com/spreadsheets/d/1ItG2mGa2ceCfYo0BwxsXqNm01IGEUdYcSSLTEv9YCik/edit?usp=sharing"",""เบิกจ่ายกองทุน!BH79"")"),0)</f>
        <v>0</v>
      </c>
      <c r="R77" s="47">
        <f ca="1">IFERROR(__xludf.DUMMYFUNCTION("IMPORTRANGE(""https://docs.google.com/spreadsheets/d/1ItG2mGa2ceCfYo0BwxsXqNm01IGEUdYcSSLTEv9YCik/edit?usp=sharing"",""เบิกจ่ายกองทุน!BI79"")"),0)</f>
        <v>0</v>
      </c>
      <c r="S77" s="47">
        <f ca="1">IFERROR(__xludf.DUMMYFUNCTION("IMPORTRANGE(""https://docs.google.com/spreadsheets/d/1ItG2mGa2ceCfYo0BwxsXqNm01IGEUdYcSSLTEv9YCik/edit?usp=sharing"",""เบิกจ่ายกองทุน!BJ79"")"),0)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IFERROR(__xludf.DUMMYFUNCTION("IMPORTRANGE(""https://docs.google.com/spreadsheets/d/1-uDff_7J0KD5mKrp0Vvzr7lt3OU09vwQwhkpOPPYv2Y/edit?usp=sharing"",""งบพรบ!AP79"")"),0)</f>
        <v>0</v>
      </c>
      <c r="M80" s="47">
        <f ca="1">IFERROR(__xludf.DUMMYFUNCTION("IMPORTRANGE(""https://docs.google.com/spreadsheets/d/1-uDff_7J0KD5mKrp0Vvzr7lt3OU09vwQwhkpOPPYv2Y/edit?usp=sharing"",""งบพรบ!AS79"")"),0)</f>
        <v>0</v>
      </c>
      <c r="N80" s="47">
        <f ca="1">IFERROR(__xludf.DUMMYFUNCTION("IMPORTRANGE(""https://docs.google.com/spreadsheets/d/1-uDff_7J0KD5mKrp0Vvzr7lt3OU09vwQwhkpOPPYv2Y/edit?usp=sharing"",""งบพรบ!AU79"")"),0)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IFERROR(__xludf.DUMMYFUNCTION("IMPORTRANGE(""https://docs.google.com/spreadsheets/d/1ItG2mGa2ceCfYo0BwxsXqNm01IGEUdYcSSLTEv9YCik/edit?usp=sharing"",""เบิกจ่ายกองทุน!BK79"")"),0)</f>
        <v>0</v>
      </c>
      <c r="R80" s="47">
        <f ca="1">IFERROR(__xludf.DUMMYFUNCTION("IMPORTRANGE(""https://docs.google.com/spreadsheets/d/1ItG2mGa2ceCfYo0BwxsXqNm01IGEUdYcSSLTEv9YCik/edit?usp=sharing"",""เบิกจ่ายกองทุน!BL79"")"),0)</f>
        <v>0</v>
      </c>
      <c r="S80" s="47">
        <f ca="1">IFERROR(__xludf.DUMMYFUNCTION("IMPORTRANGE(""https://docs.google.com/spreadsheets/d/1ItG2mGa2ceCfYo0BwxsXqNm01IGEUdYcSSLTEv9YCik/edit?usp=sharing"",""เบิกจ่ายกองทุน!BM79"")"),0)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IFERROR(__xludf.DUMMYFUNCTION("IMPORTRANGE(""https://docs.google.com/spreadsheets/d/1eHaY18a8A9IcSdp1K8H6x8fbOy06t2VsZHhMHf-1x7Y/edit?usp=sharing"",""แผน!H79"")"),0)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IFERROR(__xludf.DUMMYFUNCTION("IMPORTRANGE(""https://docs.google.com/spreadsheets/d/1eHaY18a8A9IcSdp1K8H6x8fbOy06t2VsZHhMHf-1x7Y/edit?usp=sharing"",""แผน!I79"")"),0)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IFERROR(__xludf.DUMMYFUNCTION("IMPORTRANGE(""https://docs.google.com/spreadsheets/d/1eHaY18a8A9IcSdp1K8H6x8fbOy06t2VsZHhMHf-1x7Y/edit?usp=sharing"",""แผน!F79"")"),0)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IFERROR(__xludf.DUMMYFUNCTION("IMPORTRANGE(""https://docs.google.com/spreadsheets/d/1eHaY18a8A9IcSdp1K8H6x8fbOy06t2VsZHhMHf-1x7Y/edit?usp=sharing"",""แผน!G79"")"),0)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IFERROR(__xludf.DUMMYFUNCTION("IMPORTRANGE(""https://docs.google.com/spreadsheets/d/1eHaY18a8A9IcSdp1K8H6x8fbOy06t2VsZHhMHf-1x7Y/edit?usp=sharing"",""แผน!D79"")"),0)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IFERROR(__xludf.DUMMYFUNCTION("IMPORTRANGE(""https://docs.google.com/spreadsheets/d/1eHaY18a8A9IcSdp1K8H6x8fbOy06t2VsZHhMHf-1x7Y/edit?usp=sharing"",""แผน!E79"")"),0)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IFERROR(__xludf.DUMMYFUNCTION("IMPORTRANGE(""https://docs.google.com/spreadsheets/d/1eHaY18a8A9IcSdp1K8H6x8fbOy06t2VsZHhMHf-1x7Y/edit?usp=sharing"",""แผน!J79"")"),0)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60</v>
      </c>
      <c r="J92" s="127">
        <f>J108</f>
        <v>60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20</v>
      </c>
      <c r="J93" s="127">
        <f>J109</f>
        <v>20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12000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168840</v>
      </c>
      <c r="R94" s="132">
        <f ca="1">R95+R96</f>
        <v>168840</v>
      </c>
      <c r="S94" s="132">
        <f ca="1">S95+S96</f>
        <v>117850</v>
      </c>
      <c r="T94" s="132">
        <f ca="1">IF(Q94&gt;0,S94*100/Q94,0)</f>
        <v>69.799810471452261</v>
      </c>
      <c r="U94" s="132">
        <f ca="1">IF(R94&gt;0,S94*100/R94,0)</f>
        <v>69.799810471452261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12000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168840</v>
      </c>
      <c r="R96" s="47">
        <f ca="1">R99+R102</f>
        <v>168840</v>
      </c>
      <c r="S96" s="47">
        <f ca="1">S99+S102</f>
        <v>117850</v>
      </c>
      <c r="T96" s="47">
        <f ca="1">IF(Q96&gt;0,S96*100/Q96,0)</f>
        <v>69.799810471452261</v>
      </c>
      <c r="U96" s="47">
        <f ca="1">IF(R96&gt;0,S96*100/R96,0)</f>
        <v>69.799810471452261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12000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168840</v>
      </c>
      <c r="R97" s="47">
        <f ca="1">R98+R99</f>
        <v>168840</v>
      </c>
      <c r="S97" s="47">
        <f ca="1">S98+S99</f>
        <v>117850</v>
      </c>
      <c r="T97" s="47">
        <f ca="1">IF(Q97&gt;0,S97*100/Q97,0)</f>
        <v>69.799810471452261</v>
      </c>
      <c r="U97" s="47">
        <f ca="1">IF(R97&gt;0,S97*100/R97,0)</f>
        <v>69.799810471452261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IFERROR(__xludf.DUMMYFUNCTION("IMPORTRANGE(""https://docs.google.com/spreadsheets/d/1-uDff_7J0KD5mKrp0Vvzr7lt3OU09vwQwhkpOPPYv2Y/edit?usp=sharing"",""งบพรบ!AW79"")"),0)</f>
        <v>0</v>
      </c>
      <c r="M99" s="47">
        <f ca="1">IFERROR(__xludf.DUMMYFUNCTION("IMPORTRANGE(""https://docs.google.com/spreadsheets/d/1-uDff_7J0KD5mKrp0Vvzr7lt3OU09vwQwhkpOPPYv2Y/edit?usp=sharing"",""งบพรบ!BB79"")"),12000)</f>
        <v>12000</v>
      </c>
      <c r="N99" s="47">
        <f ca="1">IFERROR(__xludf.DUMMYFUNCTION("IMPORTRANGE(""https://docs.google.com/spreadsheets/d/1-uDff_7J0KD5mKrp0Vvzr7lt3OU09vwQwhkpOPPYv2Y/edit?usp=sharing"",""งบพรบ!BD79"")"),0)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IFERROR(__xludf.DUMMYFUNCTION("IMPORTRANGE(""https://docs.google.com/spreadsheets/d/1ItG2mGa2ceCfYo0BwxsXqNm01IGEUdYcSSLTEv9YCik/edit?usp=sharing"",""เบิกจ่ายกองทุน!AJ79"")"),168840)</f>
        <v>168840</v>
      </c>
      <c r="R99" s="47">
        <f ca="1">IFERROR(__xludf.DUMMYFUNCTION("IMPORTRANGE(""https://docs.google.com/spreadsheets/d/1ItG2mGa2ceCfYo0BwxsXqNm01IGEUdYcSSLTEv9YCik/edit?usp=sharing"",""เบิกจ่ายกองทุน!AK79"")"),168840)</f>
        <v>168840</v>
      </c>
      <c r="S99" s="47">
        <f ca="1">IFERROR(__xludf.DUMMYFUNCTION("IMPORTRANGE(""https://docs.google.com/spreadsheets/d/1ItG2mGa2ceCfYo0BwxsXqNm01IGEUdYcSSLTEv9YCik/edit?usp=sharing"",""เบิกจ่ายกองทุน!AL79"")"),117850)</f>
        <v>117850</v>
      </c>
      <c r="T99" s="47">
        <f ca="1">IF(Q99&gt;0,S99*100/Q99,0)</f>
        <v>69.799810471452261</v>
      </c>
      <c r="U99" s="47">
        <f ca="1">IF(R99&gt;0,S99*100/R99,0)</f>
        <v>69.799810471452261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IFERROR(__xludf.DUMMYFUNCTION("IMPORTRANGE(""https://docs.google.com/spreadsheets/d/1-uDff_7J0KD5mKrp0Vvzr7lt3OU09vwQwhkpOPPYv2Y/edit?usp=sharing"",""งบพรบ!AZ79"")"),0)</f>
        <v>0</v>
      </c>
      <c r="M102" s="47">
        <f ca="1">IFERROR(__xludf.DUMMYFUNCTION("IMPORTRANGE(""https://docs.google.com/spreadsheets/d/1-uDff_7J0KD5mKrp0Vvzr7lt3OU09vwQwhkpOPPYv2Y/edit?usp=sharing"",""งบพรบ!BC79"")"),0)</f>
        <v>0</v>
      </c>
      <c r="N102" s="47">
        <f ca="1">IFERROR(__xludf.DUMMYFUNCTION("IMPORTRANGE(""https://docs.google.com/spreadsheets/d/1-uDff_7J0KD5mKrp0Vvzr7lt3OU09vwQwhkpOPPYv2Y/edit?usp=sharing"",""งบพรบ!BE79"")"),0)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IFERROR(__xludf.DUMMYFUNCTION("IMPORTRANGE(""https://docs.google.com/spreadsheets/d/1eHaY18a8A9IcSdp1K8H6x8fbOy06t2VsZHhMHf-1x7Y/edit?usp=sharing"",""แผน!N79"")"),60)</f>
        <v>60</v>
      </c>
      <c r="J108" s="167">
        <v>60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IFERROR(__xludf.DUMMYFUNCTION("IMPORTRANGE(""https://docs.google.com/spreadsheets/d/1eHaY18a8A9IcSdp1K8H6x8fbOy06t2VsZHhMHf-1x7Y/edit?usp=sharing"",""แผน!O79"")"),20)</f>
        <v>20</v>
      </c>
      <c r="J109" s="167">
        <v>20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IFERROR(__xludf.DUMMYFUNCTION("IMPORTRANGE(""https://docs.google.com/spreadsheets/d/1eHaY18a8A9IcSdp1K8H6x8fbOy06t2VsZHhMHf-1x7Y/edit?usp=sharing"",""แผน!N79"")"),60)</f>
        <v>60</v>
      </c>
      <c r="J113" s="175">
        <v>60</v>
      </c>
      <c r="K113" s="176">
        <f ca="1">IF(I113&gt;0,J113*100/I113,0)</f>
        <v>100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IFERROR(__xludf.DUMMYFUNCTION("IMPORTRANGE(""https://docs.google.com/spreadsheets/d/1eHaY18a8A9IcSdp1K8H6x8fbOy06t2VsZHhMHf-1x7Y/edit?usp=sharing"",""แผน!O79"")"),20)</f>
        <v>20</v>
      </c>
      <c r="J114" s="167">
        <v>20</v>
      </c>
      <c r="K114" s="47">
        <f ca="1">IF(I114&gt;0,J114*100/I114,0)</f>
        <v>100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25</v>
      </c>
      <c r="J116" s="127">
        <f>J127</f>
        <v>15</v>
      </c>
      <c r="K116" s="35">
        <f ca="1">IF(I116&gt;0,J116*100/I116,0)</f>
        <v>60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229220</v>
      </c>
      <c r="R117" s="132">
        <f ca="1">R118+R119</f>
        <v>229220</v>
      </c>
      <c r="S117" s="132">
        <f ca="1">S118+S119</f>
        <v>133380</v>
      </c>
      <c r="T117" s="132">
        <f ca="1">IF(Q117&gt;0,S117*100/Q117,0)</f>
        <v>58.188639734752641</v>
      </c>
      <c r="U117" s="132">
        <f ca="1">IF(R117&gt;0,S117*100/R117,0)</f>
        <v>58.188639734752641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229220</v>
      </c>
      <c r="R119" s="47">
        <f ca="1">R122+R125</f>
        <v>229220</v>
      </c>
      <c r="S119" s="47">
        <f ca="1">S122+S125</f>
        <v>133380</v>
      </c>
      <c r="T119" s="47">
        <f ca="1">IF(Q119&gt;0,S119*100/Q119,0)</f>
        <v>58.188639734752641</v>
      </c>
      <c r="U119" s="47">
        <f ca="1">IF(R119&gt;0,S119*100/R119,0)</f>
        <v>58.188639734752641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229220</v>
      </c>
      <c r="R120" s="47">
        <f ca="1">R121+R122</f>
        <v>229220</v>
      </c>
      <c r="S120" s="47">
        <f ca="1">S121+S122</f>
        <v>133380</v>
      </c>
      <c r="T120" s="47">
        <f ca="1">IF(Q120&gt;0,S120*100/Q120,0)</f>
        <v>58.188639734752641</v>
      </c>
      <c r="U120" s="47">
        <f ca="1">IF(R120&gt;0,S120*100/R120,0)</f>
        <v>58.188639734752641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IFERROR(__xludf.DUMMYFUNCTION("IMPORTRANGE(""https://docs.google.com/spreadsheets/d/1-uDff_7J0KD5mKrp0Vvzr7lt3OU09vwQwhkpOPPYv2Y/edit?usp=sharing"",""งบพรบ!BG79"")"),0)</f>
        <v>0</v>
      </c>
      <c r="M122" s="47">
        <f ca="1">IFERROR(__xludf.DUMMYFUNCTION("IMPORTRANGE(""https://docs.google.com/spreadsheets/d/1-uDff_7J0KD5mKrp0Vvzr7lt3OU09vwQwhkpOPPYv2Y/edit?usp=sharing"",""งบพรบ!BL79"")"),0)</f>
        <v>0</v>
      </c>
      <c r="N122" s="47">
        <f ca="1">IFERROR(__xludf.DUMMYFUNCTION("IMPORTRANGE(""https://docs.google.com/spreadsheets/d/1-uDff_7J0KD5mKrp0Vvzr7lt3OU09vwQwhkpOPPYv2Y/edit?usp=sharing"",""งบพรบ!BN79"")"),0)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IFERROR(__xludf.DUMMYFUNCTION("IMPORTRANGE(""https://docs.google.com/spreadsheets/d/1ItG2mGa2ceCfYo0BwxsXqNm01IGEUdYcSSLTEv9YCik/edit?usp=sharing"",""เบิกจ่ายกองทุน!U79"")"),229220)</f>
        <v>229220</v>
      </c>
      <c r="R122" s="47">
        <f ca="1">IFERROR(__xludf.DUMMYFUNCTION("IMPORTRANGE(""https://docs.google.com/spreadsheets/d/1ItG2mGa2ceCfYo0BwxsXqNm01IGEUdYcSSLTEv9YCik/edit?usp=sharing"",""เบิกจ่ายกองทุน!V79"")"),229220)</f>
        <v>229220</v>
      </c>
      <c r="S122" s="47">
        <f ca="1">IFERROR(__xludf.DUMMYFUNCTION("IMPORTRANGE(""https://docs.google.com/spreadsheets/d/1ItG2mGa2ceCfYo0BwxsXqNm01IGEUdYcSSLTEv9YCik/edit?usp=sharing"",""เบิกจ่ายกองทุน!W79"")"),133380)</f>
        <v>133380</v>
      </c>
      <c r="T122" s="47">
        <f ca="1">IF(Q122&gt;0,S122*100/Q122,0)</f>
        <v>58.188639734752641</v>
      </c>
      <c r="U122" s="47">
        <f ca="1">IF(R122&gt;0,S122*100/R122,0)</f>
        <v>58.188639734752641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IFERROR(__xludf.DUMMYFUNCTION("IMPORTRANGE(""https://docs.google.com/spreadsheets/d/1-uDff_7J0KD5mKrp0Vvzr7lt3OU09vwQwhkpOPPYv2Y/edit?usp=sharing"",""งบพรบ!BJ79"")"),0)</f>
        <v>0</v>
      </c>
      <c r="M125" s="47">
        <f ca="1">IFERROR(__xludf.DUMMYFUNCTION("IMPORTRANGE(""https://docs.google.com/spreadsheets/d/1-uDff_7J0KD5mKrp0Vvzr7lt3OU09vwQwhkpOPPYv2Y/edit?usp=sharing"",""งบพรบ!BM79"")"),0)</f>
        <v>0</v>
      </c>
      <c r="N125" s="47">
        <f ca="1">IFERROR(__xludf.DUMMYFUNCTION("IMPORTRANGE(""https://docs.google.com/spreadsheets/d/1-uDff_7J0KD5mKrp0Vvzr7lt3OU09vwQwhkpOPPYv2Y/edit?usp=sharing"",""งบพรบ!BO79"")"),0)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IFERROR(__xludf.DUMMYFUNCTION("IMPORTRANGE(""https://docs.google.com/spreadsheets/d/1ItG2mGa2ceCfYo0BwxsXqNm01IGEUdYcSSLTEv9YCik/edit?usp=sharing"",""เบิกจ่ายกองทุน!X79"")"),0)</f>
        <v>0</v>
      </c>
      <c r="R125" s="47">
        <f ca="1">IFERROR(__xludf.DUMMYFUNCTION("IMPORTRANGE(""https://docs.google.com/spreadsheets/d/1ItG2mGa2ceCfYo0BwxsXqNm01IGEUdYcSSLTEv9YCik/edit?usp=sharing"",""เบิกจ่ายกองทุน!Y79"")"),0)</f>
        <v>0</v>
      </c>
      <c r="S125" s="47">
        <f ca="1">IFERROR(__xludf.DUMMYFUNCTION("IMPORTRANGE(""https://docs.google.com/spreadsheets/d/1ItG2mGa2ceCfYo0BwxsXqNm01IGEUdYcSSLTEv9YCik/edit?usp=sharing"",""เบิกจ่ายกองทุน!Z79"")"),0)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IFERROR(__xludf.DUMMYFUNCTION("IMPORTRANGE(""https://docs.google.com/spreadsheets/d/1eHaY18a8A9IcSdp1K8H6x8fbOy06t2VsZHhMHf-1x7Y/edit?usp=sharing"",""แผน!FF79"")"),25)</f>
        <v>25</v>
      </c>
      <c r="J127" s="167">
        <v>15</v>
      </c>
      <c r="K127" s="47">
        <f ca="1">IF(I127&gt;0,J127*100/I127,0)</f>
        <v>60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IFERROR(__xludf.DUMMYFUNCTION("IMPORTRANGE(""https://docs.google.com/spreadsheets/d/1eHaY18a8A9IcSdp1K8H6x8fbOy06t2VsZHhMHf-1x7Y/edit?usp=sharing"",""แผน!FG79"")"),0)</f>
        <v>0</v>
      </c>
      <c r="J128" s="167">
        <v>1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IFERROR(__xludf.DUMMYFUNCTION("IMPORTRANGE(""https://docs.google.com/spreadsheets/d/1eHaY18a8A9IcSdp1K8H6x8fbOy06t2VsZHhMHf-1x7Y/edit?usp=sharing"",""แผน!FH79"")"),25)</f>
        <v>25</v>
      </c>
      <c r="J129" s="167">
        <v>15</v>
      </c>
      <c r="K129" s="47">
        <f ca="1">IF(I129&gt;0,J129*100/I129,0)</f>
        <v>60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IFERROR(__xludf.DUMMYFUNCTION("IMPORTRANGE(""https://docs.google.com/spreadsheets/d/1eHaY18a8A9IcSdp1K8H6x8fbOy06t2VsZHhMHf-1x7Y/edit?usp=sharing"",""แผน!FI79"")"),0)</f>
        <v>0</v>
      </c>
      <c r="J130" s="167">
        <v>1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IFERROR(__xludf.DUMMYFUNCTION("IMPORTRANGE(""https://docs.google.com/spreadsheets/d/1-uDff_7J0KD5mKrp0Vvzr7lt3OU09vwQwhkpOPPYv2Y/edit?usp=sharing"",""งบพรบ!BQ79"")"),0)</f>
        <v>0</v>
      </c>
      <c r="M144" s="47">
        <f ca="1">IFERROR(__xludf.DUMMYFUNCTION("IMPORTRANGE(""https://docs.google.com/spreadsheets/d/1-uDff_7J0KD5mKrp0Vvzr7lt3OU09vwQwhkpOPPYv2Y/edit?usp=sharing"",""งบพรบ!BV79"")"),0)</f>
        <v>0</v>
      </c>
      <c r="N144" s="47">
        <f ca="1">IFERROR(__xludf.DUMMYFUNCTION("IMPORTRANGE(""https://docs.google.com/spreadsheets/d/1-uDff_7J0KD5mKrp0Vvzr7lt3OU09vwQwhkpOPPYv2Y/edit?usp=sharing"",""งบพรบ!BX79"")"),0)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IFERROR(__xludf.DUMMYFUNCTION("IMPORTRANGE(""https://docs.google.com/spreadsheets/d/1ItG2mGa2ceCfYo0BwxsXqNm01IGEUdYcSSLTEv9YCik/edit?usp=sharing"",""เบิกจ่ายกองทุน!CF79"")"),0)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IFERROR(__xludf.DUMMYFUNCTION("IMPORTRANGE(""https://docs.google.com/spreadsheets/d/1ItG2mGa2ceCfYo0BwxsXqNm01IGEUdYcSSLTEv9YCik/edit?usp=sharing"",""เบิกจ่ายกองทุน!CG79"")"),0)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IFERROR(__xludf.DUMMYFUNCTION("IMPORTRANGE(""https://docs.google.com/spreadsheets/d/1ItG2mGa2ceCfYo0BwxsXqNm01IGEUdYcSSLTEv9YCik/edit?usp=sharing"",""เบิกจ่ายกองทุน!CH79"")"),0)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IFERROR(__xludf.DUMMYFUNCTION("IMPORTRANGE(""https://docs.google.com/spreadsheets/d/1-uDff_7J0KD5mKrp0Vvzr7lt3OU09vwQwhkpOPPYv2Y/edit?usp=sharing"",""งบพรบ!BT79"")"),0)</f>
        <v>0</v>
      </c>
      <c r="M147" s="47">
        <f ca="1">IFERROR(__xludf.DUMMYFUNCTION("IMPORTRANGE(""https://docs.google.com/spreadsheets/d/1-uDff_7J0KD5mKrp0Vvzr7lt3OU09vwQwhkpOPPYv2Y/edit?usp=sharing"",""งบพรบ!BW79"")"),0)</f>
        <v>0</v>
      </c>
      <c r="N147" s="47">
        <f ca="1">IFERROR(__xludf.DUMMYFUNCTION("IMPORTRANGE(""https://docs.google.com/spreadsheets/d/1-uDff_7J0KD5mKrp0Vvzr7lt3OU09vwQwhkpOPPYv2Y/edit?usp=sharing"",""งบพรบ!BY79"")"),0)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IFERROR(__xludf.DUMMYFUNCTION("IMPORTRANGE(""https://docs.google.com/spreadsheets/d/1ItG2mGa2ceCfYo0BwxsXqNm01IGEUdYcSSLTEv9YCik/edit?usp=sharing"",""เบิกจ่ายกองทุน!CI79"")"),0)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IFERROR(__xludf.DUMMYFUNCTION("IMPORTRANGE(""https://docs.google.com/spreadsheets/d/1ItG2mGa2ceCfYo0BwxsXqNm01IGEUdYcSSLTEv9YCik/edit?usp=sharing"",""เบิกจ่ายกองทุน!CJ79"")"),0)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IFERROR(__xludf.DUMMYFUNCTION("IMPORTRANGE(""https://docs.google.com/spreadsheets/d/1ItG2mGa2ceCfYo0BwxsXqNm01IGEUdYcSSLTEv9YCik/edit?usp=sharing"",""เบิกจ่ายกองทุน!CK79"")"),0)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IFERROR(__xludf.DUMMYFUNCTION("IMPORTRANGE(""https://docs.google.com/spreadsheets/d/1eHaY18a8A9IcSdp1K8H6x8fbOy06t2VsZHhMHf-1x7Y/edit?usp=sharing"",""แผน!U79"")"),0)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IFERROR(__xludf.DUMMYFUNCTION("IMPORTRANGE(""https://docs.google.com/spreadsheets/d/1eHaY18a8A9IcSdp1K8H6x8fbOy06t2VsZHhMHf-1x7Y/edit?usp=sharing"",""แผน!V79"")"),0)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IFERROR(__xludf.DUMMYFUNCTION("IMPORTRANGE(""https://docs.google.com/spreadsheets/d/1eHaY18a8A9IcSdp1K8H6x8fbOy06t2VsZHhMHf-1x7Y/edit?usp=sharing"",""แผน!W79"")"),0)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IFERROR(__xludf.DUMMYFUNCTION("IMPORTRANGE(""https://docs.google.com/spreadsheets/d/1eHaY18a8A9IcSdp1K8H6x8fbOy06t2VsZHhMHf-1x7Y/edit?usp=sharing"",""แผน!X79"")"),0)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IFERROR(__xludf.DUMMYFUNCTION("IMPORTRANGE(""https://docs.google.com/spreadsheets/d/1eHaY18a8A9IcSdp1K8H6x8fbOy06t2VsZHhMHf-1x7Y/edit?usp=sharing"",""แผน!Y79"")"),0)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IFERROR(__xludf.DUMMYFUNCTION("IMPORTRANGE(""https://docs.google.com/spreadsheets/d/1-uDff_7J0KD5mKrp0Vvzr7lt3OU09vwQwhkpOPPYv2Y/edit?usp=sharing"",""งบพรบ!CA79"")"),0)</f>
        <v>0</v>
      </c>
      <c r="M162" s="47">
        <f ca="1">IFERROR(__xludf.DUMMYFUNCTION("IMPORTRANGE(""https://docs.google.com/spreadsheets/d/1-uDff_7J0KD5mKrp0Vvzr7lt3OU09vwQwhkpOPPYv2Y/edit?usp=sharing"",""งบพรบ!CF79"")"),0)</f>
        <v>0</v>
      </c>
      <c r="N162" s="47">
        <f ca="1">IFERROR(__xludf.DUMMYFUNCTION("IMPORTRANGE(""https://docs.google.com/spreadsheets/d/1-uDff_7J0KD5mKrp0Vvzr7lt3OU09vwQwhkpOPPYv2Y/edit?usp=sharing"",""งบพรบ!CH79"")"),0)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IFERROR(__xludf.DUMMYFUNCTION("IMPORTRANGE(""https://docs.google.com/spreadsheets/d/1ItG2mGa2ceCfYo0BwxsXqNm01IGEUdYcSSLTEv9YCik/edit?usp=sharing"",""เบิกจ่ายกองทุน!AM79"")"),0)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IFERROR(__xludf.DUMMYFUNCTION("IMPORTRANGE(""https://docs.google.com/spreadsheets/d/1ItG2mGa2ceCfYo0BwxsXqNm01IGEUdYcSSLTEv9YCik/edit?usp=sharing"",""เบิกจ่ายกองทุน!AN79"")"),0)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IFERROR(__xludf.DUMMYFUNCTION("IMPORTRANGE(""https://docs.google.com/spreadsheets/d/1ItG2mGa2ceCfYo0BwxsXqNm01IGEUdYcSSLTEv9YCik/edit?usp=sharing"",""เบิกจ่ายกองทุน!AO79"")"),0)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IFERROR(__xludf.DUMMYFUNCTION("IMPORTRANGE(""https://docs.google.com/spreadsheets/d/1-uDff_7J0KD5mKrp0Vvzr7lt3OU09vwQwhkpOPPYv2Y/edit?usp=sharing"",""งบพรบ!CD79"")"),0)</f>
        <v>0</v>
      </c>
      <c r="M165" s="47">
        <f ca="1">IFERROR(__xludf.DUMMYFUNCTION("IMPORTRANGE(""https://docs.google.com/spreadsheets/d/1-uDff_7J0KD5mKrp0Vvzr7lt3OU09vwQwhkpOPPYv2Y/edit?usp=sharing"",""งบพรบ!CG79"")"),0)</f>
        <v>0</v>
      </c>
      <c r="N165" s="47">
        <f ca="1">IFERROR(__xludf.DUMMYFUNCTION("IMPORTRANGE(""https://docs.google.com/spreadsheets/d/1-uDff_7J0KD5mKrp0Vvzr7lt3OU09vwQwhkpOPPYv2Y/edit?usp=sharing"",""งบพรบ!CI79"")"),0)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IFERROR(__xludf.DUMMYFUNCTION("IMPORTRANGE(""https://docs.google.com/spreadsheets/d/1eHaY18a8A9IcSdp1K8H6x8fbOy06t2VsZHhMHf-1x7Y/edit?usp=sharing"",""แผน!Z79"")"),0)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IFERROR(__xludf.DUMMYFUNCTION("IMPORTRANGE(""https://docs.google.com/spreadsheets/d/1eHaY18a8A9IcSdp1K8H6x8fbOy06t2VsZHhMHf-1x7Y/edit?usp=sharing"",""แผน!Z79"")"),0)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IFERROR(__xludf.DUMMYFUNCTION("IMPORTRANGE(""https://docs.google.com/spreadsheets/d/1eHaY18a8A9IcSdp1K8H6x8fbOy06t2VsZHhMHf-1x7Y/edit?usp=sharing"",""แผน!Z79"")"),0)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41440</v>
      </c>
      <c r="N173" s="132">
        <f ca="1">N174+N175</f>
        <v>41440</v>
      </c>
      <c r="O173" s="132">
        <f ca="1">IF(L173&gt;0,N173*100/L173,0)</f>
        <v>211.53649821337416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41440</v>
      </c>
      <c r="N175" s="47">
        <f ca="1">N178+N181</f>
        <v>41440</v>
      </c>
      <c r="O175" s="47">
        <f ca="1">IF(L175&gt;0,N175*100/L175,0)</f>
        <v>211.53649821337416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41440</v>
      </c>
      <c r="N176" s="47">
        <f ca="1">N177+N178</f>
        <v>41440</v>
      </c>
      <c r="O176" s="47">
        <f ca="1">IF(L176&gt;0,N176*100/L176,0)</f>
        <v>211.53649821337416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IFERROR(__xludf.DUMMYFUNCTION("IMPORTRANGE(""https://docs.google.com/spreadsheets/d/1-uDff_7J0KD5mKrp0Vvzr7lt3OU09vwQwhkpOPPYv2Y/edit?usp=sharing"",""งบพรบ!CK79"")"),19590)</f>
        <v>19590</v>
      </c>
      <c r="M178" s="47">
        <f ca="1">IFERROR(__xludf.DUMMYFUNCTION("IMPORTRANGE(""https://docs.google.com/spreadsheets/d/1-uDff_7J0KD5mKrp0Vvzr7lt3OU09vwQwhkpOPPYv2Y/edit?usp=sharing"",""งบพรบ!CP79"")"),41440)</f>
        <v>41440</v>
      </c>
      <c r="N178" s="47">
        <f ca="1">IFERROR(__xludf.DUMMYFUNCTION("IMPORTRANGE(""https://docs.google.com/spreadsheets/d/1-uDff_7J0KD5mKrp0Vvzr7lt3OU09vwQwhkpOPPYv2Y/edit?usp=sharing"",""งบพรบ!CR79"")"),41440)</f>
        <v>41440</v>
      </c>
      <c r="O178" s="47">
        <f ca="1">IF(L178&gt;0,N178*100/L178,0)</f>
        <v>211.53649821337416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IFERROR(__xludf.DUMMYFUNCTION("IMPORTRANGE(""https://docs.google.com/spreadsheets/d/1ItG2mGa2ceCfYo0BwxsXqNm01IGEUdYcSSLTEv9YCik/edit?usp=sharing"",""เบิกจ่ายกองทุน!DG79"")"),0)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IFERROR(__xludf.DUMMYFUNCTION("IMPORTRANGE(""https://docs.google.com/spreadsheets/d/1ItG2mGa2ceCfYo0BwxsXqNm01IGEUdYcSSLTEv9YCik/edit?usp=sharing"",""เบิกจ่ายกองทุน!DH79"")"),0)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IFERROR(__xludf.DUMMYFUNCTION("IMPORTRANGE(""https://docs.google.com/spreadsheets/d/1ItG2mGa2ceCfYo0BwxsXqNm01IGEUdYcSSLTEv9YCik/edit?usp=sharing"",""เบิกจ่ายกองทุน!DI79"")"),0)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IFERROR(__xludf.DUMMYFUNCTION("IMPORTRANGE(""https://docs.google.com/spreadsheets/d/1-uDff_7J0KD5mKrp0Vvzr7lt3OU09vwQwhkpOPPYv2Y/edit?usp=sharing"",""งบพรบ!CN79"")"),0)</f>
        <v>0</v>
      </c>
      <c r="M181" s="47">
        <f ca="1">IFERROR(__xludf.DUMMYFUNCTION("IMPORTRANGE(""https://docs.google.com/spreadsheets/d/1-uDff_7J0KD5mKrp0Vvzr7lt3OU09vwQwhkpOPPYv2Y/edit?usp=sharing"",""งบพรบ!CQ79"")"),0)</f>
        <v>0</v>
      </c>
      <c r="N181" s="47">
        <f ca="1">IFERROR(__xludf.DUMMYFUNCTION("IMPORTRANGE(""https://docs.google.com/spreadsheets/d/1-uDff_7J0KD5mKrp0Vvzr7lt3OU09vwQwhkpOPPYv2Y/edit?usp=sharing"",""งบพรบ!CS79"")"),0)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IFERROR(__xludf.DUMMYFUNCTION("IMPORTRANGE(""https://docs.google.com/spreadsheets/d/1eHaY18a8A9IcSdp1K8H6x8fbOy06t2VsZHhMHf-1x7Y/edit?usp=sharing"",""แผน!AA79"")"),7)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89900</v>
      </c>
      <c r="M186" s="132">
        <f ca="1">M187+M188</f>
        <v>89900</v>
      </c>
      <c r="N186" s="132">
        <f ca="1">N187+N188</f>
        <v>81342.039999999994</v>
      </c>
      <c r="O186" s="132">
        <f ca="1">IF(L186&gt;0,N186*100/L186,0)</f>
        <v>90.480578420467182</v>
      </c>
      <c r="P186" s="132">
        <f ca="1">IF(M186&gt;0,N186*100/M186,0)</f>
        <v>90.480578420467182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89900</v>
      </c>
      <c r="M188" s="47">
        <f ca="1">M191+M194</f>
        <v>89900</v>
      </c>
      <c r="N188" s="47">
        <f ca="1">N191+N194</f>
        <v>81342.039999999994</v>
      </c>
      <c r="O188" s="47">
        <f ca="1">IF(L188&gt;0,N188*100/L188,0)</f>
        <v>90.480578420467182</v>
      </c>
      <c r="P188" s="47">
        <f ca="1">IF(M188&gt;0,N188*100/M188,0)</f>
        <v>90.480578420467182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89900</v>
      </c>
      <c r="M189" s="47">
        <f ca="1">M190+M191</f>
        <v>89900</v>
      </c>
      <c r="N189" s="47">
        <f ca="1">N190+N191</f>
        <v>81342.039999999994</v>
      </c>
      <c r="O189" s="47">
        <f ca="1">IF(L189&gt;0,N189*100/L189,0)</f>
        <v>90.480578420467182</v>
      </c>
      <c r="P189" s="47">
        <f ca="1">IF(M189&gt;0,N189*100/M189,0)</f>
        <v>90.480578420467182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IFERROR(__xludf.DUMMYFUNCTION("IMPORTRANGE(""https://docs.google.com/spreadsheets/d/1-uDff_7J0KD5mKrp0Vvzr7lt3OU09vwQwhkpOPPYv2Y/edit?usp=sharing"",""งบพรบ!CU79"")"),89900)</f>
        <v>89900</v>
      </c>
      <c r="M191" s="47">
        <f ca="1">IFERROR(__xludf.DUMMYFUNCTION("IMPORTRANGE(""https://docs.google.com/spreadsheets/d/1-uDff_7J0KD5mKrp0Vvzr7lt3OU09vwQwhkpOPPYv2Y/edit?usp=sharing"",""งบพรบ!CZ79"")"),89900)</f>
        <v>89900</v>
      </c>
      <c r="N191" s="47">
        <f ca="1">IFERROR(__xludf.DUMMYFUNCTION("IMPORTRANGE(""https://docs.google.com/spreadsheets/d/1-uDff_7J0KD5mKrp0Vvzr7lt3OU09vwQwhkpOPPYv2Y/edit?usp=sharing"",""งบพรบ!DB79"")"),81342.04)</f>
        <v>81342.039999999994</v>
      </c>
      <c r="O191" s="47">
        <f ca="1">IF(L191&gt;0,N191*100/L191,0)</f>
        <v>90.480578420467182</v>
      </c>
      <c r="P191" s="47">
        <f ca="1">IF(M191&gt;0,N191*100/M191,0)</f>
        <v>90.480578420467182</v>
      </c>
      <c r="Q191" s="47">
        <f ca="1">IFERROR(__xludf.DUMMYFUNCTION("IMPORTRANGE(""https://docs.google.com/spreadsheets/d/1ItG2mGa2ceCfYo0BwxsXqNm01IGEUdYcSSLTEv9YCik/edit?usp=sharing"",""เบิกจ่ายกองทุน!BQ79"")"),0)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IFERROR(__xludf.DUMMYFUNCTION("IMPORTRANGE(""https://docs.google.com/spreadsheets/d/1ItG2mGa2ceCfYo0BwxsXqNm01IGEUdYcSSLTEv9YCik/edit?usp=sharing"",""เบิกจ่ายกองทุน!BR79"")"),0)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IFERROR(__xludf.DUMMYFUNCTION("IMPORTRANGE(""https://docs.google.com/spreadsheets/d/1ItG2mGa2ceCfYo0BwxsXqNm01IGEUdYcSSLTEv9YCik/edit?usp=sharing"",""เบิกจ่ายกองทุน!BS79"")"),0)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IFERROR(__xludf.DUMMYFUNCTION("IMPORTRANGE(""https://docs.google.com/spreadsheets/d/1-uDff_7J0KD5mKrp0Vvzr7lt3OU09vwQwhkpOPPYv2Y/edit?usp=sharing"",""งบพรบ!CX79"")"),0)</f>
        <v>0</v>
      </c>
      <c r="M194" s="47">
        <f ca="1">IFERROR(__xludf.DUMMYFUNCTION("IMPORTRANGE(""https://docs.google.com/spreadsheets/d/1-uDff_7J0KD5mKrp0Vvzr7lt3OU09vwQwhkpOPPYv2Y/edit?usp=sharing"",""งบพรบ!DA79"")"),0)</f>
        <v>0</v>
      </c>
      <c r="N194" s="47">
        <f ca="1">IFERROR(__xludf.DUMMYFUNCTION("IMPORTRANGE(""https://docs.google.com/spreadsheets/d/1-uDff_7J0KD5mKrp0Vvzr7lt3OU09vwQwhkpOPPYv2Y/edit?usp=sharing"",""งบพรบ!DC79"")"),0)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IFERROR(__xludf.DUMMYFUNCTION("IMPORTRANGE(""https://docs.google.com/spreadsheets/d/1ItG2mGa2ceCfYo0BwxsXqNm01IGEUdYcSSLTEv9YCik/edit?usp=sharing"",""เบิกจ่ายกองทุน!BT79"")"),0)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IFERROR(__xludf.DUMMYFUNCTION("IMPORTRANGE(""https://docs.google.com/spreadsheets/d/1ItG2mGa2ceCfYo0BwxsXqNm01IGEUdYcSSLTEv9YCik/edit?usp=sharing"",""เบิกจ่ายกองทุน!BU79"")"),0)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IFERROR(__xludf.DUMMYFUNCTION("IMPORTRANGE(""https://docs.google.com/spreadsheets/d/1ItG2mGa2ceCfYo0BwxsXqNm01IGEUdYcSSLTEv9YCik/edit?usp=sharing"",""เบิกจ่ายกองทุน!BV79"")"),0)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IFERROR(__xludf.DUMMYFUNCTION("IMPORTRANGE(""https://docs.google.com/spreadsheets/d/1eHaY18a8A9IcSdp1K8H6x8fbOy06t2VsZHhMHf-1x7Y/edit?usp=sharing"",""แผน!AB79"")"),6000)</f>
        <v>6000</v>
      </c>
      <c r="M196" s="46"/>
      <c r="N196" s="768">
        <v>4000</v>
      </c>
      <c r="O196" s="132">
        <f ca="1">IF(L196&gt;0,N196*100/L196,0)</f>
        <v>66.666666666666671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IFERROR(__xludf.DUMMYFUNCTION("IMPORTRANGE(""https://docs.google.com/spreadsheets/d/1eHaY18a8A9IcSdp1K8H6x8fbOy06t2VsZHhMHf-1x7Y/edit?usp=sharing"",""แผน!AE79"")"),4)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228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228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hidden="1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0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hidden="1" x14ac:dyDescent="0.3">
      <c r="A203" s="128"/>
      <c r="B203" s="41"/>
      <c r="C203" s="129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hidden="1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IFERROR(__xludf.DUMMYFUNCTION("IMPORTRANGE(""https://docs.google.com/spreadsheets/d/1eHaY18a8A9IcSdp1K8H6x8fbOy06t2VsZHhMHf-1x7Y/edit?usp=sharing"",""แผน!AG79"")"),0)</f>
        <v>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hidden="1" x14ac:dyDescent="0.25">
      <c r="A205" s="217"/>
      <c r="B205" s="159"/>
      <c r="C205" s="41"/>
      <c r="D205" s="48" t="s">
        <v>87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IFERROR(__xludf.DUMMYFUNCTION("IMPORTRANGE(""https://docs.google.com/spreadsheets/d/1eHaY18a8A9IcSdp1K8H6x8fbOy06t2VsZHhMHf-1x7Y/edit?usp=sharing"",""แผน!AH79"")"),0)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hidden="1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IFERROR(__xludf.DUMMYFUNCTION("IMPORTRANGE(""https://docs.google.com/spreadsheets/d/1eHaY18a8A9IcSdp1K8H6x8fbOy06t2VsZHhMHf-1x7Y/edit?usp=sharing"",""แผน!AI79"")"),0)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IFERROR(__xludf.DUMMYFUNCTION("IMPORTRANGE(""https://docs.google.com/spreadsheets/d/1eHaY18a8A9IcSdp1K8H6x8fbOy06t2VsZHhMHf-1x7Y/edit?usp=sharing"",""แผน!LV79"")"),0)</f>
        <v>0</v>
      </c>
      <c r="R206" s="46"/>
      <c r="S206" s="742">
        <v>0</v>
      </c>
      <c r="T206" s="136"/>
      <c r="U206" s="46"/>
    </row>
    <row r="207" spans="1:21" ht="18.75" hidden="1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IFERROR(__xludf.DUMMYFUNCTION("IMPORTRANGE(""https://docs.google.com/spreadsheets/d/1eHaY18a8A9IcSdp1K8H6x8fbOy06t2VsZHhMHf-1x7Y/edit?usp=sharing"",""แผน!AJ79"")"),0)</f>
        <v>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hidden="1" x14ac:dyDescent="0.3">
      <c r="A208" s="138"/>
      <c r="B208" s="139"/>
      <c r="C208" s="129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hidden="1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IFERROR(__xludf.DUMMYFUNCTION("IMPORTRANGE(""https://docs.google.com/spreadsheets/d/1eHaY18a8A9IcSdp1K8H6x8fbOy06t2VsZHhMHf-1x7Y/edit?usp=sharing"",""แผน!AK79"")"),0)</f>
        <v>0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hidden="1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hidden="1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IFERROR(__xludf.DUMMYFUNCTION("IMPORTRANGE(""https://docs.google.com/spreadsheets/d/1eHaY18a8A9IcSdp1K8H6x8fbOy06t2VsZHhMHf-1x7Y/edit?usp=sharing"",""แผน!AK79"")"),0)</f>
        <v>0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hidden="1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IFERROR(__xludf.DUMMYFUNCTION("IMPORTRANGE(""https://docs.google.com/spreadsheets/d/1eHaY18a8A9IcSdp1K8H6x8fbOy06t2VsZHhMHf-1x7Y/edit?usp=sharing"",""แผน!AK79"")"),0)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IFERROR(__xludf.DUMMYFUNCTION("IMPORTRANGE(""https://docs.google.com/spreadsheets/d/1eHaY18a8A9IcSdp1K8H6x8fbOy06t2VsZHhMHf-1x7Y/edit?usp=sharing"",""แผน!AM79"")"),0)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IFERROR(__xludf.DUMMYFUNCTION("IMPORTRANGE(""https://docs.google.com/spreadsheets/d/1eHaY18a8A9IcSdp1K8H6x8fbOy06t2VsZHhMHf-1x7Y/edit?usp=sharing"",""แผน!AN79"")"),0)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IFERROR(__xludf.DUMMYFUNCTION("IMPORTRANGE(""https://docs.google.com/spreadsheets/d/1eHaY18a8A9IcSdp1K8H6x8fbOy06t2VsZHhMHf-1x7Y/edit?usp=sharing"",""แผน!AO79"")"),0)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IFERROR(__xludf.DUMMYFUNCTION("IMPORTRANGE(""https://docs.google.com/spreadsheets/d/1eHaY18a8A9IcSdp1K8H6x8fbOy06t2VsZHhMHf-1x7Y/edit?usp=sharing"",""แผน!LY79"")"),0)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IFERROR(__xludf.DUMMYFUNCTION("IMPORTRANGE(""https://docs.google.com/spreadsheets/d/1eHaY18a8A9IcSdp1K8H6x8fbOy06t2VsZHhMHf-1x7Y/edit?usp=sharing"",""แผน!JX79"")"),0)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IFERROR(__xludf.DUMMYFUNCTION("IMPORTRANGE(""https://docs.google.com/spreadsheets/d/1eHaY18a8A9IcSdp1K8H6x8fbOy06t2VsZHhMHf-1x7Y/edit?usp=sharing"",""แผน!JY79"")"),0)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IFERROR(__xludf.DUMMYFUNCTION("IMPORTRANGE(""https://docs.google.com/spreadsheets/d/1eHaY18a8A9IcSdp1K8H6x8fbOy06t2VsZHhMHf-1x7Y/edit?usp=sharing"",""แผน!AR79"")"),3000)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IFERROR(__xludf.DUMMYFUNCTION("IMPORTRANGE(""https://docs.google.com/spreadsheets/d/1eHaY18a8A9IcSdp1K8H6x8fbOy06t2VsZHhMHf-1x7Y/edit?usp=sharing"",""แผน!AS79"")"),1500)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IFERROR(__xludf.DUMMYFUNCTION("IMPORTRANGE(""https://docs.google.com/spreadsheets/d/1eHaY18a8A9IcSdp1K8H6x8fbOy06t2VsZHhMHf-1x7Y/edit?usp=sharing"",""แผน!AT79"")"),0)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IFERROR(__xludf.DUMMYFUNCTION("IMPORTRANGE(""https://docs.google.com/spreadsheets/d/1eHaY18a8A9IcSdp1K8H6x8fbOy06t2VsZHhMHf-1x7Y/edit?usp=sharing"",""แผน!AV79"")"),10000)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IFERROR(__xludf.DUMMYFUNCTION("IMPORTRANGE(""https://docs.google.com/spreadsheets/d/1eHaY18a8A9IcSdp1K8H6x8fbOy06t2VsZHhMHf-1x7Y/edit?usp=sharing"",""แผน!AV79"")"),10000)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IFERROR(__xludf.DUMMYFUNCTION("IMPORTRANGE(""https://docs.google.com/spreadsheets/d/1eHaY18a8A9IcSdp1K8H6x8fbOy06t2VsZHhMHf-1x7Y/edit?usp=sharing"",""แผน!AU79"")"),0)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IFERROR(__xludf.DUMMYFUNCTION("IMPORTRANGE(""https://docs.google.com/spreadsheets/d/1eHaY18a8A9IcSdp1K8H6x8fbOy06t2VsZHhMHf-1x7Y/edit?usp=sharing"",""แผน!AX79"")"),0)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IFERROR(__xludf.DUMMYFUNCTION("IMPORTRANGE(""https://docs.google.com/spreadsheets/d/1eHaY18a8A9IcSdp1K8H6x8fbOy06t2VsZHhMHf-1x7Y/edit?usp=sharing"",""แผน!AY79"")"),0)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IFERROR(__xludf.DUMMYFUNCTION("IMPORTRANGE(""https://docs.google.com/spreadsheets/d/1eHaY18a8A9IcSdp1K8H6x8fbOy06t2VsZHhMHf-1x7Y/edit?usp=sharing"",""แผน!AZ79"")"),0)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IFERROR(__xludf.DUMMYFUNCTION("IMPORTRANGE(""https://docs.google.com/spreadsheets/d/1eHaY18a8A9IcSdp1K8H6x8fbOy06t2VsZHhMHf-1x7Y/edit?usp=sharing"",""แผน!BA79"")"),0)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IFERROR(__xludf.DUMMYFUNCTION("IMPORTRANGE(""https://docs.google.com/spreadsheets/d/1eHaY18a8A9IcSdp1K8H6x8fbOy06t2VsZHhMHf-1x7Y/edit?usp=sharing"",""แผน!BG79"")"),0)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IFERROR(__xludf.DUMMYFUNCTION("IMPORTRANGE(""https://docs.google.com/spreadsheets/d/1eHaY18a8A9IcSdp1K8H6x8fbOy06t2VsZHhMHf-1x7Y/edit?usp=sharing"",""แผน!BB79"")"),0)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IFERROR(__xludf.DUMMYFUNCTION("IMPORTRANGE(""https://docs.google.com/spreadsheets/d/1eHaY18a8A9IcSdp1K8H6x8fbOy06t2VsZHhMHf-1x7Y/edit?usp=sharing"",""แผน!BC79"")"),0)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IFERROR(__xludf.DUMMYFUNCTION("IMPORTRANGE(""https://docs.google.com/spreadsheets/d/1eHaY18a8A9IcSdp1K8H6x8fbOy06t2VsZHhMHf-1x7Y/edit?usp=sharing"",""แผน!BD79"")"),0)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IFERROR(__xludf.DUMMYFUNCTION("IMPORTRANGE(""https://docs.google.com/spreadsheets/d/1eHaY18a8A9IcSdp1K8H6x8fbOy06t2VsZHhMHf-1x7Y/edit?usp=sharing"",""แผน!BE79"")"),0)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IFERROR(__xludf.DUMMYFUNCTION("IMPORTRANGE(""https://docs.google.com/spreadsheets/d/1eHaY18a8A9IcSdp1K8H6x8fbOy06t2VsZHhMHf-1x7Y/edit?usp=sharing"",""แผน!BH79"")"),0)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20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5000</v>
      </c>
      <c r="O266" s="421">
        <f ca="1">IF(L266&gt;0,N266*100/L266,0)</f>
        <v>100</v>
      </c>
      <c r="P266" s="421">
        <f ca="1">IF(M266&gt;0,N266*100/M266,0)</f>
        <v>100</v>
      </c>
      <c r="Q266" s="421">
        <f ca="1">Q267+Q268</f>
        <v>47880</v>
      </c>
      <c r="R266" s="421">
        <f ca="1">R267+R268</f>
        <v>47880</v>
      </c>
      <c r="S266" s="421">
        <f ca="1">S267+S268</f>
        <v>45150</v>
      </c>
      <c r="T266" s="421">
        <f ca="1">IF(Q266&gt;0,S266*100/Q266,0)</f>
        <v>94.298245614035082</v>
      </c>
      <c r="U266" s="421">
        <f ca="1">IF(R266&gt;0,S266*100/R266,0)</f>
        <v>94.298245614035082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5000</v>
      </c>
      <c r="O268" s="331">
        <f ca="1">IF(L268&gt;0,N268*100/L268,0)</f>
        <v>100</v>
      </c>
      <c r="P268" s="331">
        <f ca="1">IF(M268&gt;0,N268*100/M268,0)</f>
        <v>100</v>
      </c>
      <c r="Q268" s="331">
        <f ca="1">Q271+Q274</f>
        <v>47880</v>
      </c>
      <c r="R268" s="331">
        <f ca="1">R271+R274</f>
        <v>47880</v>
      </c>
      <c r="S268" s="331">
        <f ca="1">S271+S274</f>
        <v>45150</v>
      </c>
      <c r="T268" s="331">
        <f ca="1">IF(Q268&gt;0,S268*100/Q268,0)</f>
        <v>94.298245614035082</v>
      </c>
      <c r="U268" s="331">
        <f ca="1">IF(R268&gt;0,S268*100/R268,0)</f>
        <v>94.298245614035082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5000</v>
      </c>
      <c r="O269" s="331">
        <f ca="1">IF(L269&gt;0,N269*100/L269,0)</f>
        <v>100</v>
      </c>
      <c r="P269" s="331">
        <f ca="1">IF(M269&gt;0,N269*100/M269,0)</f>
        <v>100</v>
      </c>
      <c r="Q269" s="331">
        <f ca="1">Q270+Q271</f>
        <v>47880</v>
      </c>
      <c r="R269" s="331">
        <f ca="1">R270+R271</f>
        <v>47880</v>
      </c>
      <c r="S269" s="331">
        <f ca="1">S270+S271</f>
        <v>45150</v>
      </c>
      <c r="T269" s="331">
        <f ca="1">IF(Q269&gt;0,S269*100/Q269,0)</f>
        <v>94.298245614035082</v>
      </c>
      <c r="U269" s="331">
        <f ca="1">IF(R269&gt;0,S269*100/R269,0)</f>
        <v>94.298245614035082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IFERROR(__xludf.DUMMYFUNCTION("IMPORTRANGE(""https://docs.google.com/spreadsheets/d/1-uDff_7J0KD5mKrp0Vvzr7lt3OU09vwQwhkpOPPYv2Y/edit?usp=sharing"",""งบพรบ!DE79"")"),5000)</f>
        <v>5000</v>
      </c>
      <c r="M271" s="331">
        <f ca="1">IFERROR(__xludf.DUMMYFUNCTION("IMPORTRANGE(""https://docs.google.com/spreadsheets/d/1-uDff_7J0KD5mKrp0Vvzr7lt3OU09vwQwhkpOPPYv2Y/edit?usp=sharing"",""งบพรบ!DJ79"")"),5000)</f>
        <v>5000</v>
      </c>
      <c r="N271" s="331">
        <f ca="1">IFERROR(__xludf.DUMMYFUNCTION("IMPORTRANGE(""https://docs.google.com/spreadsheets/d/1-uDff_7J0KD5mKrp0Vvzr7lt3OU09vwQwhkpOPPYv2Y/edit?usp=sharing"",""งบพรบ!DL79"")"),5000)</f>
        <v>5000</v>
      </c>
      <c r="O271" s="331">
        <f ca="1">IF(L271&gt;0,N271*100/L271,0)</f>
        <v>100</v>
      </c>
      <c r="P271" s="331">
        <f ca="1">IF(M271&gt;0,N271*100/M271,0)</f>
        <v>100</v>
      </c>
      <c r="Q271" s="331">
        <f ca="1">IFERROR(__xludf.DUMMYFUNCTION("IMPORTRANGE(""https://docs.google.com/spreadsheets/d/1ItG2mGa2ceCfYo0BwxsXqNm01IGEUdYcSSLTEv9YCik/edit?usp=sharing"",""เบิกจ่ายกองทุน!AP79"")"),47880)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IFERROR(__xludf.DUMMYFUNCTION("IMPORTRANGE(""https://docs.google.com/spreadsheets/d/1ItG2mGa2ceCfYo0BwxsXqNm01IGEUdYcSSLTEv9YCik/edit?usp=sharing"",""เบิกจ่ายกองทุน!AQ79"")"),47880)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IFERROR(__xludf.DUMMYFUNCTION("IMPORTRANGE(""https://docs.google.com/spreadsheets/d/1ItG2mGa2ceCfYo0BwxsXqNm01IGEUdYcSSLTEv9YCik/edit?usp=sharing"",""เบิกจ่ายกองทุน!AR79"")"),45150)</f>
        <v>45150</v>
      </c>
      <c r="T271" s="331">
        <f ca="1">IF(Q271&gt;0,S271*100/Q271,0)</f>
        <v>94.298245614035082</v>
      </c>
      <c r="U271" s="331">
        <f ca="1">IF(R271&gt;0,S271*100/R271,0)</f>
        <v>94.298245614035082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IFERROR(__xludf.DUMMYFUNCTION("IMPORTRANGE(""https://docs.google.com/spreadsheets/d/1-uDff_7J0KD5mKrp0Vvzr7lt3OU09vwQwhkpOPPYv2Y/edit?usp=sharing"",""งบพรบ!DH79"")"),0)</f>
        <v>0</v>
      </c>
      <c r="M274" s="331">
        <f ca="1">IFERROR(__xludf.DUMMYFUNCTION("IMPORTRANGE(""https://docs.google.com/spreadsheets/d/1-uDff_7J0KD5mKrp0Vvzr7lt3OU09vwQwhkpOPPYv2Y/edit?usp=sharing"",""งบพรบ!DK79"")"),0)</f>
        <v>0</v>
      </c>
      <c r="N274" s="331">
        <f ca="1">IFERROR(__xludf.DUMMYFUNCTION("IMPORTRANGE(""https://docs.google.com/spreadsheets/d/1-uDff_7J0KD5mKrp0Vvzr7lt3OU09vwQwhkpOPPYv2Y/edit?usp=sharing"",""งบพรบ!DM79"")"),0)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IFERROR(__xludf.DUMMYFUNCTION("IMPORTRANGE(""https://docs.google.com/spreadsheets/d/1eHaY18a8A9IcSdp1K8H6x8fbOy06t2VsZHhMHf-1x7Y/edit?usp=sharing"",""แผน!EC79"")"),20)</f>
        <v>20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IFERROR(__xludf.DUMMYFUNCTION("IMPORTRANGE(""https://docs.google.com/spreadsheets/d/1-uDff_7J0KD5mKrp0Vvzr7lt3OU09vwQwhkpOPPYv2Y/edit?usp=sharing"",""งบพรบ!DO79"")"),0)</f>
        <v>0</v>
      </c>
      <c r="M287" s="47">
        <f ca="1">IFERROR(__xludf.DUMMYFUNCTION("IMPORTRANGE(""https://docs.google.com/spreadsheets/d/1-uDff_7J0KD5mKrp0Vvzr7lt3OU09vwQwhkpOPPYv2Y/edit?usp=sharing"",""งบพรบ!DT79"")"),0)</f>
        <v>0</v>
      </c>
      <c r="N287" s="47">
        <f ca="1">IFERROR(__xludf.DUMMYFUNCTION("IMPORTRANGE(""https://docs.google.com/spreadsheets/d/1-uDff_7J0KD5mKrp0Vvzr7lt3OU09vwQwhkpOPPYv2Y/edit?usp=sharing"",""งบพรบ!DV79"")"),0)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IFERROR(__xludf.DUMMYFUNCTION("IMPORTRANGE(""https://docs.google.com/spreadsheets/d/1-uDff_7J0KD5mKrp0Vvzr7lt3OU09vwQwhkpOPPYv2Y/edit?usp=sharing"",""งบพรบ!DR79"")"),0)</f>
        <v>0</v>
      </c>
      <c r="M290" s="47">
        <f ca="1">IFERROR(__xludf.DUMMYFUNCTION("IMPORTRANGE(""https://docs.google.com/spreadsheets/d/1-uDff_7J0KD5mKrp0Vvzr7lt3OU09vwQwhkpOPPYv2Y/edit?usp=sharing"",""งบพรบ!DU79"")"),0)</f>
        <v>0</v>
      </c>
      <c r="N290" s="47">
        <f ca="1">IFERROR(__xludf.DUMMYFUNCTION("IMPORTRANGE(""https://docs.google.com/spreadsheets/d/1-uDff_7J0KD5mKrp0Vvzr7lt3OU09vwQwhkpOPPYv2Y/edit?usp=sharing"",""งบพรบ!DW79"")"),0)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IFERROR(__xludf.DUMMYFUNCTION("IMPORTRANGE(""https://docs.google.com/spreadsheets/d/1eHaY18a8A9IcSdp1K8H6x8fbOy06t2VsZHhMHf-1x7Y/edit?usp=sharing"",""แผน!EE79"")"),0)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IFERROR(__xludf.DUMMYFUNCTION("IMPORTRANGE(""https://docs.google.com/spreadsheets/d/1eHaY18a8A9IcSdp1K8H6x8fbOy06t2VsZHhMHf-1x7Y/edit?usp=sharing"",""แผน!ED79"")"),0)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IFERROR(__xludf.DUMMYFUNCTION("IMPORTRANGE(""https://docs.google.com/spreadsheets/d/1eHaY18a8A9IcSdp1K8H6x8fbOy06t2VsZHhMHf-1x7Y/edit?usp=sharing"",""แผน!ED79"")"),0)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IFERROR(__xludf.DUMMYFUNCTION("IMPORTRANGE(""https://docs.google.com/spreadsheets/d/1eHaY18a8A9IcSdp1K8H6x8fbOy06t2VsZHhMHf-1x7Y/edit?usp=sharing"",""แผน!ED79"")"),0)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hidden="1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hidden="1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0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hidden="1" x14ac:dyDescent="0.3">
      <c r="A303" s="128"/>
      <c r="B303" s="41"/>
      <c r="C303" s="129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0</v>
      </c>
      <c r="R303" s="132">
        <f ca="1">R304+R305</f>
        <v>0</v>
      </c>
      <c r="S303" s="132">
        <f ca="1">S304+S305</f>
        <v>0</v>
      </c>
      <c r="T303" s="132">
        <f ca="1">IF(Q303&gt;0,S303*100/Q303,0)</f>
        <v>0</v>
      </c>
      <c r="U303" s="132">
        <f ca="1">IF(R303&gt;0,S303*100/R303,0)</f>
        <v>0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0</v>
      </c>
      <c r="R305" s="47">
        <f ca="1">R308+R311</f>
        <v>0</v>
      </c>
      <c r="S305" s="47">
        <f ca="1">S308+S311</f>
        <v>0</v>
      </c>
      <c r="T305" s="47">
        <f ca="1">IF(Q305&gt;0,S305*100/Q305,0)</f>
        <v>0</v>
      </c>
      <c r="U305" s="47">
        <f ca="1">IF(R305&gt;0,S305*100/R305,0)</f>
        <v>0</v>
      </c>
    </row>
    <row r="306" spans="1:21" ht="18.75" hidden="1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0</v>
      </c>
      <c r="R306" s="47">
        <f ca="1">R307+R308</f>
        <v>0</v>
      </c>
      <c r="S306" s="47">
        <f ca="1">S307+S308</f>
        <v>0</v>
      </c>
      <c r="T306" s="47">
        <f ca="1">IF(Q306&gt;0,S306*100/Q306,0)</f>
        <v>0</v>
      </c>
      <c r="U306" s="47">
        <f ca="1">IF(R306&gt;0,S306*100/R306,0)</f>
        <v>0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IFERROR(__xludf.DUMMYFUNCTION("IMPORTRANGE(""https://docs.google.com/spreadsheets/d/1-uDff_7J0KD5mKrp0Vvzr7lt3OU09vwQwhkpOPPYv2Y/edit?usp=sharing"",""งบพรบ!DY79"")"),0)</f>
        <v>0</v>
      </c>
      <c r="M308" s="47">
        <f ca="1">IFERROR(__xludf.DUMMYFUNCTION("IMPORTRANGE(""https://docs.google.com/spreadsheets/d/1-uDff_7J0KD5mKrp0Vvzr7lt3OU09vwQwhkpOPPYv2Y/edit?usp=sharing"",""งบพรบ!ED79"")"),0)</f>
        <v>0</v>
      </c>
      <c r="N308" s="47">
        <f ca="1">IFERROR(__xludf.DUMMYFUNCTION("IMPORTRANGE(""https://docs.google.com/spreadsheets/d/1-uDff_7J0KD5mKrp0Vvzr7lt3OU09vwQwhkpOPPYv2Y/edit?usp=sharing"",""งบพรบ!EF79"")"),0)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IFERROR(__xludf.DUMMYFUNCTION("IMPORTRANGE(""https://docs.google.com/spreadsheets/d/1ItG2mGa2ceCfYo0BwxsXqNm01IGEUdYcSSLTEv9YCik/edit?usp=sharing"",""เบิกจ่ายกองทุน!BB79"")"),0)</f>
        <v>0</v>
      </c>
      <c r="R308" s="47">
        <f ca="1">IFERROR(__xludf.DUMMYFUNCTION("IMPORTRANGE(""https://docs.google.com/spreadsheets/d/1ItG2mGa2ceCfYo0BwxsXqNm01IGEUdYcSSLTEv9YCik/edit?usp=sharing"",""เบิกจ่ายกองทุน!BC79"")"),0)</f>
        <v>0</v>
      </c>
      <c r="S308" s="47">
        <f ca="1">IFERROR(__xludf.DUMMYFUNCTION("IMPORTRANGE(""https://docs.google.com/spreadsheets/d/1ItG2mGa2ceCfYo0BwxsXqNm01IGEUdYcSSLTEv9YCik/edit?usp=sharing"",""เบิกจ่ายกองทุน!BD79"")"),0)</f>
        <v>0</v>
      </c>
      <c r="T308" s="47">
        <f ca="1">IF(Q308&gt;0,S308*100/Q308,0)</f>
        <v>0</v>
      </c>
      <c r="U308" s="47">
        <f ca="1">IF(R308&gt;0,S308*100/R308,0)</f>
        <v>0</v>
      </c>
    </row>
    <row r="309" spans="1:21" ht="18.75" hidden="1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IFERROR(__xludf.DUMMYFUNCTION("IMPORTRANGE(""https://docs.google.com/spreadsheets/d/1-uDff_7J0KD5mKrp0Vvzr7lt3OU09vwQwhkpOPPYv2Y/edit?usp=sharing"",""งบพรบ!EB79"")"),0)</f>
        <v>0</v>
      </c>
      <c r="M311" s="47">
        <f ca="1">IFERROR(__xludf.DUMMYFUNCTION("IMPORTRANGE(""https://docs.google.com/spreadsheets/d/1-uDff_7J0KD5mKrp0Vvzr7lt3OU09vwQwhkpOPPYv2Y/edit?usp=sharing"",""งบพรบ!EE79"")"),0)</f>
        <v>0</v>
      </c>
      <c r="N311" s="47">
        <f ca="1">IFERROR(__xludf.DUMMYFUNCTION("IMPORTRANGE(""https://docs.google.com/spreadsheets/d/1-uDff_7J0KD5mKrp0Vvzr7lt3OU09vwQwhkpOPPYv2Y/edit?usp=sharing"",""งบพรบ!EG79"")"),0)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hidden="1" x14ac:dyDescent="0.3">
      <c r="A312" s="138"/>
      <c r="B312" s="139"/>
      <c r="C312" s="129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hidden="1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IFERROR(__xludf.DUMMYFUNCTION("IMPORTRANGE(""https://docs.google.com/spreadsheets/d/1eHaY18a8A9IcSdp1K8H6x8fbOy06t2VsZHhMHf-1x7Y/edit?usp=sharing"",""แผน!EF79"")"),0)</f>
        <v>0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IFERROR(__xludf.DUMMYFUNCTION("IMPORTRANGE(""https://docs.google.com/spreadsheets/d/1-uDff_7J0KD5mKrp0Vvzr7lt3OU09vwQwhkpOPPYv2Y/edit?usp=sharing"",""งบพรบ!EI79"")"),0)</f>
        <v>0</v>
      </c>
      <c r="M325" s="47">
        <f ca="1">IFERROR(__xludf.DUMMYFUNCTION("IMPORTRANGE(""https://docs.google.com/spreadsheets/d/1-uDff_7J0KD5mKrp0Vvzr7lt3OU09vwQwhkpOPPYv2Y/edit?usp=sharing"",""งบพรบ!EN79"")"),0)</f>
        <v>0</v>
      </c>
      <c r="N325" s="47">
        <f ca="1">IFERROR(__xludf.DUMMYFUNCTION("IMPORTRANGE(""https://docs.google.com/spreadsheets/d/1-uDff_7J0KD5mKrp0Vvzr7lt3OU09vwQwhkpOPPYv2Y/edit?usp=sharing"",""งบพรบ!EP79"")"),0)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IFERROR(__xludf.DUMMYFUNCTION("IMPORTRANGE(""https://docs.google.com/spreadsheets/d/1-uDff_7J0KD5mKrp0Vvzr7lt3OU09vwQwhkpOPPYv2Y/edit?usp=sharing"",""งบพรบ!EL79"")"),0)</f>
        <v>0</v>
      </c>
      <c r="M328" s="47">
        <f ca="1">IFERROR(__xludf.DUMMYFUNCTION("IMPORTRANGE(""https://docs.google.com/spreadsheets/d/1-uDff_7J0KD5mKrp0Vvzr7lt3OU09vwQwhkpOPPYv2Y/edit?usp=sharing"",""งบพรบ!EO79"")"),0)</f>
        <v>0</v>
      </c>
      <c r="N328" s="47">
        <f ca="1">IFERROR(__xludf.DUMMYFUNCTION("IMPORTRANGE(""https://docs.google.com/spreadsheets/d/1-uDff_7J0KD5mKrp0Vvzr7lt3OU09vwQwhkpOPPYv2Y/edit?usp=sharing"",""งบพรบ!EQ79"")"),0)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IFERROR(__xludf.DUMMYFUNCTION("IMPORTRANGE(""https://docs.google.com/spreadsheets/d/1eHaY18a8A9IcSdp1K8H6x8fbOy06t2VsZHhMHf-1x7Y/edit?usp=sharing"",""แผน!EJ79"")"),0)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J344+J347+J348+J349+J353+J354</f>
        <v>800</v>
      </c>
      <c r="K332" s="696">
        <f ca="1">IF(I332&gt;0,J332*100/I332,0)</f>
        <v>400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276500</v>
      </c>
      <c r="M333" s="132">
        <f ca="1">M334+M335</f>
        <v>276500</v>
      </c>
      <c r="N333" s="132">
        <f ca="1">N334+N335</f>
        <v>184724.53</v>
      </c>
      <c r="O333" s="132">
        <f ca="1">IF(L333&gt;0,N333*100/L333,0)</f>
        <v>66.808148282097648</v>
      </c>
      <c r="P333" s="132">
        <f ca="1">IF(M333&gt;0,N333*100/M333,0)</f>
        <v>66.808148282097648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276500</v>
      </c>
      <c r="M335" s="47">
        <f ca="1">M338+M341</f>
        <v>276500</v>
      </c>
      <c r="N335" s="47">
        <f ca="1">N338+N341</f>
        <v>184724.53</v>
      </c>
      <c r="O335" s="47">
        <f ca="1">IF(L335&gt;0,N335*100/L335,0)</f>
        <v>66.808148282097648</v>
      </c>
      <c r="P335" s="47">
        <f ca="1">IF(M335&gt;0,N335*100/M335,0)</f>
        <v>66.808148282097648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276500</v>
      </c>
      <c r="M336" s="47">
        <f ca="1">M337+M338</f>
        <v>276500</v>
      </c>
      <c r="N336" s="47">
        <f ca="1">N337+N338</f>
        <v>184724.53</v>
      </c>
      <c r="O336" s="47">
        <f ca="1">IF(L336&gt;0,N336*100/L336,0)</f>
        <v>66.808148282097648</v>
      </c>
      <c r="P336" s="47">
        <f ca="1">IF(M336&gt;0,N336*100/M336,0)</f>
        <v>66.808148282097648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IFERROR(__xludf.DUMMYFUNCTION("IMPORTRANGE(""https://docs.google.com/spreadsheets/d/1-uDff_7J0KD5mKrp0Vvzr7lt3OU09vwQwhkpOPPYv2Y/edit?usp=sharing"",""งบพรบ!ES79"")"),276500)</f>
        <v>276500</v>
      </c>
      <c r="M338" s="47">
        <f ca="1">IFERROR(__xludf.DUMMYFUNCTION("IMPORTRANGE(""https://docs.google.com/spreadsheets/d/1-uDff_7J0KD5mKrp0Vvzr7lt3OU09vwQwhkpOPPYv2Y/edit?usp=sharing"",""งบพรบ!EX79"")"),276500)</f>
        <v>276500</v>
      </c>
      <c r="N338" s="47">
        <f ca="1">IFERROR(__xludf.DUMMYFUNCTION("IMPORTRANGE(""https://docs.google.com/spreadsheets/d/1-uDff_7J0KD5mKrp0Vvzr7lt3OU09vwQwhkpOPPYv2Y/edit?usp=sharing"",""งบพรบ!EZ79"")"),184724.53)</f>
        <v>184724.53</v>
      </c>
      <c r="O338" s="47">
        <f ca="1">IF(L338&gt;0,N338*100/L338,0)</f>
        <v>66.808148282097648</v>
      </c>
      <c r="P338" s="47">
        <f ca="1">IF(M338&gt;0,N338*100/M338,0)</f>
        <v>66.808148282097648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IFERROR(__xludf.DUMMYFUNCTION("IMPORTRANGE(""https://docs.google.com/spreadsheets/d/1-uDff_7J0KD5mKrp0Vvzr7lt3OU09vwQwhkpOPPYv2Y/edit?usp=sharing"",""งบพรบ!EV79"")"),0)</f>
        <v>0</v>
      </c>
      <c r="M341" s="47">
        <f ca="1">IFERROR(__xludf.DUMMYFUNCTION("IMPORTRANGE(""https://docs.google.com/spreadsheets/d/1-uDff_7J0KD5mKrp0Vvzr7lt3OU09vwQwhkpOPPYv2Y/edit?usp=sharing"",""งบพรบ!EY79"")"),0)</f>
        <v>0</v>
      </c>
      <c r="N341" s="47">
        <f ca="1">IFERROR(__xludf.DUMMYFUNCTION("IMPORTRANGE(""https://docs.google.com/spreadsheets/d/1-uDff_7J0KD5mKrp0Vvzr7lt3OU09vwQwhkpOPPYv2Y/edit?usp=sharing"",""งบพรบ!FA79"")"),0)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405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IFERROR(__xludf.DUMMYFUNCTION("IMPORTRANGE(""https://docs.google.com/spreadsheets/d/1eHaY18a8A9IcSdp1K8H6x8fbOy06t2VsZHhMHf-1x7Y/edit?usp=sharing"",""แผน!EK79"")"),200)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IFERROR(__xludf.DUMMYFUNCTION("IMPORTRANGE(""https://docs.google.com/spreadsheets/d/1awYsYK3VOup2i3Pq_Yjnu8DRu_mYwSBnCR2QPthd0rU/edit?usp=sharing"",""ศูนย์ยกเว้นโฉนด!D79"")"),292)</f>
        <v>292</v>
      </c>
      <c r="K344" s="47">
        <f ca="1">IF(I344&gt;0,J344*100/I344,0)</f>
        <v>146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IFERROR(__xludf.DUMMYFUNCTION("IMPORTRANGE(""https://docs.google.com/spreadsheets/d/1eHaY18a8A9IcSdp1K8H6x8fbOy06t2VsZHhMHf-1x7Y/edit?usp=sharing"",""แผน!EL79"")"),1)</f>
        <v>1</v>
      </c>
      <c r="J346" s="152">
        <f ca="1">IFERROR(__xludf.DUMMYFUNCTION("IMPORTRANGE(""https://docs.google.com/spreadsheets/d/1awYsYK3VOup2i3Pq_Yjnu8DRu_mYwSBnCR2QPthd0rU/edit?usp=sharing"",""ศูนย์รวม!E79"")"),1)</f>
        <v>1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IFERROR(__xludf.DUMMYFUNCTION("IMPORTRANGE(""https://docs.google.com/spreadsheets/d/1awYsYK3VOup2i3Pq_Yjnu8DRu_mYwSBnCR2QPthd0rU/edit?usp=sharing"",""ศูนย์ยกเว้นโฉนด!F79"")"),106)</f>
        <v>106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IFERROR(__xludf.DUMMYFUNCTION("IMPORTRANGE(""https://docs.google.com/spreadsheets/d/1awYsYK3VOup2i3Pq_Yjnu8DRu_mYwSBnCR2QPthd0rU/edit?usp=sharing"",""ศูนย์ยกเว้นโฉนด!G79"")"),7)</f>
        <v>7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IFERROR(__xludf.DUMMYFUNCTION("IMPORTRANGE(""https://docs.google.com/spreadsheets/d/1awYsYK3VOup2i3Pq_Yjnu8DRu_mYwSBnCR2QPthd0rU/edit?usp=sharing"",""ศูนย์ยกเว้นโฉนด!H79"")"),0)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J352+J353+J354</f>
        <v>395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IFERROR(__xludf.DUMMYFUNCTION("IMPORTRANGE(""https://docs.google.com/spreadsheets/d/1awYsYK3VOup2i3Pq_Yjnu8DRu_mYwSBnCR2QPthd0rU/edit?usp=sharing"",""โฉนดM3!G79"")"),0)</f>
        <v>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IFERROR(__xludf.DUMMYFUNCTION("IMPORTRANGE(""https://docs.google.com/spreadsheets/d/1awYsYK3VOup2i3Pq_Yjnu8DRu_mYwSBnCR2QPthd0rU/edit?usp=sharing"",""โฉนดM3!H79"")"),241)</f>
        <v>241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8.75" x14ac:dyDescent="0.25">
      <c r="A354" s="217"/>
      <c r="B354" s="41"/>
      <c r="C354" s="159"/>
      <c r="D354" s="317"/>
      <c r="E354" s="149" t="s">
        <v>318</v>
      </c>
      <c r="F354" s="41"/>
      <c r="G354" s="43"/>
      <c r="H354" s="133" t="s">
        <v>35</v>
      </c>
      <c r="I354" s="45"/>
      <c r="J354" s="873">
        <f ca="1">IFERROR(__xludf.DUMMYFUNCTION("IMPORTRANGE(""https://docs.google.com/spreadsheets/d/1awYsYK3VOup2i3Pq_Yjnu8DRu_mYwSBnCR2QPthd0rU/edit?usp=sharing"",""โฉนดM3!I79"")"),154)</f>
        <v>154</v>
      </c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396190</v>
      </c>
      <c r="M356" s="132">
        <f ca="1">M357+M358</f>
        <v>396190</v>
      </c>
      <c r="N356" s="132">
        <f ca="1">N357+N358</f>
        <v>274535</v>
      </c>
      <c r="O356" s="132">
        <f ca="1">IF(L356&gt;0,N356*100/L356,0)</f>
        <v>69.293773189631239</v>
      </c>
      <c r="P356" s="132">
        <f ca="1">IF(M356&gt;0,N356*100/M356,0)</f>
        <v>69.293773189631239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396190</v>
      </c>
      <c r="M358" s="47">
        <f ca="1">M361+M364</f>
        <v>396190</v>
      </c>
      <c r="N358" s="47">
        <f ca="1">N361+N364</f>
        <v>274535</v>
      </c>
      <c r="O358" s="47">
        <f ca="1">IF(L358&gt;0,N358*100/L358,0)</f>
        <v>69.293773189631239</v>
      </c>
      <c r="P358" s="47">
        <f ca="1">IF(M358&gt;0,N358*100/M358,0)</f>
        <v>69.293773189631239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396190</v>
      </c>
      <c r="M359" s="47">
        <f ca="1">M360+M361</f>
        <v>396190</v>
      </c>
      <c r="N359" s="47">
        <f ca="1">N360+N361</f>
        <v>274535</v>
      </c>
      <c r="O359" s="47">
        <f ca="1">IF(L359&gt;0,N359*100/L359,0)</f>
        <v>69.293773189631239</v>
      </c>
      <c r="P359" s="47">
        <f ca="1">IF(M359&gt;0,N359*100/M359,0)</f>
        <v>69.293773189631239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IFERROR(__xludf.DUMMYFUNCTION("IMPORTRANGE(""https://docs.google.com/spreadsheets/d/1-uDff_7J0KD5mKrp0Vvzr7lt3OU09vwQwhkpOPPYv2Y/edit?usp=sharing"",""งบพรบ!FC79"")"),396190)</f>
        <v>396190</v>
      </c>
      <c r="M361" s="47">
        <f ca="1">IFERROR(__xludf.DUMMYFUNCTION("IMPORTRANGE(""https://docs.google.com/spreadsheets/d/1-uDff_7J0KD5mKrp0Vvzr7lt3OU09vwQwhkpOPPYv2Y/edit?usp=sharing"",""งบพรบ!FH79"")"),396190)</f>
        <v>396190</v>
      </c>
      <c r="N361" s="47">
        <f ca="1">IFERROR(__xludf.DUMMYFUNCTION("IMPORTRANGE(""https://docs.google.com/spreadsheets/d/1-uDff_7J0KD5mKrp0Vvzr7lt3OU09vwQwhkpOPPYv2Y/edit?usp=sharing"",""งบพรบ!FJ79"")"),274535)</f>
        <v>274535</v>
      </c>
      <c r="O361" s="47">
        <f ca="1">IF(L361&gt;0,N361*100/L361,0)</f>
        <v>69.293773189631239</v>
      </c>
      <c r="P361" s="47">
        <f ca="1">IF(M361&gt;0,N361*100/M361,0)</f>
        <v>69.293773189631239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IFERROR(__xludf.DUMMYFUNCTION("IMPORTRANGE(""https://docs.google.com/spreadsheets/d/1-uDff_7J0KD5mKrp0Vvzr7lt3OU09vwQwhkpOPPYv2Y/edit?usp=sharing"",""งบพรบ!FF79"")"),0)</f>
        <v>0</v>
      </c>
      <c r="M364" s="47">
        <f ca="1">IFERROR(__xludf.DUMMYFUNCTION("IMPORTRANGE(""https://docs.google.com/spreadsheets/d/1-uDff_7J0KD5mKrp0Vvzr7lt3OU09vwQwhkpOPPYv2Y/edit?usp=sharing"",""งบพรบ!FI79"")"),0)</f>
        <v>0</v>
      </c>
      <c r="N364" s="47">
        <f ca="1">IFERROR(__xludf.DUMMYFUNCTION("IMPORTRANGE(""https://docs.google.com/spreadsheets/d/1-uDff_7J0KD5mKrp0Vvzr7lt3OU09vwQwhkpOPPYv2Y/edit?usp=sharing"",""งบพรบ!FK79"")"),0)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36</v>
      </c>
      <c r="J365" s="228">
        <f ca="1">J371</f>
        <v>17</v>
      </c>
      <c r="K365" s="229">
        <f ca="1">IF(I365&gt;0,J365*100/I365,0)</f>
        <v>47.222222222222221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IFERROR(__xludf.DUMMYFUNCTION("IMPORTRANGE(""https://docs.google.com/spreadsheets/d/1tdoBKaGub7dwA3U6UFTqxio9LNnvDCQjHKmttSEBsFQ/edit?usp=sharing"",""จัดที่ดิน!AB79"")"),13)</f>
        <v>13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IFERROR(__xludf.DUMMYFUNCTION("IMPORTRANGE(""https://docs.google.com/spreadsheets/d/1eHaY18a8A9IcSdp1K8H6x8fbOy06t2VsZHhMHf-1x7Y/edit?usp=sharing"",""แผน!EW79"")"),70)</f>
        <v>70</v>
      </c>
      <c r="J368" s="685">
        <f ca="1">IFERROR(__xludf.DUMMYFUNCTION("IMPORTRANGE(""https://docs.google.com/spreadsheets/d/1tdoBKaGub7dwA3U6UFTqxio9LNnvDCQjHKmttSEBsFQ/edit?usp=sharing"",""จัดที่ดิน!AC79"")"),67.22)</f>
        <v>67.22</v>
      </c>
      <c r="K368" s="47">
        <f ca="1">IF(I368&gt;0,J368*100/I368,0)</f>
        <v>96.028571428571425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IFERROR(__xludf.DUMMYFUNCTION("IMPORTRANGE(""https://docs.google.com/spreadsheets/d/1eHaY18a8A9IcSdp1K8H6x8fbOy06t2VsZHhMHf-1x7Y/edit?usp=sharing"",""แผน!EX79"")"),36)</f>
        <v>36</v>
      </c>
      <c r="J369" s="152">
        <f ca="1">IFERROR(__xludf.DUMMYFUNCTION("IMPORTRANGE(""https://docs.google.com/spreadsheets/d/1tdoBKaGub7dwA3U6UFTqxio9LNnvDCQjHKmttSEBsFQ/edit?usp=sharing"",""จัดที่ดิน!AD79"")"),29)</f>
        <v>29</v>
      </c>
      <c r="K369" s="47">
        <f ca="1">IF(I369&gt;0,J369*100/I369,0)</f>
        <v>80.555555555555557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IFERROR(__xludf.DUMMYFUNCTION("IMPORTRANGE(""https://docs.google.com/spreadsheets/d/1tdoBKaGub7dwA3U6UFTqxio9LNnvDCQjHKmttSEBsFQ/edit?usp=sharing"",""จัดที่ดิน!AE79"")"),136.28)</f>
        <v>136.28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IFERROR(__xludf.DUMMYFUNCTION("IMPORTRANGE(""https://docs.google.com/spreadsheets/d/1eHaY18a8A9IcSdp1K8H6x8fbOy06t2VsZHhMHf-1x7Y/edit?usp=sharing"",""แผน!EY79"")"),36)</f>
        <v>36</v>
      </c>
      <c r="J371" s="152">
        <f ca="1">IFERROR(__xludf.DUMMYFUNCTION("IMPORTRANGE(""https://docs.google.com/spreadsheets/d/1tdoBKaGub7dwA3U6UFTqxio9LNnvDCQjHKmttSEBsFQ/edit?usp=sharing"",""จัดที่ดิน!AF79"")"),17)</f>
        <v>17</v>
      </c>
      <c r="K371" s="47">
        <f ca="1">IF(I371&gt;0,J371*100/I371,0)</f>
        <v>47.222222222222221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IFERROR(__xludf.DUMMYFUNCTION("IMPORTRANGE(""https://docs.google.com/spreadsheets/d/1tdoBKaGub7dwA3U6UFTqxio9LNnvDCQjHKmttSEBsFQ/edit?usp=sharing"",""จัดที่ดิน!AG79"")"),96.08)</f>
        <v>96.08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1000</v>
      </c>
      <c r="J374" s="677">
        <f ca="1">J386+J388</f>
        <v>43</v>
      </c>
      <c r="K374" s="676">
        <f ca="1">IF(I374&gt;0,J374*100/I374,0)</f>
        <v>4.3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62500</v>
      </c>
      <c r="R375" s="132">
        <f ca="1">R376+R377</f>
        <v>62500</v>
      </c>
      <c r="S375" s="132">
        <f ca="1">S376+S377</f>
        <v>3200</v>
      </c>
      <c r="T375" s="132">
        <f ca="1">IF(Q375&gt;0,S375*100/Q375,0)</f>
        <v>5.12</v>
      </c>
      <c r="U375" s="132">
        <f ca="1">IF(R375&gt;0,S375*100/R375,0)</f>
        <v>5.12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62500</v>
      </c>
      <c r="R377" s="47">
        <f ca="1">R380+R383</f>
        <v>62500</v>
      </c>
      <c r="S377" s="47">
        <f ca="1">S380+S383</f>
        <v>3200</v>
      </c>
      <c r="T377" s="47">
        <f ca="1">IF(Q377&gt;0,S377*100/Q377,0)</f>
        <v>5.12</v>
      </c>
      <c r="U377" s="47">
        <f ca="1">IF(R377&gt;0,S377*100/R377,0)</f>
        <v>5.12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62500</v>
      </c>
      <c r="R378" s="47">
        <f ca="1">R379+R380</f>
        <v>62500</v>
      </c>
      <c r="S378" s="47">
        <f ca="1">S379+S380</f>
        <v>3200</v>
      </c>
      <c r="T378" s="47">
        <f ca="1">IF(Q378&gt;0,S378*100/Q378,0)</f>
        <v>5.12</v>
      </c>
      <c r="U378" s="47">
        <f ca="1">IF(R378&gt;0,S378*100/R378,0)</f>
        <v>5.12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IFERROR(__xludf.DUMMYFUNCTION("IMPORTRANGE(""https://docs.google.com/spreadsheets/d/1-uDff_7J0KD5mKrp0Vvzr7lt3OU09vwQwhkpOPPYv2Y/edit?usp=sharing"",""งบพรบ!IE79"")"),0)</f>
        <v>0</v>
      </c>
      <c r="M380" s="47">
        <f ca="1">IFERROR(__xludf.DUMMYFUNCTION("IMPORTRANGE(""https://docs.google.com/spreadsheets/d/1-uDff_7J0KD5mKrp0Vvzr7lt3OU09vwQwhkpOPPYv2Y/edit?usp=sharing"",""งบพรบ!IJ79"")"),0)</f>
        <v>0</v>
      </c>
      <c r="N380" s="47">
        <f ca="1">IFERROR(__xludf.DUMMYFUNCTION("IMPORTRANGE(""https://docs.google.com/spreadsheets/d/1-uDff_7J0KD5mKrp0Vvzr7lt3OU09vwQwhkpOPPYv2Y/edit?usp=sharing"",""งบพรบ!IL79"")"),0)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IFERROR(__xludf.DUMMYFUNCTION("IMPORTRANGE(""https://docs.google.com/spreadsheets/d/1ItG2mGa2ceCfYo0BwxsXqNm01IGEUdYcSSLTEv9YCik/edit?usp=sharing"",""เบิกจ่ายกองทุน!BW79"")"),62500)</f>
        <v>62500</v>
      </c>
      <c r="R380" s="47">
        <f ca="1">IFERROR(__xludf.DUMMYFUNCTION("IMPORTRANGE(""https://docs.google.com/spreadsheets/d/1ItG2mGa2ceCfYo0BwxsXqNm01IGEUdYcSSLTEv9YCik/edit?usp=sharing"",""เบิกจ่ายกองทุน!BX79"")"),62500)</f>
        <v>62500</v>
      </c>
      <c r="S380" s="47">
        <f ca="1">IFERROR(__xludf.DUMMYFUNCTION("IMPORTRANGE(""https://docs.google.com/spreadsheets/d/1ItG2mGa2ceCfYo0BwxsXqNm01IGEUdYcSSLTEv9YCik/edit?usp=sharing"",""เบิกจ่ายกองทุน!BY79"")"),3200)</f>
        <v>3200</v>
      </c>
      <c r="T380" s="47">
        <f ca="1">IF(Q380&gt;0,S380*100/Q380,0)</f>
        <v>5.12</v>
      </c>
      <c r="U380" s="47">
        <f ca="1">IF(R380&gt;0,S380*100/R380,0)</f>
        <v>5.12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IFERROR(__xludf.DUMMYFUNCTION("IMPORTRANGE(""https://docs.google.com/spreadsheets/d/1-uDff_7J0KD5mKrp0Vvzr7lt3OU09vwQwhkpOPPYv2Y/edit?usp=sharing"",""งบพรบ!IH79"")"),0)</f>
        <v>0</v>
      </c>
      <c r="M383" s="47">
        <f ca="1">IFERROR(__xludf.DUMMYFUNCTION("IMPORTRANGE(""https://docs.google.com/spreadsheets/d/1-uDff_7J0KD5mKrp0Vvzr7lt3OU09vwQwhkpOPPYv2Y/edit?usp=sharing"",""งบพรบ!IK79"")"),0)</f>
        <v>0</v>
      </c>
      <c r="N383" s="47">
        <f ca="1">IFERROR(__xludf.DUMMYFUNCTION("IMPORTRANGE(""https://docs.google.com/spreadsheets/d/1-uDff_7J0KD5mKrp0Vvzr7lt3OU09vwQwhkpOPPYv2Y/edit?usp=sharing"",""งบพรบ!IM79"")"),0)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IFERROR(__xludf.DUMMYFUNCTION("IMPORTRANGE(""https://docs.google.com/spreadsheets/d/1w5rwWK1o49a35cNtocGL0gxDwhFSTZUQu90BiH9_zqM/edit?usp=sharing"",""RTK!H79"")"),18)</f>
        <v>18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IFERROR(__xludf.DUMMYFUNCTION("IMPORTRANGE(""https://docs.google.com/spreadsheets/d/1w5rwWK1o49a35cNtocGL0gxDwhFSTZUQu90BiH9_zqM/edit?usp=sharing"",""RTK!G79"")"),1000)</f>
        <v>1000</v>
      </c>
      <c r="J386" s="152">
        <f ca="1">IFERROR(__xludf.DUMMYFUNCTION("IMPORTRANGE(""https://docs.google.com/spreadsheets/d/1w5rwWK1o49a35cNtocGL0gxDwhFSTZUQu90BiH9_zqM/edit?usp=sharing"",""RTK!I79"")"),43)</f>
        <v>43</v>
      </c>
      <c r="K386" s="47">
        <f ca="1">IF(I386&gt;0,J386*100/I386,0)</f>
        <v>4.3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IFERROR(__xludf.DUMMYFUNCTION("IMPORTRANGE(""https://docs.google.com/spreadsheets/d/1w5rwWK1o49a35cNtocGL0gxDwhFSTZUQu90BiH9_zqM/edit?usp=sharing"",""RTK!L79"")"),0)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IFERROR(__xludf.DUMMYFUNCTION("IMPORTRANGE(""https://docs.google.com/spreadsheets/d/1w5rwWK1o49a35cNtocGL0gxDwhFSTZUQu90BiH9_zqM/edit?usp=sharing"",""RTK!K79"")"),0)</f>
        <v>0</v>
      </c>
      <c r="J388" s="330">
        <f ca="1">IFERROR(__xludf.DUMMYFUNCTION("IMPORTRANGE(""https://docs.google.com/spreadsheets/d/1w5rwWK1o49a35cNtocGL0gxDwhFSTZUQu90BiH9_zqM/edit?usp=sharing"",""RTK!M79"")"),0)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IFERROR(__xludf.DUMMYFUNCTION("IMPORTRANGE(""https://docs.google.com/spreadsheets/d/1ItG2mGa2ceCfYo0BwxsXqNm01IGEUdYcSSLTEv9YCik/edit?usp=sharing"",""เบิกจ่ายกองทุน!CL79"")"),0)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IFERROR(__xludf.DUMMYFUNCTION("IMPORTRANGE(""https://docs.google.com/spreadsheets/d/1ItG2mGa2ceCfYo0BwxsXqNm01IGEUdYcSSLTEv9YCik/edit?usp=sharing"",""เบิกจ่ายกองทุน!CM79"")"),0)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IFERROR(__xludf.DUMMYFUNCTION("IMPORTRANGE(""https://docs.google.com/spreadsheets/d/1ItG2mGa2ceCfYo0BwxsXqNm01IGEUdYcSSLTEv9YCik/edit?usp=sharing"",""เบิกจ่ายกองทุน!CN79"")"),0)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3577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192020</v>
      </c>
      <c r="M413" s="132">
        <f ca="1">M414+M415</f>
        <v>192020</v>
      </c>
      <c r="N413" s="132">
        <f ca="1">N414+N415</f>
        <v>13200</v>
      </c>
      <c r="O413" s="132">
        <f ca="1">IF(L413&gt;0,N413*100/L413,0)</f>
        <v>6.8742839287574213</v>
      </c>
      <c r="P413" s="132">
        <f ca="1">IF(M413&gt;0,N413*100/M413,0)</f>
        <v>6.8742839287574213</v>
      </c>
      <c r="Q413" s="132">
        <f ca="1">Q414+Q415</f>
        <v>26400</v>
      </c>
      <c r="R413" s="132">
        <f ca="1">R414+R415</f>
        <v>26400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192020</v>
      </c>
      <c r="M415" s="47">
        <f ca="1">M418+M421</f>
        <v>192020</v>
      </c>
      <c r="N415" s="47">
        <f ca="1">N418+N421</f>
        <v>13200</v>
      </c>
      <c r="O415" s="47">
        <f ca="1">IF(L415&gt;0,N415*100/L415,0)</f>
        <v>6.8742839287574213</v>
      </c>
      <c r="P415" s="47">
        <f ca="1">IF(M415&gt;0,N415*100/M415,0)</f>
        <v>6.8742839287574213</v>
      </c>
      <c r="Q415" s="47">
        <f ca="1">Q418+Q421</f>
        <v>26400</v>
      </c>
      <c r="R415" s="47">
        <f ca="1">R418+R421</f>
        <v>26400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192020</v>
      </c>
      <c r="M416" s="47">
        <f ca="1">M417+M418</f>
        <v>192020</v>
      </c>
      <c r="N416" s="47">
        <f ca="1">N417+N418</f>
        <v>13200</v>
      </c>
      <c r="O416" s="47">
        <f ca="1">IF(L416&gt;0,N416*100/L416,0)</f>
        <v>6.8742839287574213</v>
      </c>
      <c r="P416" s="47">
        <f ca="1">IF(M416&gt;0,N416*100/M416,0)</f>
        <v>6.8742839287574213</v>
      </c>
      <c r="Q416" s="47">
        <f ca="1">Q417+Q418</f>
        <v>26400</v>
      </c>
      <c r="R416" s="47">
        <f ca="1">R417+R418</f>
        <v>26400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IFERROR(__xludf.DUMMYFUNCTION("IMPORTRANGE(""https://docs.google.com/spreadsheets/d/1-uDff_7J0KD5mKrp0Vvzr7lt3OU09vwQwhkpOPPYv2Y/edit?usp=sharing"",""งบพรบ!IO79"")"),192020)</f>
        <v>192020</v>
      </c>
      <c r="M418" s="47">
        <f ca="1">IFERROR(__xludf.DUMMYFUNCTION("IMPORTRANGE(""https://docs.google.com/spreadsheets/d/1-uDff_7J0KD5mKrp0Vvzr7lt3OU09vwQwhkpOPPYv2Y/edit?usp=sharing"",""งบพรบ!IT79"")"),192020)</f>
        <v>192020</v>
      </c>
      <c r="N418" s="47">
        <f ca="1">IFERROR(__xludf.DUMMYFUNCTION("IMPORTRANGE(""https://docs.google.com/spreadsheets/d/1-uDff_7J0KD5mKrp0Vvzr7lt3OU09vwQwhkpOPPYv2Y/edit?usp=sharing"",""งบพรบ!IV79"")"),13200)</f>
        <v>13200</v>
      </c>
      <c r="O418" s="47">
        <f ca="1">IF(L418&gt;0,N418*100/L418,0)</f>
        <v>6.8742839287574213</v>
      </c>
      <c r="P418" s="47">
        <f ca="1">IF(M418&gt;0,N418*100/M418,0)</f>
        <v>6.8742839287574213</v>
      </c>
      <c r="Q418" s="47">
        <f ca="1">IFERROR(__xludf.DUMMYFUNCTION("IMPORTRANGE(""https://docs.google.com/spreadsheets/d/1ItG2mGa2ceCfYo0BwxsXqNm01IGEUdYcSSLTEv9YCik/edit?usp=sharing"",""เบิกจ่ายกองทุน!BZ79"")"),26400)</f>
        <v>26400</v>
      </c>
      <c r="R418" s="47">
        <f ca="1">IFERROR(__xludf.DUMMYFUNCTION("IMPORTRANGE(""https://docs.google.com/spreadsheets/d/1ItG2mGa2ceCfYo0BwxsXqNm01IGEUdYcSSLTEv9YCik/edit?usp=sharing"",""เบิกจ่ายกองทุน!CA79"")"),26400)</f>
        <v>26400</v>
      </c>
      <c r="S418" s="47">
        <f ca="1">IFERROR(__xludf.DUMMYFUNCTION("IMPORTRANGE(""https://docs.google.com/spreadsheets/d/1ItG2mGa2ceCfYo0BwxsXqNm01IGEUdYcSSLTEv9YCik/edit?usp=sharing"",""เบิกจ่ายกองทุน!CB79"")"),0)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IFERROR(__xludf.DUMMYFUNCTION("IMPORTRANGE(""https://docs.google.com/spreadsheets/d/1-uDff_7J0KD5mKrp0Vvzr7lt3OU09vwQwhkpOPPYv2Y/edit?usp=sharing"",""งบพรบ!IR79"")"),0)</f>
        <v>0</v>
      </c>
      <c r="M421" s="47">
        <f ca="1">IFERROR(__xludf.DUMMYFUNCTION("IMPORTRANGE(""https://docs.google.com/spreadsheets/d/1-uDff_7J0KD5mKrp0Vvzr7lt3OU09vwQwhkpOPPYv2Y/edit?usp=sharing"",""งบพรบ!IU79"")"),0)</f>
        <v>0</v>
      </c>
      <c r="N421" s="47">
        <f ca="1">IFERROR(__xludf.DUMMYFUNCTION("IMPORTRANGE(""https://docs.google.com/spreadsheets/d/1-uDff_7J0KD5mKrp0Vvzr7lt3OU09vwQwhkpOPPYv2Y/edit?usp=sharing"",""งบพรบ!IW79"")"),0)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3577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IFERROR(__xludf.DUMMYFUNCTION("IMPORTRANGE(""https://docs.google.com/spreadsheets/d/1eHaY18a8A9IcSdp1K8H6x8fbOy06t2VsZHhMHf-1x7Y/edit?usp=sharing"",""แผน!HJ79"")"),3577)</f>
        <v>3577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IFERROR(__xludf.DUMMYFUNCTION("IMPORTRANGE(""https://docs.google.com/spreadsheets/d/1eHaY18a8A9IcSdp1K8H6x8fbOy06t2VsZHhMHf-1x7Y/edit?usp=sharing"",""แผน!HK79"")"),825)</f>
        <v>825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IFERROR(__xludf.DUMMYFUNCTION("IMPORTRANGE(""https://docs.google.com/spreadsheets/d/1eHaY18a8A9IcSdp1K8H6x8fbOy06t2VsZHhMHf-1x7Y/edit?usp=sharing"",""แผน!HJ79"")"),3577)</f>
        <v>3577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IFERROR(__xludf.DUMMYFUNCTION("IMPORTRANGE(""https://docs.google.com/spreadsheets/d/1eHaY18a8A9IcSdp1K8H6x8fbOy06t2VsZHhMHf-1x7Y/edit?usp=sharing"",""แผน!HK79"")"),825)</f>
        <v>825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IFERROR(__xludf.DUMMYFUNCTION("IMPORTRANGE(""https://docs.google.com/spreadsheets/d/1eHaY18a8A9IcSdp1K8H6x8fbOy06t2VsZHhMHf-1x7Y/edit?usp=sharing"",""แผน!HJ79"")"),3577)</f>
        <v>3577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IFERROR(__xludf.DUMMYFUNCTION("IMPORTRANGE(""https://docs.google.com/spreadsheets/d/1eHaY18a8A9IcSdp1K8H6x8fbOy06t2VsZHhMHf-1x7Y/edit?usp=sharing"",""แผน!HK79"")"),825)</f>
        <v>825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0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IFERROR(__xludf.DUMMYFUNCTION("IMPORTRANGE(""https://docs.google.com/spreadsheets/d/1eHaY18a8A9IcSdp1K8H6x8fbOy06t2VsZHhMHf-1x7Y/edit?usp=sharing"",""แผน!HL79"")"),0)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IFERROR(__xludf.DUMMYFUNCTION("IMPORTRANGE(""https://docs.google.com/spreadsheets/d/1eHaY18a8A9IcSdp1K8H6x8fbOy06t2VsZHhMHf-1x7Y/edit?usp=sharing"",""แผน!HM79"")"),0)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IFERROR(__xludf.DUMMYFUNCTION("IMPORTRANGE(""https://docs.google.com/spreadsheets/d/1-uDff_7J0KD5mKrp0Vvzr7lt3OU09vwQwhkpOPPYv2Y/edit?usp=sharing"",""งบพรบ!HU79"")"),0)</f>
        <v>0</v>
      </c>
      <c r="M498" s="47">
        <f ca="1">IFERROR(__xludf.DUMMYFUNCTION("IMPORTRANGE(""https://docs.google.com/spreadsheets/d/1-uDff_7J0KD5mKrp0Vvzr7lt3OU09vwQwhkpOPPYv2Y/edit?usp=sharing"",""งบพรบ!HZ79"")"),0)</f>
        <v>0</v>
      </c>
      <c r="N498" s="47">
        <f ca="1">IFERROR(__xludf.DUMMYFUNCTION("IMPORTRANGE(""https://docs.google.com/spreadsheets/d/1-uDff_7J0KD5mKrp0Vvzr7lt3OU09vwQwhkpOPPYv2Y/edit?usp=sharing"",""งบพรบ!IB79"")"),0)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IFERROR(__xludf.DUMMYFUNCTION("IMPORTRANGE(""https://docs.google.com/spreadsheets/d/1ItG2mGa2ceCfYo0BwxsXqNm01IGEUdYcSSLTEv9YCik/edit?usp=sharing"",""เบิกจ่ายกองทุน!AD79"")"),0)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IFERROR(__xludf.DUMMYFUNCTION("IMPORTRANGE(""https://docs.google.com/spreadsheets/d/1ItG2mGa2ceCfYo0BwxsXqNm01IGEUdYcSSLTEv9YCik/edit?usp=sharing"",""เบิกจ่ายกองทุน!AE79"")"),0)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IFERROR(__xludf.DUMMYFUNCTION("IMPORTRANGE(""https://docs.google.com/spreadsheets/d/1ItG2mGa2ceCfYo0BwxsXqNm01IGEUdYcSSLTEv9YCik/edit?usp=sharing"",""เบิกจ่ายกองทุน!AF79"")"),0)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IFERROR(__xludf.DUMMYFUNCTION("IMPORTRANGE(""https://docs.google.com/spreadsheets/d/1-uDff_7J0KD5mKrp0Vvzr7lt3OU09vwQwhkpOPPYv2Y/edit?usp=sharing"",""งบพรบ!HX79"")"),0)</f>
        <v>0</v>
      </c>
      <c r="M501" s="47">
        <f ca="1">IFERROR(__xludf.DUMMYFUNCTION("IMPORTRANGE(""https://docs.google.com/spreadsheets/d/1-uDff_7J0KD5mKrp0Vvzr7lt3OU09vwQwhkpOPPYv2Y/edit?usp=sharing"",""งบพรบ!IA79"")"),0)</f>
        <v>0</v>
      </c>
      <c r="N501" s="47">
        <f ca="1">IFERROR(__xludf.DUMMYFUNCTION("IMPORTRANGE(""https://docs.google.com/spreadsheets/d/1-uDff_7J0KD5mKrp0Vvzr7lt3OU09vwQwhkpOPPYv2Y/edit?usp=sharing"",""งบพรบ!IC79"")"),0)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IFERROR(__xludf.DUMMYFUNCTION("IMPORTRANGE(""https://docs.google.com/spreadsheets/d/1eHaY18a8A9IcSdp1K8H6x8fbOy06t2VsZHhMHf-1x7Y/edit?usp=sharing"",""แผน!GX79"")"),0)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IFERROR(__xludf.DUMMYFUNCTION("IMPORTRANGE(""https://docs.google.com/spreadsheets/d/1eHaY18a8A9IcSdp1K8H6x8fbOy06t2VsZHhMHf-1x7Y/edit?usp=sharing"",""แผน!GY79"")"),0)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IFERROR(__xludf.DUMMYFUNCTION("IMPORTRANGE(""https://docs.google.com/spreadsheets/d/1eHaY18a8A9IcSdp1K8H6x8fbOy06t2VsZHhMHf-1x7Y/edit?usp=sharing"",""แผน!GZ79"")"),0)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IFERROR(__xludf.DUMMYFUNCTION("IMPORTRANGE(""https://docs.google.com/spreadsheets/d/1eHaY18a8A9IcSdp1K8H6x8fbOy06t2VsZHhMHf-1x7Y/edit?usp=sharing"",""แผน!HA79"")"),0)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IFERROR(__xludf.DUMMYFUNCTION("IMPORTRANGE(""https://docs.google.com/spreadsheets/d/1eHaY18a8A9IcSdp1K8H6x8fbOy06t2VsZHhMHf-1x7Y/edit?usp=sharing"",""แผน!HB79"")"),0)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IFERROR(__xludf.DUMMYFUNCTION("IMPORTRANGE(""https://docs.google.com/spreadsheets/d/1eHaY18a8A9IcSdp1K8H6x8fbOy06t2VsZHhMHf-1x7Y/edit?usp=sharing"",""แผน!HC79"")"),0)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IFERROR(__xludf.DUMMYFUNCTION("IMPORTRANGE(""https://docs.google.com/spreadsheets/d/1-uDff_7J0KD5mKrp0Vvzr7lt3OU09vwQwhkpOPPYv2Y/edit?usp=sharing"",""งบพรบ!FM79"")"),0)</f>
        <v>0</v>
      </c>
      <c r="M518" s="47">
        <f ca="1">IFERROR(__xludf.DUMMYFUNCTION("IMPORTRANGE(""https://docs.google.com/spreadsheets/d/1-uDff_7J0KD5mKrp0Vvzr7lt3OU09vwQwhkpOPPYv2Y/edit?usp=sharing"",""งบพรบ!FR79"")"),0)</f>
        <v>0</v>
      </c>
      <c r="N518" s="47">
        <f ca="1">IFERROR(__xludf.DUMMYFUNCTION("IMPORTRANGE(""https://docs.google.com/spreadsheets/d/1-uDff_7J0KD5mKrp0Vvzr7lt3OU09vwQwhkpOPPYv2Y/edit?usp=sharing"",""งบพรบ!FT79"")"),0)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IFERROR(__xludf.DUMMYFUNCTION("IMPORTRANGE(""https://docs.google.com/spreadsheets/d/1-uDff_7J0KD5mKrp0Vvzr7lt3OU09vwQwhkpOPPYv2Y/edit?usp=sharing"",""งบพรบ!FP79"")"),0)</f>
        <v>0</v>
      </c>
      <c r="M521" s="47">
        <f ca="1">IFERROR(__xludf.DUMMYFUNCTION("IMPORTRANGE(""https://docs.google.com/spreadsheets/d/1-uDff_7J0KD5mKrp0Vvzr7lt3OU09vwQwhkpOPPYv2Y/edit?usp=sharing"",""งบพรบ!FS79"")"),0)</f>
        <v>0</v>
      </c>
      <c r="N521" s="47">
        <f ca="1">IFERROR(__xludf.DUMMYFUNCTION("IMPORTRANGE(""https://docs.google.com/spreadsheets/d/1-uDff_7J0KD5mKrp0Vvzr7lt3OU09vwQwhkpOPPYv2Y/edit?usp=sharing"",""งบพรบ!FU79"")"),0)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IFERROR(__xludf.DUMMYFUNCTION("IMPORTRANGE(""https://docs.google.com/spreadsheets/d/1-uDff_7J0KD5mKrp0Vvzr7lt3OU09vwQwhkpOPPYv2Y/edit?usp=sharing"",""งบพรบ!FW79"")"),0)</f>
        <v>0</v>
      </c>
      <c r="M539" s="47">
        <f ca="1">IFERROR(__xludf.DUMMYFUNCTION("IMPORTRANGE(""https://docs.google.com/spreadsheets/d/1-uDff_7J0KD5mKrp0Vvzr7lt3OU09vwQwhkpOPPYv2Y/edit?usp=sharing"",""งบพรบ!GB79"")"),0)</f>
        <v>0</v>
      </c>
      <c r="N539" s="47">
        <f ca="1">IFERROR(__xludf.DUMMYFUNCTION("IMPORTRANGE(""https://docs.google.com/spreadsheets/d/1-uDff_7J0KD5mKrp0Vvzr7lt3OU09vwQwhkpOPPYv2Y/edit?usp=sharing"",""งบพรบ!GD79"")"),0)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IFERROR(__xludf.DUMMYFUNCTION("IMPORTRANGE(""https://docs.google.com/spreadsheets/d/1-uDff_7J0KD5mKrp0Vvzr7lt3OU09vwQwhkpOPPYv2Y/edit?usp=sharing"",""งบพรบ!FZ79"")"),0)</f>
        <v>0</v>
      </c>
      <c r="M542" s="47">
        <f ca="1">IFERROR(__xludf.DUMMYFUNCTION("IMPORTRANGE(""https://docs.google.com/spreadsheets/d/1-uDff_7J0KD5mKrp0Vvzr7lt3OU09vwQwhkpOPPYv2Y/edit?usp=sharing"",""งบพรบ!GC79"")"),0)</f>
        <v>0</v>
      </c>
      <c r="N542" s="47">
        <f ca="1">IFERROR(__xludf.DUMMYFUNCTION("IMPORTRANGE(""https://docs.google.com/spreadsheets/d/1-uDff_7J0KD5mKrp0Vvzr7lt3OU09vwQwhkpOPPYv2Y/edit?usp=sharing"",""งบพรบ!GE79"")"),0)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IFERROR(__xludf.DUMMYFUNCTION("IMPORTRANGE(""https://docs.google.com/spreadsheets/d/1-uDff_7J0KD5mKrp0Vvzr7lt3OU09vwQwhkpOPPYv2Y/edit?usp=sharing"",""งบพรบ!GG79"")"),0)</f>
        <v>0</v>
      </c>
      <c r="M560" s="47">
        <f ca="1">IFERROR(__xludf.DUMMYFUNCTION("IMPORTRANGE(""https://docs.google.com/spreadsheets/d/1-uDff_7J0KD5mKrp0Vvzr7lt3OU09vwQwhkpOPPYv2Y/edit?usp=sharing"",""งบพรบ!GL79"")"),0)</f>
        <v>0</v>
      </c>
      <c r="N560" s="47">
        <f ca="1">IFERROR(__xludf.DUMMYFUNCTION("IMPORTRANGE(""https://docs.google.com/spreadsheets/d/1-uDff_7J0KD5mKrp0Vvzr7lt3OU09vwQwhkpOPPYv2Y/edit?usp=sharing"",""งบพรบ!GN79"")"),0)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IFERROR(__xludf.DUMMYFUNCTION("IMPORTRANGE(""https://docs.google.com/spreadsheets/d/1-uDff_7J0KD5mKrp0Vvzr7lt3OU09vwQwhkpOPPYv2Y/edit?usp=sharing"",""งบพรบ!GJ79"")"),0)</f>
        <v>0</v>
      </c>
      <c r="M563" s="47">
        <f ca="1">IFERROR(__xludf.DUMMYFUNCTION("IMPORTRANGE(""https://docs.google.com/spreadsheets/d/1-uDff_7J0KD5mKrp0Vvzr7lt3OU09vwQwhkpOPPYv2Y/edit?usp=sharing"",""งบพรบ!GM79"")"),0)</f>
        <v>0</v>
      </c>
      <c r="N563" s="47">
        <f ca="1">IFERROR(__xludf.DUMMYFUNCTION("IMPORTRANGE(""https://docs.google.com/spreadsheets/d/1-uDff_7J0KD5mKrp0Vvzr7lt3OU09vwQwhkpOPPYv2Y/edit?usp=sharing"",""งบพรบ!GO79"")"),0)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IFERROR(__xludf.DUMMYFUNCTION("IMPORTRANGE(""https://docs.google.com/spreadsheets/d/1-uDff_7J0KD5mKrp0Vvzr7lt3OU09vwQwhkpOPPYv2Y/edit?usp=sharing"",""งบพรบ!GQ79"")"),0)</f>
        <v>0</v>
      </c>
      <c r="M581" s="47">
        <f ca="1">IFERROR(__xludf.DUMMYFUNCTION("IMPORTRANGE(""https://docs.google.com/spreadsheets/d/1-uDff_7J0KD5mKrp0Vvzr7lt3OU09vwQwhkpOPPYv2Y/edit?usp=sharing"",""งบพรบ!GV79"")"),0)</f>
        <v>0</v>
      </c>
      <c r="N581" s="47">
        <f ca="1">IFERROR(__xludf.DUMMYFUNCTION("IMPORTRANGE(""https://docs.google.com/spreadsheets/d/1-uDff_7J0KD5mKrp0Vvzr7lt3OU09vwQwhkpOPPYv2Y/edit?usp=sharing"",""งบพรบ!GX79"")"),0)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IFERROR(__xludf.DUMMYFUNCTION("IMPORTRANGE(""https://docs.google.com/spreadsheets/d/1-uDff_7J0KD5mKrp0Vvzr7lt3OU09vwQwhkpOPPYv2Y/edit?usp=sharing"",""งบพรบ!GT79"")"),0)</f>
        <v>0</v>
      </c>
      <c r="M584" s="47">
        <f ca="1">IFERROR(__xludf.DUMMYFUNCTION("IMPORTRANGE(""https://docs.google.com/spreadsheets/d/1-uDff_7J0KD5mKrp0Vvzr7lt3OU09vwQwhkpOPPYv2Y/edit?usp=sharing"",""งบพรบ!GW79"")"),0)</f>
        <v>0</v>
      </c>
      <c r="N584" s="47">
        <f ca="1">IFERROR(__xludf.DUMMYFUNCTION("IMPORTRANGE(""https://docs.google.com/spreadsheets/d/1-uDff_7J0KD5mKrp0Vvzr7lt3OU09vwQwhkpOPPYv2Y/edit?usp=sharing"",""งบพรบ!GY79"")"),0)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x14ac:dyDescent="0.3">
      <c r="A596" s="396" t="s">
        <v>216</v>
      </c>
      <c r="B596" s="397"/>
      <c r="C596" s="398"/>
      <c r="D596" s="397"/>
      <c r="E596" s="397"/>
      <c r="F596" s="397"/>
      <c r="G596" s="397"/>
      <c r="H596" s="399"/>
      <c r="I596" s="400"/>
      <c r="J596" s="400"/>
      <c r="K596" s="401"/>
      <c r="L596" s="402"/>
      <c r="M596" s="402"/>
      <c r="N596" s="402"/>
      <c r="O596" s="402"/>
      <c r="P596" s="402"/>
      <c r="Q596" s="402"/>
      <c r="R596" s="402"/>
      <c r="S596" s="402"/>
      <c r="T596" s="402"/>
      <c r="U596" s="402"/>
    </row>
    <row r="597" spans="1:21" ht="19.5" x14ac:dyDescent="0.3">
      <c r="A597" s="403"/>
      <c r="B597" s="404" t="s">
        <v>217</v>
      </c>
      <c r="C597" s="405"/>
      <c r="D597" s="406"/>
      <c r="E597" s="407"/>
      <c r="F597" s="407"/>
      <c r="G597" s="407"/>
      <c r="H597" s="408" t="s">
        <v>99</v>
      </c>
      <c r="I597" s="409"/>
      <c r="J597" s="410"/>
      <c r="K597" s="411"/>
      <c r="L597" s="844"/>
      <c r="M597" s="411"/>
      <c r="N597" s="411"/>
      <c r="O597" s="411"/>
      <c r="P597" s="411"/>
      <c r="Q597" s="411"/>
      <c r="R597" s="411"/>
      <c r="S597" s="411"/>
      <c r="T597" s="411"/>
      <c r="U597" s="411"/>
    </row>
    <row r="598" spans="1:21" ht="19.5" x14ac:dyDescent="0.3">
      <c r="A598" s="412"/>
      <c r="B598" s="413" t="s">
        <v>218</v>
      </c>
      <c r="C598" s="406"/>
      <c r="D598" s="407"/>
      <c r="E598" s="407"/>
      <c r="F598" s="407"/>
      <c r="G598" s="414"/>
      <c r="H598" s="415" t="s">
        <v>35</v>
      </c>
      <c r="I598" s="410"/>
      <c r="J598" s="410"/>
      <c r="K598" s="411"/>
      <c r="L598" s="844"/>
      <c r="M598" s="411"/>
      <c r="N598" s="411"/>
      <c r="O598" s="411"/>
      <c r="P598" s="411"/>
      <c r="Q598" s="411"/>
      <c r="R598" s="411"/>
      <c r="S598" s="411"/>
      <c r="T598" s="411"/>
      <c r="U598" s="411"/>
    </row>
    <row r="599" spans="1:21" ht="19.5" x14ac:dyDescent="0.3">
      <c r="A599" s="416"/>
      <c r="B599" s="326"/>
      <c r="C599" s="386" t="s">
        <v>18</v>
      </c>
      <c r="D599" s="529" t="s">
        <v>19</v>
      </c>
      <c r="E599" s="530"/>
      <c r="F599" s="530"/>
      <c r="G599" s="531"/>
      <c r="H599" s="419" t="s">
        <v>14</v>
      </c>
      <c r="I599" s="420"/>
      <c r="J599" s="420"/>
      <c r="K599" s="332"/>
      <c r="L599" s="721">
        <f ca="1">L600+L601</f>
        <v>16160</v>
      </c>
      <c r="M599" s="421">
        <f ca="1">M600+M601</f>
        <v>16160</v>
      </c>
      <c r="N599" s="421">
        <f ca="1">N600+N601</f>
        <v>0</v>
      </c>
      <c r="O599" s="421">
        <f ca="1">IF(L599&gt;0,N599*100/L599,0)</f>
        <v>0</v>
      </c>
      <c r="P599" s="421">
        <f ca="1">IF(M599&gt;0,N599*100/M599,0)</f>
        <v>0</v>
      </c>
      <c r="Q599" s="421">
        <f ca="1">Q600+Q601</f>
        <v>0</v>
      </c>
      <c r="R599" s="421">
        <f ca="1">R600+R601</f>
        <v>0</v>
      </c>
      <c r="S599" s="421">
        <f ca="1">S600+S601</f>
        <v>0</v>
      </c>
      <c r="T599" s="421">
        <f ca="1">IF(Q599&gt;0,S599*100/Q599,0)</f>
        <v>0</v>
      </c>
      <c r="U599" s="421">
        <f ca="1">IF(R599&gt;0,S599*100/R599,0)</f>
        <v>0</v>
      </c>
    </row>
    <row r="600" spans="1:21" ht="18.75" hidden="1" x14ac:dyDescent="0.25">
      <c r="A600" s="416"/>
      <c r="B600" s="326"/>
      <c r="C600" s="326"/>
      <c r="D600" s="422"/>
      <c r="E600" s="423" t="s">
        <v>158</v>
      </c>
      <c r="F600" s="424"/>
      <c r="G600" s="425"/>
      <c r="H600" s="426" t="s">
        <v>14</v>
      </c>
      <c r="I600" s="420"/>
      <c r="J600" s="420"/>
      <c r="K600" s="332"/>
      <c r="L600" s="720">
        <f>L603+L606</f>
        <v>0</v>
      </c>
      <c r="M600" s="331">
        <f>M603+M606</f>
        <v>0</v>
      </c>
      <c r="N600" s="331">
        <f>N603+N606</f>
        <v>0</v>
      </c>
      <c r="O600" s="331">
        <f>IF(L600&gt;0,N600*100/L600,0)</f>
        <v>0</v>
      </c>
      <c r="P600" s="331">
        <f>IF(M600&gt;0,N600*100/M600,0)</f>
        <v>0</v>
      </c>
      <c r="Q600" s="331">
        <f>Q603+Q606</f>
        <v>0</v>
      </c>
      <c r="R600" s="331">
        <f>R603+R606</f>
        <v>0</v>
      </c>
      <c r="S600" s="331">
        <f>S603+S606</f>
        <v>0</v>
      </c>
      <c r="T600" s="331">
        <f>IF(Q600&gt;0,S600*100/Q600,0)</f>
        <v>0</v>
      </c>
      <c r="U600" s="331">
        <f>IF(R600&gt;0,S600*100/R600,0)</f>
        <v>0</v>
      </c>
    </row>
    <row r="601" spans="1:21" ht="18.75" hidden="1" x14ac:dyDescent="0.25">
      <c r="A601" s="416"/>
      <c r="B601" s="326"/>
      <c r="C601" s="326"/>
      <c r="D601" s="422"/>
      <c r="E601" s="423" t="s">
        <v>159</v>
      </c>
      <c r="F601" s="424"/>
      <c r="G601" s="425"/>
      <c r="H601" s="426" t="s">
        <v>14</v>
      </c>
      <c r="I601" s="420"/>
      <c r="J601" s="420"/>
      <c r="K601" s="332"/>
      <c r="L601" s="720">
        <f ca="1">L604+L607</f>
        <v>16160</v>
      </c>
      <c r="M601" s="331">
        <f ca="1">M604+M607</f>
        <v>16160</v>
      </c>
      <c r="N601" s="331">
        <f ca="1">N604+N607</f>
        <v>0</v>
      </c>
      <c r="O601" s="331">
        <f ca="1">IF(L601&gt;0,N601*100/L601,0)</f>
        <v>0</v>
      </c>
      <c r="P601" s="331">
        <f ca="1">IF(M601&gt;0,N601*100/M601,0)</f>
        <v>0</v>
      </c>
      <c r="Q601" s="331">
        <f ca="1">Q604+Q607</f>
        <v>0</v>
      </c>
      <c r="R601" s="331">
        <f ca="1">R604+R607</f>
        <v>0</v>
      </c>
      <c r="S601" s="331">
        <f ca="1">S604+S607</f>
        <v>0</v>
      </c>
      <c r="T601" s="331">
        <f ca="1">IF(Q601&gt;0,S601*100/Q601,0)</f>
        <v>0</v>
      </c>
      <c r="U601" s="331">
        <f ca="1">IF(R601&gt;0,S601*100/R601,0)</f>
        <v>0</v>
      </c>
    </row>
    <row r="602" spans="1:21" ht="18.75" x14ac:dyDescent="0.25">
      <c r="A602" s="416"/>
      <c r="B602" s="326"/>
      <c r="C602" s="326"/>
      <c r="D602" s="624" t="s">
        <v>22</v>
      </c>
      <c r="E602" s="424"/>
      <c r="F602" s="424"/>
      <c r="G602" s="425"/>
      <c r="H602" s="426" t="s">
        <v>14</v>
      </c>
      <c r="I602" s="428"/>
      <c r="J602" s="428"/>
      <c r="K602" s="429"/>
      <c r="L602" s="720">
        <f ca="1">L603+L604</f>
        <v>16160</v>
      </c>
      <c r="M602" s="331">
        <f ca="1">M603+M604</f>
        <v>16160</v>
      </c>
      <c r="N602" s="331">
        <f ca="1">N603+N604</f>
        <v>0</v>
      </c>
      <c r="O602" s="331">
        <f ca="1">IF(L602&gt;0,N602*100/L602,0)</f>
        <v>0</v>
      </c>
      <c r="P602" s="331">
        <f ca="1">IF(M602&gt;0,N602*100/M602,0)</f>
        <v>0</v>
      </c>
      <c r="Q602" s="331">
        <f ca="1">Q603+Q604</f>
        <v>0</v>
      </c>
      <c r="R602" s="331">
        <f ca="1">R603+R604</f>
        <v>0</v>
      </c>
      <c r="S602" s="331">
        <f ca="1">S603+S604</f>
        <v>0</v>
      </c>
      <c r="T602" s="331">
        <f ca="1">IF(Q602&gt;0,S602*100/Q602,0)</f>
        <v>0</v>
      </c>
      <c r="U602" s="331">
        <f ca="1">IF(R602&gt;0,S602*100/R602,0)</f>
        <v>0</v>
      </c>
    </row>
    <row r="603" spans="1:21" ht="18.75" hidden="1" x14ac:dyDescent="0.25">
      <c r="A603" s="416"/>
      <c r="B603" s="326"/>
      <c r="C603" s="326"/>
      <c r="D603" s="422"/>
      <c r="E603" s="423" t="s">
        <v>158</v>
      </c>
      <c r="F603" s="424"/>
      <c r="G603" s="425"/>
      <c r="H603" s="426" t="s">
        <v>14</v>
      </c>
      <c r="I603" s="420"/>
      <c r="J603" s="420"/>
      <c r="K603" s="332"/>
      <c r="L603" s="720">
        <v>0</v>
      </c>
      <c r="M603" s="331">
        <v>0</v>
      </c>
      <c r="N603" s="331">
        <v>0</v>
      </c>
      <c r="O603" s="331">
        <f>IF(L603&gt;0,N603*100/L603,0)</f>
        <v>0</v>
      </c>
      <c r="P603" s="331">
        <f>IF(M603&gt;0,N603*100/M603,0)</f>
        <v>0</v>
      </c>
      <c r="Q603" s="331">
        <v>0</v>
      </c>
      <c r="R603" s="331">
        <v>0</v>
      </c>
      <c r="S603" s="331">
        <v>0</v>
      </c>
      <c r="T603" s="331">
        <f>IF(Q603&gt;0,S603*100/Q603,0)</f>
        <v>0</v>
      </c>
      <c r="U603" s="331">
        <f>IF(R603&gt;0,S603*100/R603,0)</f>
        <v>0</v>
      </c>
    </row>
    <row r="604" spans="1:21" ht="18.75" hidden="1" x14ac:dyDescent="0.25">
      <c r="A604" s="416"/>
      <c r="B604" s="326"/>
      <c r="C604" s="326"/>
      <c r="D604" s="422"/>
      <c r="E604" s="423" t="s">
        <v>159</v>
      </c>
      <c r="F604" s="424"/>
      <c r="G604" s="425"/>
      <c r="H604" s="426" t="s">
        <v>14</v>
      </c>
      <c r="I604" s="420"/>
      <c r="J604" s="420"/>
      <c r="K604" s="332"/>
      <c r="L604" s="720">
        <f ca="1">IFERROR(__xludf.DUMMYFUNCTION("IMPORTRANGE(""https://docs.google.com/spreadsheets/d/1-uDff_7J0KD5mKrp0Vvzr7lt3OU09vwQwhkpOPPYv2Y/edit?usp=sharing"",""งบพรบ!HK79"")"),16160)</f>
        <v>16160</v>
      </c>
      <c r="M604" s="331">
        <f ca="1">IFERROR(__xludf.DUMMYFUNCTION("IMPORTRANGE(""https://docs.google.com/spreadsheets/d/1-uDff_7J0KD5mKrp0Vvzr7lt3OU09vwQwhkpOPPYv2Y/edit?usp=sharing"",""งบพรบ!HP79"")"),16160)</f>
        <v>16160</v>
      </c>
      <c r="N604" s="331">
        <f ca="1">IFERROR(__xludf.DUMMYFUNCTION("IMPORTRANGE(""https://docs.google.com/spreadsheets/d/1-uDff_7J0KD5mKrp0Vvzr7lt3OU09vwQwhkpOPPYv2Y/edit?usp=sharing"",""งบพรบ!HR79"")"),0)</f>
        <v>0</v>
      </c>
      <c r="O604" s="331">
        <f ca="1">IF(L604&gt;0,N604*100/L604,0)</f>
        <v>0</v>
      </c>
      <c r="P604" s="331">
        <f ca="1">IF(M604&gt;0,N604*100/M604,0)</f>
        <v>0</v>
      </c>
      <c r="Q604" s="331">
        <f ca="1">IFERROR(__xludf.DUMMYFUNCTION("IMPORTRANGE(""https://docs.google.com/spreadsheets/d/1ItG2mGa2ceCfYo0BwxsXqNm01IGEUdYcSSLTEv9YCik/edit?usp=sharing"",""เบิกจ่ายกองทุน!AV79"")"),0)</f>
        <v>0</v>
      </c>
      <c r="R604" s="331">
        <f ca="1">IFERROR(__xludf.DUMMYFUNCTION("IMPORTRANGE(""https://docs.google.com/spreadsheets/d/1ItG2mGa2ceCfYo0BwxsXqNm01IGEUdYcSSLTEv9YCik/edit?usp=sharing"",""เบิกจ่ายกองทุน!AW79"")"),0)</f>
        <v>0</v>
      </c>
      <c r="S604" s="331">
        <f ca="1">IFERROR(__xludf.DUMMYFUNCTION("IMPORTRANGE(""https://docs.google.com/spreadsheets/d/1ItG2mGa2ceCfYo0BwxsXqNm01IGEUdYcSSLTEv9YCik/edit?usp=sharing"",""เบิกจ่ายกองทุน!AX79"")"),0)</f>
        <v>0</v>
      </c>
      <c r="T604" s="331">
        <f ca="1">IF(Q604&gt;0,S604*100/Q604,0)</f>
        <v>0</v>
      </c>
      <c r="U604" s="331">
        <f ca="1">IF(R604&gt;0,S604*100/R604,0)</f>
        <v>0</v>
      </c>
    </row>
    <row r="605" spans="1:21" ht="18.75" x14ac:dyDescent="0.25">
      <c r="A605" s="416"/>
      <c r="B605" s="326"/>
      <c r="C605" s="326"/>
      <c r="D605" s="624" t="s">
        <v>23</v>
      </c>
      <c r="E605" s="326"/>
      <c r="F605" s="424"/>
      <c r="G605" s="425"/>
      <c r="H605" s="431" t="s">
        <v>14</v>
      </c>
      <c r="I605" s="428"/>
      <c r="J605" s="428"/>
      <c r="K605" s="429"/>
      <c r="L605" s="720">
        <f ca="1">L606+L607</f>
        <v>0</v>
      </c>
      <c r="M605" s="331">
        <f ca="1">M606+M607</f>
        <v>0</v>
      </c>
      <c r="N605" s="331">
        <f ca="1">N606+N607</f>
        <v>0</v>
      </c>
      <c r="O605" s="331">
        <f ca="1">IF(L605&gt;0,N605*100/L605,0)</f>
        <v>0</v>
      </c>
      <c r="P605" s="331">
        <f ca="1">IF(M605&gt;0,N605*100/M605,0)</f>
        <v>0</v>
      </c>
      <c r="Q605" s="331">
        <f ca="1">Q606+Q607</f>
        <v>0</v>
      </c>
      <c r="R605" s="331">
        <f ca="1">R606+R607</f>
        <v>0</v>
      </c>
      <c r="S605" s="331">
        <f ca="1">S606+S607</f>
        <v>0</v>
      </c>
      <c r="T605" s="331">
        <f ca="1">IF(Q605&gt;0,S605*100/Q605,0)</f>
        <v>0</v>
      </c>
      <c r="U605" s="331">
        <f ca="1">IF(R605&gt;0,S605*100/R605,0)</f>
        <v>0</v>
      </c>
    </row>
    <row r="606" spans="1:21" ht="18.75" hidden="1" x14ac:dyDescent="0.25">
      <c r="A606" s="416"/>
      <c r="B606" s="326"/>
      <c r="C606" s="326"/>
      <c r="D606" s="326"/>
      <c r="E606" s="327" t="s">
        <v>20</v>
      </c>
      <c r="F606" s="424"/>
      <c r="G606" s="425"/>
      <c r="H606" s="426" t="s">
        <v>14</v>
      </c>
      <c r="I606" s="428"/>
      <c r="J606" s="428"/>
      <c r="K606" s="429"/>
      <c r="L606" s="720">
        <v>0</v>
      </c>
      <c r="M606" s="331">
        <v>0</v>
      </c>
      <c r="N606" s="331">
        <v>0</v>
      </c>
      <c r="O606" s="331">
        <f>IF(L606&gt;0,N606*100/L606,0)</f>
        <v>0</v>
      </c>
      <c r="P606" s="331">
        <f>IF(M606&gt;0,N606*100/M606,0)</f>
        <v>0</v>
      </c>
      <c r="Q606" s="331">
        <v>0</v>
      </c>
      <c r="R606" s="331">
        <v>0</v>
      </c>
      <c r="S606" s="331">
        <v>0</v>
      </c>
      <c r="T606" s="331">
        <f>IF(Q606&gt;0,S606*100/Q606,0)</f>
        <v>0</v>
      </c>
      <c r="U606" s="331">
        <f>IF(R606&gt;0,S606*100/R606,0)</f>
        <v>0</v>
      </c>
    </row>
    <row r="607" spans="1:21" ht="18.75" hidden="1" x14ac:dyDescent="0.25">
      <c r="A607" s="416"/>
      <c r="B607" s="326"/>
      <c r="C607" s="326"/>
      <c r="D607" s="424"/>
      <c r="E607" s="327" t="s">
        <v>21</v>
      </c>
      <c r="F607" s="424"/>
      <c r="G607" s="425"/>
      <c r="H607" s="431" t="s">
        <v>14</v>
      </c>
      <c r="I607" s="428"/>
      <c r="J607" s="428"/>
      <c r="K607" s="429"/>
      <c r="L607" s="720">
        <f ca="1">IFERROR(__xludf.DUMMYFUNCTION("IMPORTRANGE(""https://docs.google.com/spreadsheets/d/1-uDff_7J0KD5mKrp0Vvzr7lt3OU09vwQwhkpOPPYv2Y/edit?usp=sharing"",""งบพรบ!HN79"")"),0)</f>
        <v>0</v>
      </c>
      <c r="M607" s="331">
        <f ca="1">IFERROR(__xludf.DUMMYFUNCTION("IMPORTRANGE(""https://docs.google.com/spreadsheets/d/1-uDff_7J0KD5mKrp0Vvzr7lt3OU09vwQwhkpOPPYv2Y/edit?usp=sharing"",""งบพรบ!HQ79"")"),0)</f>
        <v>0</v>
      </c>
      <c r="N607" s="331">
        <f ca="1">IFERROR(__xludf.DUMMYFUNCTION("IMPORTRANGE(""https://docs.google.com/spreadsheets/d/1-uDff_7J0KD5mKrp0Vvzr7lt3OU09vwQwhkpOPPYv2Y/edit?usp=sharing"",""งบพรบ!HS79"")"),0)</f>
        <v>0</v>
      </c>
      <c r="O607" s="331">
        <f ca="1">IF(L607&gt;0,N607*100/L607,0)</f>
        <v>0</v>
      </c>
      <c r="P607" s="331">
        <f ca="1">IF(M607&gt;0,N607*100/M607,0)</f>
        <v>0</v>
      </c>
      <c r="Q607" s="331">
        <f ca="1">IFERROR(__xludf.DUMMYFUNCTION("IMPORTRANGE(""https://docs.google.com/spreadsheets/d/1ItG2mGa2ceCfYo0BwxsXqNm01IGEUdYcSSLTEv9YCik/edit?usp=sharing"",""เบิกจ่ายกองทุน!AY79"")"),0)</f>
        <v>0</v>
      </c>
      <c r="R607" s="331">
        <f ca="1">IFERROR(__xludf.DUMMYFUNCTION("IMPORTRANGE(""https://docs.google.com/spreadsheets/d/1ItG2mGa2ceCfYo0BwxsXqNm01IGEUdYcSSLTEv9YCik/edit?usp=sharing"",""เบิกจ่ายกองทุน!AZ79"")"),0)</f>
        <v>0</v>
      </c>
      <c r="S607" s="331">
        <f ca="1">IFERROR(__xludf.DUMMYFUNCTION("IMPORTRANGE(""https://docs.google.com/spreadsheets/d/1ItG2mGa2ceCfYo0BwxsXqNm01IGEUdYcSSLTEv9YCik/edit?usp=sharing"",""เบิกจ่ายกองทุน!BA79"")"),0)</f>
        <v>0</v>
      </c>
      <c r="T607" s="331">
        <f ca="1">IF(Q607&gt;0,S607*100/Q607,0)</f>
        <v>0</v>
      </c>
      <c r="U607" s="331">
        <f ca="1">IF(R607&gt;0,S607*100/R607,0)</f>
        <v>0</v>
      </c>
    </row>
    <row r="608" spans="1:21" ht="19.5" hidden="1" x14ac:dyDescent="0.3">
      <c r="A608" s="432"/>
      <c r="B608" s="433"/>
      <c r="C608" s="417" t="s">
        <v>18</v>
      </c>
      <c r="D608" s="618" t="s">
        <v>38</v>
      </c>
      <c r="E608" s="435"/>
      <c r="F608" s="435"/>
      <c r="G608" s="436"/>
      <c r="H608" s="437"/>
      <c r="I608" s="428"/>
      <c r="J608" s="428"/>
      <c r="K608" s="429"/>
      <c r="L608" s="553"/>
      <c r="M608" s="332"/>
      <c r="N608" s="332"/>
      <c r="O608" s="332"/>
      <c r="P608" s="332"/>
      <c r="Q608" s="332"/>
      <c r="R608" s="332"/>
      <c r="S608" s="332"/>
      <c r="T608" s="332"/>
      <c r="U608" s="332"/>
    </row>
    <row r="609" spans="1:21" ht="18.75" hidden="1" x14ac:dyDescent="0.25">
      <c r="A609" s="432"/>
      <c r="B609" s="433"/>
      <c r="C609" s="433"/>
      <c r="D609" s="438" t="s">
        <v>219</v>
      </c>
      <c r="E609" s="422"/>
      <c r="F609" s="422"/>
      <c r="G609" s="439"/>
      <c r="H609" s="426" t="s">
        <v>99</v>
      </c>
      <c r="I609" s="420"/>
      <c r="J609" s="420"/>
      <c r="K609" s="429"/>
      <c r="L609" s="553"/>
      <c r="M609" s="332"/>
      <c r="N609" s="332"/>
      <c r="O609" s="332"/>
      <c r="P609" s="332"/>
      <c r="Q609" s="332"/>
      <c r="R609" s="332"/>
      <c r="S609" s="332"/>
      <c r="T609" s="332"/>
      <c r="U609" s="332"/>
    </row>
    <row r="610" spans="1:21" ht="19.5" hidden="1" x14ac:dyDescent="0.3">
      <c r="A610" s="432"/>
      <c r="B610" s="433"/>
      <c r="C610" s="433"/>
      <c r="D610" s="438" t="s">
        <v>220</v>
      </c>
      <c r="E610" s="422"/>
      <c r="F610" s="422"/>
      <c r="G610" s="439"/>
      <c r="H610" s="419" t="s">
        <v>35</v>
      </c>
      <c r="I610" s="420"/>
      <c r="J610" s="420"/>
      <c r="K610" s="429"/>
      <c r="L610" s="553"/>
      <c r="M610" s="332"/>
      <c r="N610" s="332"/>
      <c r="O610" s="332"/>
      <c r="P610" s="332"/>
      <c r="Q610" s="332"/>
      <c r="R610" s="332"/>
      <c r="S610" s="332"/>
      <c r="T610" s="332"/>
      <c r="U610" s="332"/>
    </row>
    <row r="611" spans="1:21" ht="18.75" hidden="1" x14ac:dyDescent="0.25">
      <c r="A611" s="432"/>
      <c r="B611" s="433"/>
      <c r="C611" s="433"/>
      <c r="D611" s="433"/>
      <c r="E611" s="438" t="s">
        <v>221</v>
      </c>
      <c r="F611" s="422"/>
      <c r="G611" s="439"/>
      <c r="H611" s="431" t="s">
        <v>35</v>
      </c>
      <c r="I611" s="420"/>
      <c r="J611" s="420"/>
      <c r="K611" s="429"/>
      <c r="L611" s="553"/>
      <c r="M611" s="332"/>
      <c r="N611" s="332"/>
      <c r="O611" s="332"/>
      <c r="P611" s="332"/>
      <c r="Q611" s="332"/>
      <c r="R611" s="332"/>
      <c r="S611" s="332"/>
      <c r="T611" s="332"/>
      <c r="U611" s="332"/>
    </row>
    <row r="612" spans="1:21" ht="19.5" hidden="1" thickBot="1" x14ac:dyDescent="0.3">
      <c r="A612" s="440"/>
      <c r="B612" s="441"/>
      <c r="C612" s="441"/>
      <c r="D612" s="441"/>
      <c r="E612" s="442" t="s">
        <v>222</v>
      </c>
      <c r="F612" s="443"/>
      <c r="G612" s="444"/>
      <c r="H612" s="445" t="s">
        <v>35</v>
      </c>
      <c r="I612" s="446"/>
      <c r="J612" s="446"/>
      <c r="K612" s="447"/>
      <c r="L612" s="843"/>
      <c r="M612" s="448"/>
      <c r="N612" s="448"/>
      <c r="O612" s="448"/>
      <c r="P612" s="448"/>
      <c r="Q612" s="448"/>
      <c r="R612" s="448"/>
      <c r="S612" s="448"/>
      <c r="T612" s="448"/>
      <c r="U612" s="448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6825</v>
      </c>
      <c r="R616" s="132">
        <f ca="1">R617+R618</f>
        <v>6825</v>
      </c>
      <c r="S616" s="132">
        <f ca="1">S617+S618</f>
        <v>1825</v>
      </c>
      <c r="T616" s="132">
        <f ca="1">IF(Q616&gt;0,S616*100/Q616,0)</f>
        <v>26.739926739926741</v>
      </c>
      <c r="U616" s="132">
        <f ca="1">IF(R616&gt;0,S616*100/R616,0)</f>
        <v>26.739926739926741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6825</v>
      </c>
      <c r="R618" s="47">
        <f ca="1">R621+R624</f>
        <v>6825</v>
      </c>
      <c r="S618" s="47">
        <f ca="1">S621+S624</f>
        <v>1825</v>
      </c>
      <c r="T618" s="47">
        <f ca="1">IF(Q618&gt;0,S618*100/Q618,0)</f>
        <v>26.739926739926741</v>
      </c>
      <c r="U618" s="47">
        <f ca="1">IF(R618&gt;0,S618*100/R618,0)</f>
        <v>26.739926739926741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6825</v>
      </c>
      <c r="R619" s="47">
        <f ca="1">R620+R621</f>
        <v>6825</v>
      </c>
      <c r="S619" s="47">
        <f ca="1">S620+S621</f>
        <v>1825</v>
      </c>
      <c r="T619" s="47">
        <f ca="1">IF(Q619&gt;0,S619*100/Q619,0)</f>
        <v>26.739926739926741</v>
      </c>
      <c r="U619" s="47">
        <f ca="1">IF(R619&gt;0,S619*100/R619,0)</f>
        <v>26.739926739926741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IFERROR(__xludf.DUMMYFUNCTION("IMPORTRANGE(""https://docs.google.com/spreadsheets/d/1ItG2mGa2ceCfYo0BwxsXqNm01IGEUdYcSSLTEv9YCik/edit?usp=sharing"",""เบิกจ่ายกองทุน!F79"")"),6825)</f>
        <v>6825</v>
      </c>
      <c r="R621" s="47">
        <f ca="1">IFERROR(__xludf.DUMMYFUNCTION("IMPORTRANGE(""https://docs.google.com/spreadsheets/d/1ItG2mGa2ceCfYo0BwxsXqNm01IGEUdYcSSLTEv9YCik/edit?usp=sharing"",""เบิกจ่ายกองทุน!G79"")"),6825)</f>
        <v>6825</v>
      </c>
      <c r="S621" s="47">
        <f ca="1">IFERROR(__xludf.DUMMYFUNCTION("IMPORTRANGE(""https://docs.google.com/spreadsheets/d/1ItG2mGa2ceCfYo0BwxsXqNm01IGEUdYcSSLTEv9YCik/edit?usp=sharing"",""เบิกจ่ายกองทุน!H79"")"),1825)</f>
        <v>1825</v>
      </c>
      <c r="T621" s="47">
        <f ca="1">IF(Q621&gt;0,S621*100/Q621,0)</f>
        <v>26.739926739926741</v>
      </c>
      <c r="U621" s="47">
        <f ca="1">IF(R621&gt;0,S621*100/R621,0)</f>
        <v>26.739926739926741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IFERROR(__xludf.DUMMYFUNCTION("IMPORTRANGE(""https://docs.google.com/spreadsheets/d/1eHaY18a8A9IcSdp1K8H6x8fbOy06t2VsZHhMHf-1x7Y/edit?usp=sharing"",""แผน!ID79"")"),50)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IFERROR(__xludf.DUMMYFUNCTION("IMPORTRANGE(""https://docs.google.com/spreadsheets/d/1eHaY18a8A9IcSdp1K8H6x8fbOy06t2VsZHhMHf-1x7Y/edit?usp=sharing"",""แผน!IC79"")"),0)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IFERROR(__xludf.DUMMYFUNCTION("IMPORTRANGE(""https://docs.google.com/spreadsheets/d/1eHaY18a8A9IcSdp1K8H6x8fbOy06t2VsZHhMHf-1x7Y/edit?usp=sharing"",""แผน!IC79"")"),0)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IFERROR(__xludf.DUMMYFUNCTION("IMPORTRANGE(""https://docs.google.com/spreadsheets/d/1eHaY18a8A9IcSdp1K8H6x8fbOy06t2VsZHhMHf-1x7Y/edit?usp=sharing"",""แผน!IE79"")"),0)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IFERROR(__xludf.DUMMYFUNCTION("IMPORTRANGE(""https://docs.google.com/spreadsheets/d/1ItG2mGa2ceCfYo0BwxsXqNm01IGEUdYcSSLTEv9YCik/edit?usp=sharing"",""เบิกจ่ายกองทุน!I79"")"),0)</f>
        <v>0</v>
      </c>
      <c r="R647" s="47">
        <f ca="1">IFERROR(__xludf.DUMMYFUNCTION("IMPORTRANGE(""https://docs.google.com/spreadsheets/d/1ItG2mGa2ceCfYo0BwxsXqNm01IGEUdYcSSLTEv9YCik/edit?usp=sharing"",""เบิกจ่ายกองทุน!J79"")"),0)</f>
        <v>0</v>
      </c>
      <c r="S647" s="47">
        <f ca="1">IFERROR(__xludf.DUMMYFUNCTION("IMPORTRANGE(""https://docs.google.com/spreadsheets/d/1ItG2mGa2ceCfYo0BwxsXqNm01IGEUdYcSSLTEv9YCik/edit?usp=sharing"",""เบิกจ่ายกองทุน!K79"")"),0)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IFERROR(__xludf.DUMMYFUNCTION("IMPORTRANGE(""https://docs.google.com/spreadsheets/d/1eHaY18a8A9IcSdp1K8H6x8fbOy06t2VsZHhMHf-1x7Y/edit?usp=sharing"",""แผน!IF79"")"),0)</f>
        <v>0</v>
      </c>
      <c r="J652" s="152">
        <f ca="1">IFERROR(__xludf.DUMMYFUNCTION("IMPORTRANGE(""https://docs.google.com/spreadsheets/d/1tdoBKaGub7dwA3U6UFTqxio9LNnvDCQjHKmttSEBsFQ/edit?usp=sharing"",""จัดที่ดิน!AU79"")"),0)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IFERROR(__xludf.DUMMYFUNCTION("IMPORTRANGE(""https://docs.google.com/spreadsheets/d/1eHaY18a8A9IcSdp1K8H6x8fbOy06t2VsZHhMHf-1x7Y/edit?usp=sharing"",""แผน!IG79"")"),0)</f>
        <v>0</v>
      </c>
      <c r="J653" s="152">
        <f ca="1">IFERROR(__xludf.DUMMYFUNCTION("IMPORTRANGE(""https://docs.google.com/spreadsheets/d/1tdoBKaGub7dwA3U6UFTqxio9LNnvDCQjHKmttSEBsFQ/edit?usp=sharing"",""จัดที่ดิน!AW79"")"),0)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IFERROR(__xludf.DUMMYFUNCTION("IMPORTRANGE(""https://docs.google.com/spreadsheets/d/1eHaY18a8A9IcSdp1K8H6x8fbOy06t2VsZHhMHf-1x7Y/edit?usp=sharing"",""แผน!IH79"")"),0)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IFERROR(__xludf.DUMMYFUNCTION("IMPORTRANGE(""https://docs.google.com/spreadsheets/d/1eHaY18a8A9IcSdp1K8H6x8fbOy06t2VsZHhMHf-1x7Y/edit?usp=sharing"",""แผน!II79"")"),0)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IFERROR(__xludf.DUMMYFUNCTION("IMPORTRANGE(""https://docs.google.com/spreadsheets/d/1eHaY18a8A9IcSdp1K8H6x8fbOy06t2VsZHhMHf-1x7Y/edit?usp=sharing"",""แผน!IJ79"")"),0)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IFERROR(__xludf.DUMMYFUNCTION("IMPORTRANGE(""https://docs.google.com/spreadsheets/d/1eHaY18a8A9IcSdp1K8H6x8fbOy06t2VsZHhMHf-1x7Y/edit?usp=sharing"",""แผน!IK79"")"),0)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IFERROR(__xludf.DUMMYFUNCTION("IMPORTRANGE(""https://docs.google.com/spreadsheets/d/1tdoBKaGub7dwA3U6UFTqxio9LNnvDCQjHKmttSEBsFQ/edit?usp=sharing"",""จัดที่ดิน!AY79"")"),0)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IFERROR(__xludf.DUMMYFUNCTION("IMPORTRANGE(""https://docs.google.com/spreadsheets/d/1tdoBKaGub7dwA3U6UFTqxio9LNnvDCQjHKmttSEBsFQ/edit?usp=sharing"",""จัดที่ดิน!AZ79"")"),0)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IFERROR(__xludf.DUMMYFUNCTION("IMPORTRANGE(""https://docs.google.com/spreadsheets/d/1eHaY18a8A9IcSdp1K8H6x8fbOy06t2VsZHhMHf-1x7Y/edit?usp=sharing"",""แผน!IL79"")"),0)</f>
        <v>0</v>
      </c>
      <c r="J673" s="152">
        <f ca="1">IFERROR(__xludf.DUMMYFUNCTION("IMPORTRANGE(""https://docs.google.com/spreadsheets/d/1tdoBKaGub7dwA3U6UFTqxio9LNnvDCQjHKmttSEBsFQ/edit?usp=sharing"",""จัดที่ดิน!BA79"")"),0)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IFERROR(__xludf.DUMMYFUNCTION("IMPORTRANGE(""https://docs.google.com/spreadsheets/d/1eHaY18a8A9IcSdp1K8H6x8fbOy06t2VsZHhMHf-1x7Y/edit?usp=sharing"",""แผน!IM79"")"),0)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IFERROR(__xludf.DUMMYFUNCTION("IMPORTRANGE(""https://docs.google.com/spreadsheets/d/1eHaY18a8A9IcSdp1K8H6x8fbOy06t2VsZHhMHf-1x7Y/edit?usp=sharing"",""แผน!IN79"")"),0)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IFERROR(__xludf.DUMMYFUNCTION("IMPORTRANGE(""https://docs.google.com/spreadsheets/d/1eHaY18a8A9IcSdp1K8H6x8fbOy06t2VsZHhMHf-1x7Y/edit?usp=sharing"",""แผน!IO79"")"),0)</f>
        <v>0</v>
      </c>
      <c r="J676" s="152">
        <f ca="1">IFERROR(__xludf.DUMMYFUNCTION("IMPORTRANGE(""https://docs.google.com/spreadsheets/d/1tdoBKaGub7dwA3U6UFTqxio9LNnvDCQjHKmttSEBsFQ/edit?usp=sharing"",""จัดที่ดิน!BF79"")"),0)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IFERROR(__xludf.DUMMYFUNCTION("IMPORTRANGE(""https://docs.google.com/spreadsheets/d/1tdoBKaGub7dwA3U6UFTqxio9LNnvDCQjHKmttSEBsFQ/edit?usp=sharing"",""จัดที่ดิน!BG79"")"),0)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IFERROR(__xludf.DUMMYFUNCTION("IMPORTRANGE(""https://docs.google.com/spreadsheets/d/1eHaY18a8A9IcSdp1K8H6x8fbOy06t2VsZHhMHf-1x7Y/edit?usp=sharing"",""แผน!IP79"")"),0)</f>
        <v>0</v>
      </c>
      <c r="J678" s="152">
        <f ca="1">IFERROR(__xludf.DUMMYFUNCTION("IMPORTRANGE(""https://docs.google.com/spreadsheets/d/1tdoBKaGub7dwA3U6UFTqxio9LNnvDCQjHKmttSEBsFQ/edit?usp=sharing"",""จัดที่ดิน!BH79"")"),0)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IFERROR(__xludf.DUMMYFUNCTION("IMPORTRANGE(""https://docs.google.com/spreadsheets/d/1eHaY18a8A9IcSdp1K8H6x8fbOy06t2VsZHhMHf-1x7Y/edit?usp=sharing"",""แผน!IQ79"")"),0)</f>
        <v>0</v>
      </c>
      <c r="J679" s="152">
        <f ca="1">IFERROR(__xludf.DUMMYFUNCTION("IMPORTRANGE(""https://docs.google.com/spreadsheets/d/1tdoBKaGub7dwA3U6UFTqxio9LNnvDCQjHKmttSEBsFQ/edit?usp=sharing"",""จัดที่ดิน!BK79"")"),0)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IFERROR(__xludf.DUMMYFUNCTION("IMPORTRANGE(""https://docs.google.com/spreadsheets/d/1tdoBKaGub7dwA3U6UFTqxio9LNnvDCQjHKmttSEBsFQ/edit?usp=sharing"",""จัดที่ดิน!BL79"")"),0)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IFERROR(__xludf.DUMMYFUNCTION("IMPORTRANGE(""https://docs.google.com/spreadsheets/d/1eHaY18a8A9IcSdp1K8H6x8fbOy06t2VsZHhMHf-1x7Y/edit?usp=sharing"",""แผน!IR79"")"),0)</f>
        <v>0</v>
      </c>
      <c r="J681" s="152">
        <f ca="1">IFERROR(__xludf.DUMMYFUNCTION("IMPORTRANGE(""https://docs.google.com/spreadsheets/d/1tdoBKaGub7dwA3U6UFTqxio9LNnvDCQjHKmttSEBsFQ/edit?usp=sharing"",""จัดที่ดิน!BM79"")"),0)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IFERROR(__xludf.DUMMYFUNCTION("IMPORTRANGE(""https://docs.google.com/spreadsheets/d/1eHaY18a8A9IcSdp1K8H6x8fbOy06t2VsZHhMHf-1x7Y/edit?usp=sharing"",""แผน!IS79"")"),0)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2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IFERROR(__xludf.DUMMYFUNCTION("IMPORTRANGE(""https://docs.google.com/spreadsheets/d/1ItG2mGa2ceCfYo0BwxsXqNm01IGEUdYcSSLTEv9YCik/edit?usp=sharing"",""เบิกจ่ายกองทุน!L79"")"),0)</f>
        <v>0</v>
      </c>
      <c r="R695" s="47">
        <f ca="1">IFERROR(__xludf.DUMMYFUNCTION("IMPORTRANGE(""https://docs.google.com/spreadsheets/d/1ItG2mGa2ceCfYo0BwxsXqNm01IGEUdYcSSLTEv9YCik/edit?usp=sharing"",""เบิกจ่ายกองทุน!M79"")"),0)</f>
        <v>0</v>
      </c>
      <c r="S695" s="47">
        <f ca="1">IFERROR(__xludf.DUMMYFUNCTION("IMPORTRANGE(""https://docs.google.com/spreadsheets/d/1ItG2mGa2ceCfYo0BwxsXqNm01IGEUdYcSSLTEv9YCik/edit?usp=sharing"",""เบิกจ่ายกองทุน!N79"")"),0)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IFERROR(__xludf.DUMMYFUNCTION("IMPORTRANGE(""https://docs.google.com/spreadsheets/d/1eHaY18a8A9IcSdp1K8H6x8fbOy06t2VsZHhMHf-1x7Y/edit?usp=sharing"",""แผน!LC79"")"),0)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2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872">
        <f ca="1">J704+J706</f>
        <v>0.21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IFERROR(__xludf.DUMMYFUNCTION("IMPORTRANGE(""https://docs.google.com/spreadsheets/d/1eHaY18a8A9IcSdp1K8H6x8fbOy06t2VsZHhMHf-1x7Y/edit?usp=sharing"",""แผน!LJ79"")"),0)</f>
        <v>0</v>
      </c>
      <c r="J703" s="152">
        <f ca="1">IFERROR(__xludf.DUMMYFUNCTION("IMPORTRANGE(""https://docs.google.com/spreadsheets/d/1tdoBKaGub7dwA3U6UFTqxio9LNnvDCQjHKmttSEBsFQ/edit?usp=sharing"",""จัดที่ดิน!AP79"")"),2)</f>
        <v>2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685">
        <f ca="1">IFERROR(__xludf.DUMMYFUNCTION("IMPORTRANGE(""https://docs.google.com/spreadsheets/d/1tdoBKaGub7dwA3U6UFTqxio9LNnvDCQjHKmttSEBsFQ/edit?usp=sharing"",""จัดที่ดิน!AQ79"")"),0.21)</f>
        <v>0.21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IFERROR(__xludf.DUMMYFUNCTION("IMPORTRANGE(""https://docs.google.com/spreadsheets/d/1eHaY18a8A9IcSdp1K8H6x8fbOy06t2VsZHhMHf-1x7Y/edit?usp=sharing"",""แผน!LK79"")"),0)</f>
        <v>0</v>
      </c>
      <c r="J705" s="152">
        <f ca="1">IFERROR(__xludf.DUMMYFUNCTION("IMPORTRANGE(""https://docs.google.com/spreadsheets/d/1tdoBKaGub7dwA3U6UFTqxio9LNnvDCQjHKmttSEBsFQ/edit?usp=sharing"",""จัดที่ดิน!AR79"")"),0)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IFERROR(__xludf.DUMMYFUNCTION("IMPORTRANGE(""https://docs.google.com/spreadsheets/d/1tdoBKaGub7dwA3U6UFTqxio9LNnvDCQjHKmttSEBsFQ/edit?usp=sharing"",""จัดที่ดิน!AS79"")"),0)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IFERROR(__xludf.DUMMYFUNCTION("IMPORTRANGE(""https://docs.google.com/spreadsheets/d/1eHaY18a8A9IcSdp1K8H6x8fbOy06t2VsZHhMHf-1x7Y/edit?usp=sharing"",""แผน!LJ79"")"),0)</f>
        <v>0</v>
      </c>
      <c r="J707" s="152">
        <f ca="1">IFERROR(__xludf.DUMMYFUNCTION("IMPORTRANGE(""https://docs.google.com/spreadsheets/d/1tdoBKaGub7dwA3U6UFTqxio9LNnvDCQjHKmttSEBsFQ/edit?usp=sharing"",""จัดที่ดิน!BN79"")"),2)</f>
        <v>2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IFERROR(__xludf.DUMMYFUNCTION("IMPORTRANGE(""https://docs.google.com/spreadsheets/d/1tdoBKaGub7dwA3U6UFTqxio9LNnvDCQjHKmttSEBsFQ/edit?usp=sharing"",""จัดที่ดิน!BO79"")"),0.21)</f>
        <v>0.21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IFERROR(__xludf.DUMMYFUNCTION("IMPORTRANGE(""https://docs.google.com/spreadsheets/d/1eHaY18a8A9IcSdp1K8H6x8fbOy06t2VsZHhMHf-1x7Y/edit?usp=sharing"",""แผน!LK79"")"),0)</f>
        <v>0</v>
      </c>
      <c r="J709" s="152">
        <f ca="1">IFERROR(__xludf.DUMMYFUNCTION("IMPORTRANGE(""https://docs.google.com/spreadsheets/d/1tdoBKaGub7dwA3U6UFTqxio9LNnvDCQjHKmttSEBsFQ/edit?usp=sharing"",""จัดที่ดิน!BP79"")"),0)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IFERROR(__xludf.DUMMYFUNCTION("IMPORTRANGE(""https://docs.google.com/spreadsheets/d/1tdoBKaGub7dwA3U6UFTqxio9LNnvDCQjHKmttSEBsFQ/edit?usp=sharing"",""จัดที่ดิน!BQ79"")"),0)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IFERROR(__xludf.DUMMYFUNCTION("IMPORTRANGE(""https://docs.google.com/spreadsheets/d/1eHaY18a8A9IcSdp1K8H6x8fbOy06t2VsZHhMHf-1x7Y/edit?usp=sharing"",""แผน!GA79"")"),11)</f>
        <v>11</v>
      </c>
      <c r="J726" s="483">
        <f>J742+J746+J749</f>
        <v>10</v>
      </c>
      <c r="K726" s="484">
        <f ca="1">IF(I726&gt;0,J726*100/I726,0)</f>
        <v>90.909090909090907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IFERROR(__xludf.DUMMYFUNCTION("IMPORTRANGE(""https://docs.google.com/spreadsheets/d/1eHaY18a8A9IcSdp1K8H6x8fbOy06t2VsZHhMHf-1x7Y/edit?usp=sharing"",""แผน!FZ79"")"),100)</f>
        <v>100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111882</v>
      </c>
      <c r="R728" s="132">
        <f ca="1">R729+R730</f>
        <v>111882</v>
      </c>
      <c r="S728" s="132">
        <f ca="1">S729+S730</f>
        <v>47592</v>
      </c>
      <c r="T728" s="132">
        <f ca="1">IF(Q728&gt;0,S728*100/Q728,0)</f>
        <v>42.537673620421515</v>
      </c>
      <c r="U728" s="132">
        <f ca="1">IF(R728&gt;0,S728*100/R728,0)</f>
        <v>42.537673620421515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111882</v>
      </c>
      <c r="R730" s="47">
        <f ca="1">R733+R736</f>
        <v>111882</v>
      </c>
      <c r="S730" s="47">
        <f ca="1">S733+S736</f>
        <v>47592</v>
      </c>
      <c r="T730" s="47">
        <f ca="1">IF(Q730&gt;0,S730*100/Q730,0)</f>
        <v>42.537673620421515</v>
      </c>
      <c r="U730" s="47">
        <f ca="1">IF(R730&gt;0,S730*100/R730,0)</f>
        <v>42.537673620421515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111882</v>
      </c>
      <c r="R731" s="47">
        <f ca="1">R732+R733</f>
        <v>111882</v>
      </c>
      <c r="S731" s="47">
        <f ca="1">S732+S733</f>
        <v>47592</v>
      </c>
      <c r="T731" s="47">
        <f ca="1">IF(Q731&gt;0,S731*100/Q731,0)</f>
        <v>42.537673620421515</v>
      </c>
      <c r="U731" s="47">
        <f ca="1">IF(R731&gt;0,S731*100/R731,0)</f>
        <v>42.537673620421515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IFERROR(__xludf.DUMMYFUNCTION("IMPORTRANGE(""https://docs.google.com/spreadsheets/d/1ItG2mGa2ceCfYo0BwxsXqNm01IGEUdYcSSLTEv9YCik/edit?usp=sharing"",""เบิกจ่ายกองทุน!O79"")"),111882)</f>
        <v>111882</v>
      </c>
      <c r="R733" s="47">
        <f ca="1">IFERROR(__xludf.DUMMYFUNCTION("IMPORTRANGE(""https://docs.google.com/spreadsheets/d/1ItG2mGa2ceCfYo0BwxsXqNm01IGEUdYcSSLTEv9YCik/edit?usp=sharing"",""เบิกจ่ายกองทุน!P79"")"),111882)</f>
        <v>111882</v>
      </c>
      <c r="S733" s="47">
        <f ca="1">IFERROR(__xludf.DUMMYFUNCTION("IMPORTRANGE(""https://docs.google.com/spreadsheets/d/1ItG2mGa2ceCfYo0BwxsXqNm01IGEUdYcSSLTEv9YCik/edit?usp=sharing"",""เบิกจ่ายกองทุน!Q79"")"),47592)</f>
        <v>47592</v>
      </c>
      <c r="T733" s="47">
        <f ca="1">IF(Q733&gt;0,S733*100/Q733,0)</f>
        <v>42.537673620421515</v>
      </c>
      <c r="U733" s="47">
        <f ca="1">IF(R733&gt;0,S733*100/R733,0)</f>
        <v>42.537673620421515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IFERROR(__xludf.DUMMYFUNCTION("IMPORTRANGE(""https://docs.google.com/spreadsheets/d/1eHaY18a8A9IcSdp1K8H6x8fbOy06t2VsZHhMHf-1x7Y/edit?usp=sharing"",""แผน!GB79"")"),80)</f>
        <v>80</v>
      </c>
      <c r="J740" s="167">
        <v>80</v>
      </c>
      <c r="K740" s="47">
        <f ca="1">IF(I740&gt;0,J740*100/I740,0)</f>
        <v>100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138"/>
      <c r="B741" s="139"/>
      <c r="C741" s="139"/>
      <c r="D741" s="139"/>
      <c r="E741" s="139"/>
      <c r="F741" s="472" t="s">
        <v>275</v>
      </c>
      <c r="G741" s="143"/>
      <c r="H741" s="133" t="s">
        <v>35</v>
      </c>
      <c r="I741" s="45"/>
      <c r="J741" s="167">
        <v>0</v>
      </c>
      <c r="K741" s="46"/>
      <c r="L741" s="546"/>
      <c r="M741" s="46"/>
      <c r="N741" s="46"/>
      <c r="O741" s="46"/>
      <c r="P741" s="46"/>
      <c r="Q741" s="46"/>
      <c r="R741" s="46"/>
      <c r="S741" s="46"/>
      <c r="T741" s="46"/>
      <c r="U741" s="46"/>
    </row>
    <row r="742" spans="1:21" ht="18.75" x14ac:dyDescent="0.25">
      <c r="A742" s="138"/>
      <c r="B742" s="139"/>
      <c r="C742" s="139"/>
      <c r="D742" s="139"/>
      <c r="E742" s="139"/>
      <c r="F742" s="472" t="s">
        <v>276</v>
      </c>
      <c r="G742" s="143"/>
      <c r="H742" s="133" t="s">
        <v>35</v>
      </c>
      <c r="I742" s="152">
        <f ca="1">IFERROR(__xludf.DUMMYFUNCTION("IMPORTRANGE(""https://docs.google.com/spreadsheets/d/1eHaY18a8A9IcSdp1K8H6x8fbOy06t2VsZHhMHf-1x7Y/edit?usp=sharing"",""แผน!GC79"")"),8)</f>
        <v>8</v>
      </c>
      <c r="J742" s="167">
        <v>8</v>
      </c>
      <c r="K742" s="47">
        <f ca="1">IF(I742&gt;0,J742*100/I742,0)</f>
        <v>100</v>
      </c>
      <c r="L742" s="546"/>
      <c r="M742" s="46"/>
      <c r="N742" s="46"/>
      <c r="O742" s="46"/>
      <c r="P742" s="46"/>
      <c r="Q742" s="46"/>
      <c r="R742" s="46"/>
      <c r="S742" s="46"/>
      <c r="T742" s="46"/>
      <c r="U742" s="46"/>
    </row>
    <row r="743" spans="1:21" ht="18.75" x14ac:dyDescent="0.25">
      <c r="A743" s="138"/>
      <c r="B743" s="139"/>
      <c r="C743" s="139"/>
      <c r="D743" s="139"/>
      <c r="E743" s="472" t="s">
        <v>277</v>
      </c>
      <c r="F743" s="139"/>
      <c r="G743" s="143"/>
      <c r="H743" s="191"/>
      <c r="I743" s="45"/>
      <c r="J743" s="45"/>
      <c r="K743" s="46"/>
      <c r="L743" s="546"/>
      <c r="M743" s="46"/>
      <c r="N743" s="46"/>
      <c r="O743" s="46"/>
      <c r="P743" s="46"/>
      <c r="Q743" s="46"/>
      <c r="R743" s="46"/>
      <c r="S743" s="46"/>
      <c r="T743" s="46"/>
      <c r="U743" s="46"/>
    </row>
    <row r="744" spans="1:21" ht="18.75" x14ac:dyDescent="0.25">
      <c r="A744" s="138"/>
      <c r="B744" s="139"/>
      <c r="C744" s="139"/>
      <c r="D744" s="139"/>
      <c r="E744" s="139"/>
      <c r="F744" s="472" t="s">
        <v>274</v>
      </c>
      <c r="G744" s="143"/>
      <c r="H744" s="133" t="s">
        <v>46</v>
      </c>
      <c r="I744" s="152">
        <f ca="1">IFERROR(__xludf.DUMMYFUNCTION("IMPORTRANGE(""https://docs.google.com/spreadsheets/d/1eHaY18a8A9IcSdp1K8H6x8fbOy06t2VsZHhMHf-1x7Y/edit?usp=sharing"",""แผน!GD79"")"),20)</f>
        <v>20</v>
      </c>
      <c r="J744" s="167">
        <v>20</v>
      </c>
      <c r="K744" s="47">
        <f ca="1">IF(I744&gt;0,J744*100/I744,0)</f>
        <v>100</v>
      </c>
      <c r="L744" s="546"/>
      <c r="M744" s="46"/>
      <c r="N744" s="46"/>
      <c r="O744" s="46"/>
      <c r="P744" s="46"/>
      <c r="Q744" s="46"/>
      <c r="R744" s="46"/>
      <c r="S744" s="46"/>
      <c r="T744" s="46"/>
      <c r="U744" s="46"/>
    </row>
    <row r="745" spans="1:21" ht="18.75" x14ac:dyDescent="0.25">
      <c r="A745" s="138"/>
      <c r="B745" s="139"/>
      <c r="C745" s="139"/>
      <c r="D745" s="139"/>
      <c r="E745" s="139"/>
      <c r="F745" s="472" t="s">
        <v>278</v>
      </c>
      <c r="G745" s="143"/>
      <c r="H745" s="133" t="s">
        <v>35</v>
      </c>
      <c r="I745" s="45"/>
      <c r="J745" s="167">
        <v>0</v>
      </c>
      <c r="K745" s="46"/>
      <c r="L745" s="546"/>
      <c r="M745" s="46"/>
      <c r="N745" s="46"/>
      <c r="O745" s="46"/>
      <c r="P745" s="46"/>
      <c r="Q745" s="46"/>
      <c r="R745" s="46"/>
      <c r="S745" s="46"/>
      <c r="T745" s="46"/>
      <c r="U745" s="46"/>
    </row>
    <row r="746" spans="1:21" ht="18.75" x14ac:dyDescent="0.25">
      <c r="A746" s="138"/>
      <c r="B746" s="139"/>
      <c r="C746" s="139"/>
      <c r="D746" s="139"/>
      <c r="E746" s="139"/>
      <c r="F746" s="472" t="s">
        <v>279</v>
      </c>
      <c r="G746" s="143"/>
      <c r="H746" s="133" t="s">
        <v>35</v>
      </c>
      <c r="I746" s="152">
        <f ca="1">IFERROR(__xludf.DUMMYFUNCTION("IMPORTRANGE(""https://docs.google.com/spreadsheets/d/1eHaY18a8A9IcSdp1K8H6x8fbOy06t2VsZHhMHf-1x7Y/edit?usp=sharing"",""แผน!GE79"")"),2)</f>
        <v>2</v>
      </c>
      <c r="J746" s="167">
        <v>2</v>
      </c>
      <c r="K746" s="47">
        <f ca="1">IF(I746&gt;0,J746*100/I746,0)</f>
        <v>100</v>
      </c>
      <c r="L746" s="546"/>
      <c r="M746" s="46"/>
      <c r="N746" s="46"/>
      <c r="O746" s="46"/>
      <c r="P746" s="46"/>
      <c r="Q746" s="46"/>
      <c r="R746" s="46"/>
      <c r="S746" s="46"/>
      <c r="T746" s="46"/>
      <c r="U746" s="46"/>
    </row>
    <row r="747" spans="1:21" ht="18.75" x14ac:dyDescent="0.25">
      <c r="A747" s="138"/>
      <c r="B747" s="139"/>
      <c r="C747" s="139"/>
      <c r="D747" s="139"/>
      <c r="E747" s="472" t="s">
        <v>280</v>
      </c>
      <c r="F747" s="145"/>
      <c r="G747" s="143"/>
      <c r="H747" s="191"/>
      <c r="I747" s="45"/>
      <c r="J747" s="45"/>
      <c r="K747" s="46"/>
      <c r="L747" s="546"/>
      <c r="M747" s="46"/>
      <c r="N747" s="46"/>
      <c r="O747" s="46"/>
      <c r="P747" s="46"/>
      <c r="Q747" s="46"/>
      <c r="R747" s="46"/>
      <c r="S747" s="46"/>
      <c r="T747" s="46"/>
      <c r="U747" s="46"/>
    </row>
    <row r="748" spans="1:21" ht="18.75" x14ac:dyDescent="0.25">
      <c r="A748" s="138"/>
      <c r="B748" s="139"/>
      <c r="C748" s="139"/>
      <c r="D748" s="139"/>
      <c r="E748" s="139"/>
      <c r="F748" s="472" t="s">
        <v>281</v>
      </c>
      <c r="G748" s="143"/>
      <c r="H748" s="133" t="s">
        <v>35</v>
      </c>
      <c r="I748" s="45"/>
      <c r="J748" s="167">
        <v>0</v>
      </c>
      <c r="K748" s="46"/>
      <c r="L748" s="546"/>
      <c r="M748" s="46"/>
      <c r="N748" s="46"/>
      <c r="O748" s="46"/>
      <c r="P748" s="46"/>
      <c r="Q748" s="46"/>
      <c r="R748" s="46"/>
      <c r="S748" s="46"/>
      <c r="T748" s="46"/>
      <c r="U748" s="46"/>
    </row>
    <row r="749" spans="1:21" ht="18.75" x14ac:dyDescent="0.25">
      <c r="A749" s="138"/>
      <c r="B749" s="139"/>
      <c r="C749" s="139"/>
      <c r="D749" s="139"/>
      <c r="E749" s="139"/>
      <c r="F749" s="472" t="s">
        <v>282</v>
      </c>
      <c r="G749" s="143"/>
      <c r="H749" s="133" t="s">
        <v>35</v>
      </c>
      <c r="I749" s="152">
        <f ca="1">IFERROR(__xludf.DUMMYFUNCTION("IMPORTRANGE(""https://docs.google.com/spreadsheets/d/1eHaY18a8A9IcSdp1K8H6x8fbOy06t2VsZHhMHf-1x7Y/edit?usp=sharing"",""แผน!GF79"")"),1)</f>
        <v>1</v>
      </c>
      <c r="J749" s="167">
        <v>0</v>
      </c>
      <c r="K749" s="47">
        <f ca="1">IF(I749&gt;0,J749*100/I749,0)</f>
        <v>0</v>
      </c>
      <c r="L749" s="546"/>
      <c r="M749" s="46"/>
      <c r="N749" s="46"/>
      <c r="O749" s="46"/>
      <c r="P749" s="46"/>
      <c r="Q749" s="46"/>
      <c r="R749" s="46"/>
      <c r="S749" s="46"/>
      <c r="T749" s="46"/>
      <c r="U749" s="46"/>
    </row>
    <row r="750" spans="1:21" ht="19.5" x14ac:dyDescent="0.3">
      <c r="A750" s="138"/>
      <c r="B750" s="139"/>
      <c r="C750" s="139"/>
      <c r="D750" s="500" t="s">
        <v>50</v>
      </c>
      <c r="E750" s="139"/>
      <c r="F750" s="145"/>
      <c r="G750" s="143"/>
      <c r="H750" s="191"/>
      <c r="I750" s="45"/>
      <c r="J750" s="45"/>
      <c r="K750" s="46"/>
      <c r="L750" s="546"/>
      <c r="M750" s="46"/>
      <c r="N750" s="46"/>
      <c r="O750" s="46"/>
      <c r="P750" s="46"/>
      <c r="Q750" s="46"/>
      <c r="R750" s="46"/>
      <c r="S750" s="46"/>
      <c r="T750" s="46"/>
      <c r="U750" s="46"/>
    </row>
    <row r="751" spans="1:21" ht="18.75" x14ac:dyDescent="0.25">
      <c r="A751" s="138"/>
      <c r="B751" s="139"/>
      <c r="C751" s="139"/>
      <c r="D751" s="139"/>
      <c r="E751" s="472" t="s">
        <v>273</v>
      </c>
      <c r="F751" s="145"/>
      <c r="G751" s="143"/>
      <c r="H751" s="191"/>
      <c r="I751" s="45"/>
      <c r="J751" s="45"/>
      <c r="K751" s="46"/>
      <c r="L751" s="546"/>
      <c r="M751" s="46"/>
      <c r="N751" s="46"/>
      <c r="O751" s="46"/>
      <c r="P751" s="46"/>
      <c r="Q751" s="46"/>
      <c r="R751" s="46"/>
      <c r="S751" s="46"/>
      <c r="T751" s="46"/>
      <c r="U751" s="46"/>
    </row>
    <row r="752" spans="1:21" ht="18.75" x14ac:dyDescent="0.25">
      <c r="A752" s="138"/>
      <c r="B752" s="139"/>
      <c r="C752" s="139"/>
      <c r="D752" s="139"/>
      <c r="E752" s="139"/>
      <c r="F752" s="149" t="s">
        <v>283</v>
      </c>
      <c r="G752" s="143"/>
      <c r="H752" s="133" t="s">
        <v>46</v>
      </c>
      <c r="I752" s="152">
        <f ca="1">IFERROR(__xludf.DUMMYFUNCTION("IMPORTRANGE(""https://docs.google.com/spreadsheets/d/1eHaY18a8A9IcSdp1K8H6x8fbOy06t2VsZHhMHf-1x7Y/edit?usp=sharing"",""แผน!GB79"")"),80)</f>
        <v>80</v>
      </c>
      <c r="J752" s="167">
        <v>0</v>
      </c>
      <c r="K752" s="47">
        <f ca="1">IF(I752&gt;0,J752*100/I752,0)</f>
        <v>0</v>
      </c>
      <c r="L752" s="546"/>
      <c r="M752" s="46"/>
      <c r="N752" s="46"/>
      <c r="O752" s="46"/>
      <c r="P752" s="46"/>
      <c r="Q752" s="46"/>
      <c r="R752" s="46"/>
      <c r="S752" s="46"/>
      <c r="T752" s="46"/>
      <c r="U752" s="46"/>
    </row>
    <row r="753" spans="1:21" ht="18.75" x14ac:dyDescent="0.25">
      <c r="A753" s="138"/>
      <c r="B753" s="139"/>
      <c r="C753" s="139"/>
      <c r="D753" s="139"/>
      <c r="E753" s="139"/>
      <c r="F753" s="149" t="s">
        <v>284</v>
      </c>
      <c r="G753" s="143"/>
      <c r="H753" s="133" t="s">
        <v>46</v>
      </c>
      <c r="I753" s="45"/>
      <c r="J753" s="167">
        <v>0</v>
      </c>
      <c r="K753" s="46"/>
      <c r="L753" s="546"/>
      <c r="M753" s="46"/>
      <c r="N753" s="46"/>
      <c r="O753" s="46"/>
      <c r="P753" s="46"/>
      <c r="Q753" s="46"/>
      <c r="R753" s="46"/>
      <c r="S753" s="46"/>
      <c r="T753" s="46"/>
      <c r="U753" s="46"/>
    </row>
    <row r="754" spans="1:21" ht="18.75" x14ac:dyDescent="0.25">
      <c r="A754" s="138"/>
      <c r="B754" s="139"/>
      <c r="C754" s="139"/>
      <c r="D754" s="139"/>
      <c r="E754" s="472" t="s">
        <v>277</v>
      </c>
      <c r="F754" s="145"/>
      <c r="G754" s="143"/>
      <c r="H754" s="191"/>
      <c r="I754" s="45"/>
      <c r="J754" s="45"/>
      <c r="K754" s="46"/>
      <c r="L754" s="546"/>
      <c r="M754" s="46"/>
      <c r="N754" s="46"/>
      <c r="O754" s="46"/>
      <c r="P754" s="46"/>
      <c r="Q754" s="46"/>
      <c r="R754" s="46"/>
      <c r="S754" s="46"/>
      <c r="T754" s="46"/>
      <c r="U754" s="46"/>
    </row>
    <row r="755" spans="1:21" ht="18.75" x14ac:dyDescent="0.25">
      <c r="A755" s="138"/>
      <c r="B755" s="139"/>
      <c r="C755" s="139"/>
      <c r="D755" s="139"/>
      <c r="E755" s="145"/>
      <c r="F755" s="149" t="s">
        <v>285</v>
      </c>
      <c r="G755" s="143"/>
      <c r="H755" s="133" t="s">
        <v>46</v>
      </c>
      <c r="I755" s="152">
        <f ca="1">IFERROR(__xludf.DUMMYFUNCTION("IMPORTRANGE(""https://docs.google.com/spreadsheets/d/1eHaY18a8A9IcSdp1K8H6x8fbOy06t2VsZHhMHf-1x7Y/edit?usp=sharing"",""แผน!GD79"")"),20)</f>
        <v>20</v>
      </c>
      <c r="J755" s="167">
        <v>0</v>
      </c>
      <c r="K755" s="47">
        <f ca="1">IF(I755&gt;0,J755*100/I755,0)</f>
        <v>0</v>
      </c>
      <c r="L755" s="546"/>
      <c r="M755" s="46"/>
      <c r="N755" s="46"/>
      <c r="O755" s="46"/>
      <c r="P755" s="46"/>
      <c r="Q755" s="46"/>
      <c r="R755" s="46"/>
      <c r="S755" s="46"/>
      <c r="T755" s="46"/>
      <c r="U755" s="46"/>
    </row>
    <row r="756" spans="1:21" ht="18.75" x14ac:dyDescent="0.25">
      <c r="A756" s="138"/>
      <c r="B756" s="139"/>
      <c r="C756" s="139"/>
      <c r="D756" s="139"/>
      <c r="E756" s="145"/>
      <c r="F756" s="149" t="s">
        <v>286</v>
      </c>
      <c r="G756" s="143"/>
      <c r="H756" s="133" t="s">
        <v>46</v>
      </c>
      <c r="I756" s="45"/>
      <c r="J756" s="167">
        <v>0</v>
      </c>
      <c r="K756" s="46"/>
      <c r="L756" s="546"/>
      <c r="M756" s="46"/>
      <c r="N756" s="46"/>
      <c r="O756" s="46"/>
      <c r="P756" s="46"/>
      <c r="Q756" s="46"/>
      <c r="R756" s="46"/>
      <c r="S756" s="46"/>
      <c r="T756" s="46"/>
      <c r="U756" s="46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hidden="1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hidden="1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hidden="1" x14ac:dyDescent="0.3">
      <c r="A760" s="128"/>
      <c r="B760" s="159"/>
      <c r="C760" s="188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0</v>
      </c>
      <c r="R760" s="132">
        <f ca="1">R761+R762</f>
        <v>0</v>
      </c>
      <c r="S760" s="132">
        <f ca="1">S761+S762</f>
        <v>0</v>
      </c>
      <c r="T760" s="132">
        <f ca="1">IF(Q760&gt;0,S760*100/Q760,0)</f>
        <v>0</v>
      </c>
      <c r="U760" s="132">
        <f ca="1">IF(R760&gt;0,S760*100/R760,0)</f>
        <v>0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0</v>
      </c>
      <c r="R762" s="47">
        <f ca="1">R765+R768</f>
        <v>0</v>
      </c>
      <c r="S762" s="47">
        <f ca="1">S765+S768</f>
        <v>0</v>
      </c>
      <c r="T762" s="47">
        <f ca="1">IF(Q762&gt;0,S762*100/Q762,0)</f>
        <v>0</v>
      </c>
      <c r="U762" s="47">
        <f ca="1">IF(R762&gt;0,S762*100/R762,0)</f>
        <v>0</v>
      </c>
    </row>
    <row r="763" spans="1:21" ht="18.75" hidden="1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0</v>
      </c>
      <c r="R763" s="47">
        <f ca="1">R764+R765</f>
        <v>0</v>
      </c>
      <c r="S763" s="47">
        <f ca="1">S764+S765</f>
        <v>0</v>
      </c>
      <c r="T763" s="47">
        <f ca="1">IF(Q763&gt;0,S763*100/Q763,0)</f>
        <v>0</v>
      </c>
      <c r="U763" s="47">
        <f ca="1">IF(R763&gt;0,S763*100/R763,0)</f>
        <v>0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IFERROR(__xludf.DUMMYFUNCTION("IMPORTRANGE(""https://docs.google.com/spreadsheets/d/1ItG2mGa2ceCfYo0BwxsXqNm01IGEUdYcSSLTEv9YCik/edit?usp=sharing"",""เบิกจ่ายกองทุน!AA79"")"),0)</f>
        <v>0</v>
      </c>
      <c r="R765" s="47">
        <f ca="1">IFERROR(__xludf.DUMMYFUNCTION("IMPORTRANGE(""https://docs.google.com/spreadsheets/d/1ItG2mGa2ceCfYo0BwxsXqNm01IGEUdYcSSLTEv9YCik/edit?usp=sharing"",""เบิกจ่ายกองทุน!AB79"")"),0)</f>
        <v>0</v>
      </c>
      <c r="S765" s="47">
        <f ca="1">IFERROR(__xludf.DUMMYFUNCTION("IMPORTRANGE(""https://docs.google.com/spreadsheets/d/1ItG2mGa2ceCfYo0BwxsXqNm01IGEUdYcSSLTEv9YCik/edit?usp=sharing"",""เบิกจ่ายกองทุน!AC79"")"),0)</f>
        <v>0</v>
      </c>
      <c r="T765" s="47">
        <f ca="1">IF(Q765&gt;0,S765*100/Q765,0)</f>
        <v>0</v>
      </c>
      <c r="U765" s="47">
        <f ca="1">IF(R765&gt;0,S765*100/R765,0)</f>
        <v>0</v>
      </c>
    </row>
    <row r="766" spans="1:21" ht="18.75" hidden="1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hidden="1" x14ac:dyDescent="0.3">
      <c r="A769" s="138"/>
      <c r="B769" s="139"/>
      <c r="C769" s="503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IFERROR(__xludf.DUMMYFUNCTION("IMPORTRANGE(""https://docs.google.com/spreadsheets/d/1eHaY18a8A9IcSdp1K8H6x8fbOy06t2VsZHhMHf-1x7Y/edit?usp=sharing"",""แผน!FI79"")"),0)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hidden="1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IFERROR(__xludf.DUMMYFUNCTION("IMPORTRANGE(""https://docs.google.com/spreadsheets/d/1eHaY18a8A9IcSdp1K8H6x8fbOy06t2VsZHhMHf-1x7Y/edit?usp=sharing"",""แผน!FQ79"")"),0)</f>
        <v>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hidden="1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hidden="1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IFERROR(__xludf.DUMMYFUNCTION("IMPORTRANGE(""https://docs.google.com/spreadsheets/d/1eHaY18a8A9IcSdp1K8H6x8fbOy06t2VsZHhMHf-1x7Y/edit?usp=sharing"",""แผน!FR79"")"),0)</f>
        <v>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hidden="1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IFERROR(__xludf.DUMMYFUNCTION("IMPORTRANGE(""https://docs.google.com/spreadsheets/d/1eHaY18a8A9IcSdp1K8H6x8fbOy06t2VsZHhMHf-1x7Y/edit?usp=sharing"",""แผน!FS79"")"),0)</f>
        <v>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hidden="1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IFERROR(__xludf.DUMMYFUNCTION("IMPORTRANGE(""https://docs.google.com/spreadsheets/d/1eHaY18a8A9IcSdp1K8H6x8fbOy06t2VsZHhMHf-1x7Y/edit?usp=sharing"",""แผน!FT79"")"),0)</f>
        <v>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IFERROR(__xludf.DUMMYFUNCTION("IMPORTRANGE(""https://docs.google.com/spreadsheets/d/10OvvATaaLtwErnr3qtWFcTmtbfpFEt5Bsqel9sXx0uE/edit?usp=sharing"",""งานกองทุน!D79"")"),297253.44)</f>
        <v>297253.44</v>
      </c>
      <c r="J778" s="152">
        <f ca="1">IFERROR(__xludf.DUMMYFUNCTION("IMPORTRANGE(""https://docs.google.com/spreadsheets/d/10OvvATaaLtwErnr3qtWFcTmtbfpFEt5Bsqel9sXx0uE/edit?usp=sharing"",""งานกองทุน!F79"")"),280960.83)</f>
        <v>280960.83</v>
      </c>
      <c r="K778" s="47">
        <f ca="1">IF(I778&gt;0,J778*100/I778,0)</f>
        <v>94.518949890033227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IFERROR(__xludf.DUMMYFUNCTION("IMPORTRANGE(""https://docs.google.com/spreadsheets/d/10OvvATaaLtwErnr3qtWFcTmtbfpFEt5Bsqel9sXx0uE/edit?usp=sharing"",""งานกองทุน!C79"")"),25)</f>
        <v>25</v>
      </c>
      <c r="J779" s="152">
        <f ca="1">IFERROR(__xludf.DUMMYFUNCTION("IMPORTRANGE(""https://docs.google.com/spreadsheets/d/10OvvATaaLtwErnr3qtWFcTmtbfpFEt5Bsqel9sXx0uE/edit?usp=sharing"",""งานกองทุน!E79"")"),29)</f>
        <v>29</v>
      </c>
      <c r="K779" s="47">
        <f ca="1">IF(I779&gt;0,J779*100/I779,0)</f>
        <v>116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IFERROR(__xludf.DUMMYFUNCTION("IMPORTRANGE(""https://docs.google.com/spreadsheets/d/10OvvATaaLtwErnr3qtWFcTmtbfpFEt5Bsqel9sXx0uE/edit?usp=sharing"",""งานกองทุน!I79"")"),207270.9)</f>
        <v>207270.9</v>
      </c>
      <c r="J780" s="152">
        <f ca="1">IFERROR(__xludf.DUMMYFUNCTION("IMPORTRANGE(""https://docs.google.com/spreadsheets/d/10OvvATaaLtwErnr3qtWFcTmtbfpFEt5Bsqel9sXx0uE/edit?usp=sharing"",""งานกองทุน!K79"")"),12102.21)</f>
        <v>12102.21</v>
      </c>
      <c r="K780" s="47">
        <f ca="1">IF(I780&gt;0,J780*100/I780,0)</f>
        <v>5.8388370002735552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IFERROR(__xludf.DUMMYFUNCTION("IMPORTRANGE(""https://docs.google.com/spreadsheets/d/10OvvATaaLtwErnr3qtWFcTmtbfpFEt5Bsqel9sXx0uE/edit?usp=sharing"",""งานกองทุน!H79"")"),7)</f>
        <v>7</v>
      </c>
      <c r="J781" s="152">
        <f ca="1">IFERROR(__xludf.DUMMYFUNCTION("IMPORTRANGE(""https://docs.google.com/spreadsheets/d/10OvvATaaLtwErnr3qtWFcTmtbfpFEt5Bsqel9sXx0uE/edit?usp=sharing"",""งานกองทุน!J79"")"),6)</f>
        <v>6</v>
      </c>
      <c r="K781" s="47">
        <f ca="1">IF(I781&gt;0,J781*100/I781,0)</f>
        <v>85.714285714285708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IFERROR(__xludf.DUMMYFUNCTION("IMPORTRANGE(""https://docs.google.com/spreadsheets/d/10OvvATaaLtwErnr3qtWFcTmtbfpFEt5Bsqel9sXx0uE/edit?usp=sharing"",""งานกองทุน!N79"")"),66544.33)</f>
        <v>66544.33</v>
      </c>
      <c r="J782" s="152">
        <f ca="1">IFERROR(__xludf.DUMMYFUNCTION("IMPORTRANGE(""https://docs.google.com/spreadsheets/d/10OvvATaaLtwErnr3qtWFcTmtbfpFEt5Bsqel9sXx0uE/edit?usp=sharing"",""งานกองทุน!P79"")"),26470.65)</f>
        <v>26470.65</v>
      </c>
      <c r="K782" s="47">
        <f ca="1">IF(I782&gt;0,J782*100/I782,0)</f>
        <v>39.778971401470265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IFERROR(__xludf.DUMMYFUNCTION("IMPORTRANGE(""https://docs.google.com/spreadsheets/d/10OvvATaaLtwErnr3qtWFcTmtbfpFEt5Bsqel9sXx0uE/edit?usp=sharing"",""งานกองทุน!M79"")"),151)</f>
        <v>151</v>
      </c>
      <c r="J783" s="152">
        <f ca="1">IFERROR(__xludf.DUMMYFUNCTION("IMPORTRANGE(""https://docs.google.com/spreadsheets/d/10OvvATaaLtwErnr3qtWFcTmtbfpFEt5Bsqel9sXx0uE/edit?usp=sharing"",""งานกองทุน!O79"")"),46)</f>
        <v>46</v>
      </c>
      <c r="K783" s="47">
        <f ca="1">IF(I783&gt;0,J783*100/I783,0)</f>
        <v>30.463576158940398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IFERROR(__xludf.DUMMYFUNCTION("IMPORTRANGE(""https://docs.google.com/spreadsheets/d/10OvvATaaLtwErnr3qtWFcTmtbfpFEt5Bsqel9sXx0uE/edit?usp=sharing"",""งานกองทุน!S79"")"),392000)</f>
        <v>392000</v>
      </c>
      <c r="J784" s="152">
        <f ca="1">IFERROR(__xludf.DUMMYFUNCTION("IMPORTRANGE(""https://docs.google.com/spreadsheets/d/10OvvATaaLtwErnr3qtWFcTmtbfpFEt5Bsqel9sXx0uE/edit?usp=sharing"",""งานกองทุน!U79"")"),0)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IFERROR(__xludf.DUMMYFUNCTION("IMPORTRANGE(""https://docs.google.com/spreadsheets/d/10OvvATaaLtwErnr3qtWFcTmtbfpFEt5Bsqel9sXx0uE/edit?usp=sharing"",""งานกองทุน!R79"")"),14)</f>
        <v>14</v>
      </c>
      <c r="J785" s="197">
        <f ca="1">IFERROR(__xludf.DUMMYFUNCTION("IMPORTRANGE(""https://docs.google.com/spreadsheets/d/10OvvATaaLtwErnr3qtWFcTmtbfpFEt5Bsqel9sXx0uE/edit?usp=sharing"",""งานกองทุน!T79"")"),0)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6AC90A-9F0F-4208-A401-3AB96E4C50DD}">
  <sheetPr codeName="Sheet7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9" width="16.85546875" bestFit="1" customWidth="1"/>
    <col min="10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320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4539797</v>
      </c>
      <c r="M18" s="35">
        <f ca="1">M19+M20</f>
        <v>4600771</v>
      </c>
      <c r="N18" s="35">
        <f ca="1">N19+N20</f>
        <v>1421164.5</v>
      </c>
      <c r="O18" s="35">
        <f ca="1">IF(L18&gt;0,N18*100/L18,0)</f>
        <v>31.304582561731284</v>
      </c>
      <c r="P18" s="35">
        <f ca="1">IF(M18&gt;0,N18*100/M18,0)</f>
        <v>30.889703051944988</v>
      </c>
      <c r="Q18" s="35">
        <f ca="1">Q19+Q20</f>
        <v>620867.99</v>
      </c>
      <c r="R18" s="35">
        <f ca="1">R19+R20</f>
        <v>620868</v>
      </c>
      <c r="S18" s="35">
        <f ca="1">S19+S20</f>
        <v>266312</v>
      </c>
      <c r="T18" s="35">
        <f ca="1">IF(Q18&gt;0,S18*100/Q18,0)</f>
        <v>42.893498181473326</v>
      </c>
      <c r="U18" s="35">
        <f ca="1">IF(R18&gt;0,S18*100/R18,0)</f>
        <v>42.893497490609917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4539797</v>
      </c>
      <c r="M20" s="39">
        <f ca="1">M23+M26</f>
        <v>4600771</v>
      </c>
      <c r="N20" s="39">
        <f ca="1">N23+N26</f>
        <v>1421164.5</v>
      </c>
      <c r="O20" s="39">
        <f ca="1">IF(L20&gt;0,N20*100/L20,0)</f>
        <v>31.304582561731284</v>
      </c>
      <c r="P20" s="39">
        <f ca="1">IF(M20&gt;0,N20*100/M20,0)</f>
        <v>30.889703051944988</v>
      </c>
      <c r="Q20" s="39">
        <f ca="1">Q23+Q26</f>
        <v>620867.99</v>
      </c>
      <c r="R20" s="39">
        <f ca="1">R23+R26</f>
        <v>620868</v>
      </c>
      <c r="S20" s="39">
        <f ca="1">S23+S26</f>
        <v>266312</v>
      </c>
      <c r="T20" s="39">
        <f ca="1">IF(Q20&gt;0,S20*100/Q20,0)</f>
        <v>42.893498181473326</v>
      </c>
      <c r="U20" s="39">
        <f ca="1">IF(R20&gt;0,S20*100/R20,0)</f>
        <v>42.893497490609917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2203297</v>
      </c>
      <c r="M21" s="47">
        <f ca="1">M22+M23</f>
        <v>2264271</v>
      </c>
      <c r="N21" s="47">
        <f ca="1">N22+N23</f>
        <v>1383564.5</v>
      </c>
      <c r="O21" s="47">
        <f ca="1">IF(L21&gt;0,N21*100/L21,0)</f>
        <v>62.795188301894839</v>
      </c>
      <c r="P21" s="47">
        <f ca="1">IF(M21&gt;0,N21*100/M21,0)</f>
        <v>61.104192033550753</v>
      </c>
      <c r="Q21" s="47">
        <f ca="1">Q22+Q23</f>
        <v>620867.99</v>
      </c>
      <c r="R21" s="47">
        <f ca="1">R22+R23</f>
        <v>620868</v>
      </c>
      <c r="S21" s="47">
        <f ca="1">S22+S23</f>
        <v>266312</v>
      </c>
      <c r="T21" s="47">
        <f ca="1">IF(Q21&gt;0,S21*100/Q21,0)</f>
        <v>42.893498181473326</v>
      </c>
      <c r="U21" s="47">
        <f ca="1">IF(R21&gt;0,S21*100/R21,0)</f>
        <v>42.893497490609917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2203297</v>
      </c>
      <c r="M23" s="47">
        <f ca="1">M49+M64+M77+M99+M122+M144+M162+M191+M178+M271+M287+M308+M325+M338+M361+M380+M418+M498+M518+M539+M560+M581+M604+M621+M647+M695+M719+M733+M765</f>
        <v>2264271</v>
      </c>
      <c r="N23" s="47">
        <f ca="1">N49+N64+N77+N99+N122+N144+N162+N191+N178+N271+N287+N308+N325+N338+N361+N380+N418+N498+N518+N539+N560+N581+N604+N621+N647+N695+N719+N733+N765</f>
        <v>1383564.5</v>
      </c>
      <c r="O23" s="47">
        <f ca="1">IF(L23&gt;0,N23*100/L23,0)</f>
        <v>62.795188301894839</v>
      </c>
      <c r="P23" s="47">
        <f ca="1">IF(M23&gt;0,N23*100/M23,0)</f>
        <v>61.104192033550753</v>
      </c>
      <c r="Q23" s="47">
        <f ca="1">Q77+Q99+Q122+Q144+Q162+Q178+Q191+Q271+Q287+Q308+Q338+Q380+Q397+Q418+Q498+Q604+Q621+Q647+Q695+Q719+Q733+Q765</f>
        <v>620867.99</v>
      </c>
      <c r="R23" s="47">
        <f ca="1">R77+R99+R122+R144+R162+R178+R191+R271+R287+R308+R338+R380+R397+R418+R498+R604+R621+R647+R695+R719+R733+R765</f>
        <v>620868</v>
      </c>
      <c r="S23" s="47">
        <f ca="1">S77+S99+S122+S144+S162+S178+S191+S271+S287+S308+S338+S380+S397+S418+S498+S604+S621+S647+S695+S719+S733+S765</f>
        <v>266312</v>
      </c>
      <c r="T23" s="47">
        <f ca="1">IF(Q23&gt;0,S23*100/Q23,0)</f>
        <v>42.893498181473326</v>
      </c>
      <c r="U23" s="47">
        <f ca="1">IF(R23&gt;0,S23*100/R23,0)</f>
        <v>42.893497490609917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2336500</v>
      </c>
      <c r="M24" s="47">
        <f ca="1">M25+M26</f>
        <v>2336500</v>
      </c>
      <c r="N24" s="47">
        <f ca="1">N25+N26</f>
        <v>37600</v>
      </c>
      <c r="O24" s="47">
        <f ca="1">IF(L24&gt;0,N24*100/L24,0)</f>
        <v>1.6092445966188744</v>
      </c>
      <c r="P24" s="47">
        <f ca="1">IF(M24&gt;0,N24*100/M24,0)</f>
        <v>1.6092445966188744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2336500</v>
      </c>
      <c r="M26" s="47">
        <f ca="1">M52+M67+M80+M102+M125+M147+M165+M194+M181+M274+M290+M311+M328+M341+M364+M383+M421+M501+M521+M542+M563+M584+M607+M624+M650+M698+M722+M736+M768</f>
        <v>2336500</v>
      </c>
      <c r="N26" s="47">
        <f ca="1">N52+N67+N80+N102+N125+N147+N165+N194+N181+N274+N290+N311+N328+N341+N364+N383+N421+N501+N521+N542+N563+N584+N607+N624+N650+N698+N722+N736+N768</f>
        <v>37600</v>
      </c>
      <c r="O26" s="47">
        <f ca="1">IF(L26&gt;0,N26*100/L26,0)</f>
        <v>1.6092445966188744</v>
      </c>
      <c r="P26" s="47">
        <f ca="1">IF(M26&gt;0,N26*100/M26,0)</f>
        <v>1.6092445966188744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4494697</v>
      </c>
      <c r="M40" s="802">
        <f ca="1">M44+M59+M72+M94+M125+M139+M157+M173+M186+M266+M282+M303+M320+M333+M356</f>
        <v>4555671</v>
      </c>
      <c r="N40" s="802">
        <f ca="1">N44+N59+N72+N94+N125+N139+N157+N173+N186+N266+N282+N303+N320+N333+N356</f>
        <v>1421164.5</v>
      </c>
      <c r="O40" s="802">
        <f ca="1">IF(L40&gt;0,N40*100/L40,0)</f>
        <v>31.618694207863179</v>
      </c>
      <c r="P40" s="802">
        <f ca="1">IF(M40&gt;0,N40*100/M40,0)</f>
        <v>31.195503362731856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427907</v>
      </c>
      <c r="M44" s="79">
        <f ca="1">M45+M46</f>
        <v>467641</v>
      </c>
      <c r="N44" s="79">
        <f ca="1">N45+N46</f>
        <v>274745.23</v>
      </c>
      <c r="O44" s="79">
        <f ca="1">IF(L44&gt;0,N44*100/L44,0)</f>
        <v>64.206762217023794</v>
      </c>
      <c r="P44" s="79">
        <f ca="1">IF(M44&gt;0,N44*100/M44,0)</f>
        <v>58.751313507583809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427907</v>
      </c>
      <c r="M46" s="83">
        <f ca="1">M49+M52</f>
        <v>467641</v>
      </c>
      <c r="N46" s="83">
        <f ca="1">N49+N52</f>
        <v>274745.23</v>
      </c>
      <c r="O46" s="83">
        <f ca="1">IF(L46&gt;0,N46*100/L46,0)</f>
        <v>64.206762217023794</v>
      </c>
      <c r="P46" s="83">
        <f ca="1">IF(M46&gt;0,N46*100/M46,0)</f>
        <v>58.751313507583809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427907</v>
      </c>
      <c r="M47" s="47">
        <f ca="1">M48+M49</f>
        <v>467641</v>
      </c>
      <c r="N47" s="47">
        <f ca="1">N48+N49</f>
        <v>274745.23</v>
      </c>
      <c r="O47" s="47">
        <f ca="1">IF(L47&gt;0,N47*100/L47,0)</f>
        <v>64.206762217023794</v>
      </c>
      <c r="P47" s="47">
        <f ca="1">IF(M47&gt;0,N47*100/M47,0)</f>
        <v>58.751313507583809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IFERROR(__xludf.DUMMYFUNCTION("IMPORTRANGE(""https://docs.google.com/spreadsheets/d/1-uDff_7J0KD5mKrp0Vvzr7lt3OU09vwQwhkpOPPYv2Y/edit?usp=sharing"",""งบพรบ!P80"")"),427907)</f>
        <v>427907</v>
      </c>
      <c r="M49" s="47">
        <f ca="1">IFERROR(__xludf.DUMMYFUNCTION("IMPORTRANGE(""https://docs.google.com/spreadsheets/d/1-uDff_7J0KD5mKrp0Vvzr7lt3OU09vwQwhkpOPPYv2Y/edit?usp=sharing"",""งบพรบ!V80"")"),467641)</f>
        <v>467641</v>
      </c>
      <c r="N49" s="47">
        <f ca="1">IFERROR(__xludf.DUMMYFUNCTION("IMPORTRANGE(""https://docs.google.com/spreadsheets/d/1-uDff_7J0KD5mKrp0Vvzr7lt3OU09vwQwhkpOPPYv2Y/edit?usp=sharing"",""งบพรบ!Y80"")"),274745.23)</f>
        <v>274745.23</v>
      </c>
      <c r="O49" s="47">
        <f ca="1">IF(L49&gt;0,N49*100/L49,0)</f>
        <v>64.206762217023794</v>
      </c>
      <c r="P49" s="47">
        <f ca="1">IF(M49&gt;0,N49*100/M49,0)</f>
        <v>58.751313507583809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IFERROR(__xludf.DUMMYFUNCTION("IMPORTRANGE(""https://docs.google.com/spreadsheets/d/1-uDff_7J0KD5mKrp0Vvzr7lt3OU09vwQwhkpOPPYv2Y/edit?usp=sharing"",""งบพรบ!S80"")"),0)</f>
        <v>0</v>
      </c>
      <c r="M52" s="47">
        <f ca="1">IFERROR(__xludf.DUMMYFUNCTION("IMPORTRANGE(""https://docs.google.com/spreadsheets/d/1-uDff_7J0KD5mKrp0Vvzr7lt3OU09vwQwhkpOPPYv2Y/edit?usp=sharing"",""งบพรบ!W80"")"),0)</f>
        <v>0</v>
      </c>
      <c r="N52" s="47">
        <f ca="1">IFERROR(__xludf.DUMMYFUNCTION("IMPORTRANGE(""https://docs.google.com/spreadsheets/d/1-uDff_7J0KD5mKrp0Vvzr7lt3OU09vwQwhkpOPPYv2Y/edit?usp=sharing"",""งบพรบ!Z80"")"),0)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2565500</v>
      </c>
      <c r="M59" s="106">
        <f ca="1">M60+M61</f>
        <v>2565500</v>
      </c>
      <c r="N59" s="106">
        <f ca="1">N60+N61</f>
        <v>406896.82</v>
      </c>
      <c r="O59" s="106">
        <f ca="1">IF(L59&gt;0,N59*100/L59,0)</f>
        <v>15.860332099006042</v>
      </c>
      <c r="P59" s="106">
        <f ca="1">IF(M59&gt;0,N59*100/M59,0)</f>
        <v>15.860332099006042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2565500</v>
      </c>
      <c r="M61" s="109">
        <f ca="1">M64+M67</f>
        <v>2565500</v>
      </c>
      <c r="N61" s="109">
        <f ca="1">N64+N67</f>
        <v>406896.82</v>
      </c>
      <c r="O61" s="109">
        <f ca="1">IF(L61&gt;0,N61*100/L61,0)</f>
        <v>15.860332099006042</v>
      </c>
      <c r="P61" s="109">
        <f ca="1">IF(M61&gt;0,N61*100/M61,0)</f>
        <v>15.860332099006042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580900</v>
      </c>
      <c r="M62" s="47">
        <f ca="1">M63+M64</f>
        <v>580900</v>
      </c>
      <c r="N62" s="47">
        <f ca="1">N63+N64</f>
        <v>369296.82</v>
      </c>
      <c r="O62" s="47">
        <f ca="1">IF(L62&gt;0,N62*100/L62,0)</f>
        <v>63.573217421242902</v>
      </c>
      <c r="P62" s="47">
        <f ca="1">IF(M62&gt;0,N62*100/M62,0)</f>
        <v>63.573217421242902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IFERROR(__xludf.DUMMYFUNCTION("IMPORTRANGE(""https://docs.google.com/spreadsheets/d/1-uDff_7J0KD5mKrp0Vvzr7lt3OU09vwQwhkpOPPYv2Y/edit?usp=sharing"",""งบพรบ!AC80"")"),580900)</f>
        <v>580900</v>
      </c>
      <c r="M64" s="47">
        <f ca="1">IFERROR(__xludf.DUMMYFUNCTION("IMPORTRANGE(""https://docs.google.com/spreadsheets/d/1-uDff_7J0KD5mKrp0Vvzr7lt3OU09vwQwhkpOPPYv2Y/edit?usp=sharing"",""งบพรบ!AH80"")"),580900)</f>
        <v>580900</v>
      </c>
      <c r="N64" s="47">
        <f ca="1">IFERROR(__xludf.DUMMYFUNCTION("IMPORTRANGE(""https://docs.google.com/spreadsheets/d/1-uDff_7J0KD5mKrp0Vvzr7lt3OU09vwQwhkpOPPYv2Y/edit?usp=sharing"",""งบพรบ!AJ80"")"),369296.82)</f>
        <v>369296.82</v>
      </c>
      <c r="O64" s="47">
        <f ca="1">IF(L64&gt;0,N64*100/L64,0)</f>
        <v>63.573217421242902</v>
      </c>
      <c r="P64" s="47">
        <f ca="1">IF(M64&gt;0,N64*100/M64,0)</f>
        <v>63.573217421242902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1984600</v>
      </c>
      <c r="M65" s="47">
        <f ca="1">M66+M67</f>
        <v>1984600</v>
      </c>
      <c r="N65" s="47">
        <f ca="1">N66+N67</f>
        <v>37600</v>
      </c>
      <c r="O65" s="47">
        <f ca="1">IF(L65&gt;0,N65*100/L65,0)</f>
        <v>1.894588330142094</v>
      </c>
      <c r="P65" s="47">
        <f ca="1">IF(M65&gt;0,N65*100/M65,0)</f>
        <v>1.894588330142094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IFERROR(__xludf.DUMMYFUNCTION("IMPORTRANGE(""https://docs.google.com/spreadsheets/d/1-uDff_7J0KD5mKrp0Vvzr7lt3OU09vwQwhkpOPPYv2Y/edit?usp=sharing"",""งบพรบ!AF80"")"),1984600)</f>
        <v>1984600</v>
      </c>
      <c r="M67" s="111">
        <f ca="1">IFERROR(__xludf.DUMMYFUNCTION("IMPORTRANGE(""https://docs.google.com/spreadsheets/d/1-uDff_7J0KD5mKrp0Vvzr7lt3OU09vwQwhkpOPPYv2Y/edit?usp=sharing"",""งบพรบ!AI80"")"),1984600)</f>
        <v>1984600</v>
      </c>
      <c r="N67" s="111">
        <f ca="1">IFERROR(__xludf.DUMMYFUNCTION("IMPORTRANGE(""https://docs.google.com/spreadsheets/d/1-uDff_7J0KD5mKrp0Vvzr7lt3OU09vwQwhkpOPPYv2Y/edit?usp=sharing"",""งบพรบ!AK80"")"),37600)</f>
        <v>37600</v>
      </c>
      <c r="O67" s="111">
        <f ca="1">IF(L67&gt;0,N67*100/L67,0)</f>
        <v>1.894588330142094</v>
      </c>
      <c r="P67" s="111">
        <f ca="1">IF(M67&gt;0,N67*100/M67,0)</f>
        <v>1.894588330142094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IFERROR(__xludf.DUMMYFUNCTION("IMPORTRANGE(""https://docs.google.com/spreadsheets/d/1-uDff_7J0KD5mKrp0Vvzr7lt3OU09vwQwhkpOPPYv2Y/edit?usp=sharing"",""งบพรบ!AM80"")"),0)</f>
        <v>0</v>
      </c>
      <c r="M77" s="47">
        <f ca="1">IFERROR(__xludf.DUMMYFUNCTION("IMPORTRANGE(""https://docs.google.com/spreadsheets/d/1-uDff_7J0KD5mKrp0Vvzr7lt3OU09vwQwhkpOPPYv2Y/edit?usp=sharing"",""งบพรบ!AR80"")"),0)</f>
        <v>0</v>
      </c>
      <c r="N77" s="47">
        <f ca="1">IFERROR(__xludf.DUMMYFUNCTION("IMPORTRANGE(""https://docs.google.com/spreadsheets/d/1-uDff_7J0KD5mKrp0Vvzr7lt3OU09vwQwhkpOPPYv2Y/edit?usp=sharing"",""งบพรบ!AT80"")"),0)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IFERROR(__xludf.DUMMYFUNCTION("IMPORTRANGE(""https://docs.google.com/spreadsheets/d/1ItG2mGa2ceCfYo0BwxsXqNm01IGEUdYcSSLTEv9YCik/edit?usp=sharing"",""เบิกจ่ายกองทุน!BH80"")"),0)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IFERROR(__xludf.DUMMYFUNCTION("IMPORTRANGE(""https://docs.google.com/spreadsheets/d/1ItG2mGa2ceCfYo0BwxsXqNm01IGEUdYcSSLTEv9YCik/edit?usp=sharing"",""เบิกจ่ายกองทุน!BI80"")"),0)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IFERROR(__xludf.DUMMYFUNCTION("IMPORTRANGE(""https://docs.google.com/spreadsheets/d/1ItG2mGa2ceCfYo0BwxsXqNm01IGEUdYcSSLTEv9YCik/edit?usp=sharing"",""เบิกจ่ายกองทุน!BJ80"")"),0)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IFERROR(__xludf.DUMMYFUNCTION("IMPORTRANGE(""https://docs.google.com/spreadsheets/d/1-uDff_7J0KD5mKrp0Vvzr7lt3OU09vwQwhkpOPPYv2Y/edit?usp=sharing"",""งบพรบ!AP80"")"),0)</f>
        <v>0</v>
      </c>
      <c r="M80" s="47">
        <f ca="1">IFERROR(__xludf.DUMMYFUNCTION("IMPORTRANGE(""https://docs.google.com/spreadsheets/d/1-uDff_7J0KD5mKrp0Vvzr7lt3OU09vwQwhkpOPPYv2Y/edit?usp=sharing"",""งบพรบ!AS80"")"),0)</f>
        <v>0</v>
      </c>
      <c r="N80" s="47">
        <f ca="1">IFERROR(__xludf.DUMMYFUNCTION("IMPORTRANGE(""https://docs.google.com/spreadsheets/d/1-uDff_7J0KD5mKrp0Vvzr7lt3OU09vwQwhkpOPPYv2Y/edit?usp=sharing"",""งบพรบ!AU80"")"),0)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IFERROR(__xludf.DUMMYFUNCTION("IMPORTRANGE(""https://docs.google.com/spreadsheets/d/1ItG2mGa2ceCfYo0BwxsXqNm01IGEUdYcSSLTEv9YCik/edit?usp=sharing"",""เบิกจ่ายกองทุน!BK80"")"),0)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IFERROR(__xludf.DUMMYFUNCTION("IMPORTRANGE(""https://docs.google.com/spreadsheets/d/1ItG2mGa2ceCfYo0BwxsXqNm01IGEUdYcSSLTEv9YCik/edit?usp=sharing"",""เบิกจ่ายกองทุน!BL80"")"),0)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IFERROR(__xludf.DUMMYFUNCTION("IMPORTRANGE(""https://docs.google.com/spreadsheets/d/1ItG2mGa2ceCfYo0BwxsXqNm01IGEUdYcSSLTEv9YCik/edit?usp=sharing"",""เบิกจ่ายกองทุน!BM80"")"),0)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IFERROR(__xludf.DUMMYFUNCTION("IMPORTRANGE(""https://docs.google.com/spreadsheets/d/1eHaY18a8A9IcSdp1K8H6x8fbOy06t2VsZHhMHf-1x7Y/edit?usp=sharing"",""แผน!H80"")"),0)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IFERROR(__xludf.DUMMYFUNCTION("IMPORTRANGE(""https://docs.google.com/spreadsheets/d/1eHaY18a8A9IcSdp1K8H6x8fbOy06t2VsZHhMHf-1x7Y/edit?usp=sharing"",""แผน!I80"")"),0)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IFERROR(__xludf.DUMMYFUNCTION("IMPORTRANGE(""https://docs.google.com/spreadsheets/d/1eHaY18a8A9IcSdp1K8H6x8fbOy06t2VsZHhMHf-1x7Y/edit?usp=sharing"",""แผน!F80"")"),0)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IFERROR(__xludf.DUMMYFUNCTION("IMPORTRANGE(""https://docs.google.com/spreadsheets/d/1eHaY18a8A9IcSdp1K8H6x8fbOy06t2VsZHhMHf-1x7Y/edit?usp=sharing"",""แผน!G80"")"),0)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IFERROR(__xludf.DUMMYFUNCTION("IMPORTRANGE(""https://docs.google.com/spreadsheets/d/1eHaY18a8A9IcSdp1K8H6x8fbOy06t2VsZHhMHf-1x7Y/edit?usp=sharing"",""แผน!D80"")"),0)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IFERROR(__xludf.DUMMYFUNCTION("IMPORTRANGE(""https://docs.google.com/spreadsheets/d/1eHaY18a8A9IcSdp1K8H6x8fbOy06t2VsZHhMHf-1x7Y/edit?usp=sharing"",""แผน!E80"")"),0)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IFERROR(__xludf.DUMMYFUNCTION("IMPORTRANGE(""https://docs.google.com/spreadsheets/d/1eHaY18a8A9IcSdp1K8H6x8fbOy06t2VsZHhMHf-1x7Y/edit?usp=sharing"",""แผน!J80"")"),0)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hidden="1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hidden="1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hidden="1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hidden="1" x14ac:dyDescent="0.3">
      <c r="A94" s="128"/>
      <c r="B94" s="41"/>
      <c r="C94" s="129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0</v>
      </c>
      <c r="R94" s="132">
        <f ca="1">R95+R96</f>
        <v>0</v>
      </c>
      <c r="S94" s="132">
        <f ca="1">S95+S96</f>
        <v>0</v>
      </c>
      <c r="T94" s="132">
        <f ca="1">IF(Q94&gt;0,S94*100/Q94,0)</f>
        <v>0</v>
      </c>
      <c r="U94" s="132">
        <f ca="1">IF(R94&gt;0,S94*100/R94,0)</f>
        <v>0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0</v>
      </c>
      <c r="R96" s="47">
        <f ca="1">R99+R102</f>
        <v>0</v>
      </c>
      <c r="S96" s="47">
        <f ca="1">S99+S102</f>
        <v>0</v>
      </c>
      <c r="T96" s="47">
        <f ca="1">IF(Q96&gt;0,S96*100/Q96,0)</f>
        <v>0</v>
      </c>
      <c r="U96" s="47">
        <f ca="1">IF(R96&gt;0,S96*100/R96,0)</f>
        <v>0</v>
      </c>
    </row>
    <row r="97" spans="1:21" ht="18.75" hidden="1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0</v>
      </c>
      <c r="R97" s="47">
        <f ca="1">R98+R99</f>
        <v>0</v>
      </c>
      <c r="S97" s="47">
        <f ca="1">S98+S99</f>
        <v>0</v>
      </c>
      <c r="T97" s="47">
        <f ca="1">IF(Q97&gt;0,S97*100/Q97,0)</f>
        <v>0</v>
      </c>
      <c r="U97" s="47">
        <f ca="1">IF(R97&gt;0,S97*100/R97,0)</f>
        <v>0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IFERROR(__xludf.DUMMYFUNCTION("IMPORTRANGE(""https://docs.google.com/spreadsheets/d/1-uDff_7J0KD5mKrp0Vvzr7lt3OU09vwQwhkpOPPYv2Y/edit?usp=sharing"",""งบพรบ!AW80"")"),0)</f>
        <v>0</v>
      </c>
      <c r="M99" s="47">
        <f ca="1">IFERROR(__xludf.DUMMYFUNCTION("IMPORTRANGE(""https://docs.google.com/spreadsheets/d/1-uDff_7J0KD5mKrp0Vvzr7lt3OU09vwQwhkpOPPYv2Y/edit?usp=sharing"",""งบพรบ!BB80"")"),0)</f>
        <v>0</v>
      </c>
      <c r="N99" s="47">
        <f ca="1">IFERROR(__xludf.DUMMYFUNCTION("IMPORTRANGE(""https://docs.google.com/spreadsheets/d/1-uDff_7J0KD5mKrp0Vvzr7lt3OU09vwQwhkpOPPYv2Y/edit?usp=sharing"",""งบพรบ!BD80"")"),0)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IFERROR(__xludf.DUMMYFUNCTION("IMPORTRANGE(""https://docs.google.com/spreadsheets/d/1ItG2mGa2ceCfYo0BwxsXqNm01IGEUdYcSSLTEv9YCik/edit?usp=sharing"",""เบิกจ่ายกองทุน!AJ80"")"),0)</f>
        <v>0</v>
      </c>
      <c r="R99" s="47">
        <f ca="1">IFERROR(__xludf.DUMMYFUNCTION("IMPORTRANGE(""https://docs.google.com/spreadsheets/d/1ItG2mGa2ceCfYo0BwxsXqNm01IGEUdYcSSLTEv9YCik/edit?usp=sharing"",""เบิกจ่ายกองทุน!AK80"")"),0)</f>
        <v>0</v>
      </c>
      <c r="S99" s="47">
        <f ca="1">IFERROR(__xludf.DUMMYFUNCTION("IMPORTRANGE(""https://docs.google.com/spreadsheets/d/1ItG2mGa2ceCfYo0BwxsXqNm01IGEUdYcSSLTEv9YCik/edit?usp=sharing"",""เบิกจ่ายกองทุน!AL80"")"),0)</f>
        <v>0</v>
      </c>
      <c r="T99" s="47">
        <f ca="1">IF(Q99&gt;0,S99*100/Q99,0)</f>
        <v>0</v>
      </c>
      <c r="U99" s="47">
        <f ca="1">IF(R99&gt;0,S99*100/R99,0)</f>
        <v>0</v>
      </c>
    </row>
    <row r="100" spans="1:21" ht="18.75" hidden="1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IFERROR(__xludf.DUMMYFUNCTION("IMPORTRANGE(""https://docs.google.com/spreadsheets/d/1-uDff_7J0KD5mKrp0Vvzr7lt3OU09vwQwhkpOPPYv2Y/edit?usp=sharing"",""งบพรบ!AZ80"")"),0)</f>
        <v>0</v>
      </c>
      <c r="M102" s="47">
        <f ca="1">IFERROR(__xludf.DUMMYFUNCTION("IMPORTRANGE(""https://docs.google.com/spreadsheets/d/1-uDff_7J0KD5mKrp0Vvzr7lt3OU09vwQwhkpOPPYv2Y/edit?usp=sharing"",""งบพรบ!BC80"")"),0)</f>
        <v>0</v>
      </c>
      <c r="N102" s="47">
        <f ca="1">IFERROR(__xludf.DUMMYFUNCTION("IMPORTRANGE(""https://docs.google.com/spreadsheets/d/1-uDff_7J0KD5mKrp0Vvzr7lt3OU09vwQwhkpOPPYv2Y/edit?usp=sharing"",""งบพรบ!BE80"")"),0)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hidden="1" x14ac:dyDescent="0.3">
      <c r="A103" s="138"/>
      <c r="B103" s="139"/>
      <c r="C103" s="129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hidden="1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hidden="1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IFERROR(__xludf.DUMMYFUNCTION("IMPORTRANGE(""https://docs.google.com/spreadsheets/d/1eHaY18a8A9IcSdp1K8H6x8fbOy06t2VsZHhMHf-1x7Y/edit?usp=sharing"",""แผน!N80"")"),0)</f>
        <v>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hidden="1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IFERROR(__xludf.DUMMYFUNCTION("IMPORTRANGE(""https://docs.google.com/spreadsheets/d/1eHaY18a8A9IcSdp1K8H6x8fbOy06t2VsZHhMHf-1x7Y/edit?usp=sharing"",""แผน!O80"")"),0)</f>
        <v>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2.75" hidden="1" x14ac:dyDescent="0.2">
      <c r="A113" s="163"/>
      <c r="B113" s="164"/>
      <c r="C113" s="164"/>
      <c r="D113" s="19"/>
      <c r="E113" s="19"/>
      <c r="F113" s="19"/>
      <c r="G113" s="20"/>
      <c r="H113" s="20"/>
      <c r="I113" s="21">
        <v>0</v>
      </c>
      <c r="J113" s="21">
        <v>0</v>
      </c>
      <c r="K113" s="22"/>
      <c r="L113" s="700"/>
      <c r="M113" s="22"/>
      <c r="N113" s="22"/>
      <c r="O113" s="22"/>
      <c r="P113" s="22"/>
      <c r="Q113" s="22"/>
      <c r="R113" s="22"/>
      <c r="S113" s="22"/>
      <c r="T113" s="22"/>
      <c r="U113" s="22"/>
    </row>
    <row r="114" spans="1:21" ht="18.75" hidden="1" x14ac:dyDescent="0.25">
      <c r="A114" s="138"/>
      <c r="B114" s="139"/>
      <c r="C114" s="139"/>
      <c r="D114" s="149" t="s">
        <v>50</v>
      </c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IFERROR(__xludf.DUMMYFUNCTION("IMPORTRANGE(""https://docs.google.com/spreadsheets/d/1eHaY18a8A9IcSdp1K8H6x8fbOy06t2VsZHhMHf-1x7Y/edit?usp=sharing"",""แผน!R80"")"),0)</f>
        <v>0</v>
      </c>
      <c r="J114" s="167">
        <v>0</v>
      </c>
      <c r="K114" s="47">
        <f ca="1">IF(I114&gt;0,J114*100/I114,0)</f>
        <v>0</v>
      </c>
      <c r="L114" s="5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10</v>
      </c>
      <c r="J116" s="127">
        <f>J127</f>
        <v>10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351900</v>
      </c>
      <c r="M117" s="132">
        <f ca="1">M118+M119</f>
        <v>351900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173660</v>
      </c>
      <c r="R117" s="132">
        <f ca="1">R118+R119</f>
        <v>173660</v>
      </c>
      <c r="S117" s="132">
        <f ca="1">S118+S119</f>
        <v>104650</v>
      </c>
      <c r="T117" s="132">
        <f ca="1">IF(Q117&gt;0,S117*100/Q117,0)</f>
        <v>60.261430381204654</v>
      </c>
      <c r="U117" s="132">
        <f ca="1">IF(R117&gt;0,S117*100/R117,0)</f>
        <v>60.261430381204654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351900</v>
      </c>
      <c r="M119" s="47">
        <f ca="1">M122+M125</f>
        <v>351900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173660</v>
      </c>
      <c r="R119" s="47">
        <f ca="1">R122+R125</f>
        <v>173660</v>
      </c>
      <c r="S119" s="47">
        <f ca="1">S122+S125</f>
        <v>104650</v>
      </c>
      <c r="T119" s="47">
        <f ca="1">IF(Q119&gt;0,S119*100/Q119,0)</f>
        <v>60.261430381204654</v>
      </c>
      <c r="U119" s="47">
        <f ca="1">IF(R119&gt;0,S119*100/R119,0)</f>
        <v>60.261430381204654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173660</v>
      </c>
      <c r="R120" s="47">
        <f ca="1">R121+R122</f>
        <v>173660</v>
      </c>
      <c r="S120" s="47">
        <f ca="1">S121+S122</f>
        <v>104650</v>
      </c>
      <c r="T120" s="47">
        <f ca="1">IF(Q120&gt;0,S120*100/Q120,0)</f>
        <v>60.261430381204654</v>
      </c>
      <c r="U120" s="47">
        <f ca="1">IF(R120&gt;0,S120*100/R120,0)</f>
        <v>60.261430381204654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IFERROR(__xludf.DUMMYFUNCTION("IMPORTRANGE(""https://docs.google.com/spreadsheets/d/1-uDff_7J0KD5mKrp0Vvzr7lt3OU09vwQwhkpOPPYv2Y/edit?usp=sharing"",""งบพรบ!BG80"")"),0)</f>
        <v>0</v>
      </c>
      <c r="M122" s="47">
        <f ca="1">IFERROR(__xludf.DUMMYFUNCTION("IMPORTRANGE(""https://docs.google.com/spreadsheets/d/1-uDff_7J0KD5mKrp0Vvzr7lt3OU09vwQwhkpOPPYv2Y/edit?usp=sharing"",""งบพรบ!BL80"")"),0)</f>
        <v>0</v>
      </c>
      <c r="N122" s="47">
        <f ca="1">IFERROR(__xludf.DUMMYFUNCTION("IMPORTRANGE(""https://docs.google.com/spreadsheets/d/1-uDff_7J0KD5mKrp0Vvzr7lt3OU09vwQwhkpOPPYv2Y/edit?usp=sharing"",""งบพรบ!BN80"")"),0)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IFERROR(__xludf.DUMMYFUNCTION("IMPORTRANGE(""https://docs.google.com/spreadsheets/d/1ItG2mGa2ceCfYo0BwxsXqNm01IGEUdYcSSLTEv9YCik/edit?usp=sharing"",""เบิกจ่ายกองทุน!U80"")"),173660)</f>
        <v>173660</v>
      </c>
      <c r="R122" s="47">
        <f ca="1">IFERROR(__xludf.DUMMYFUNCTION("IMPORTRANGE(""https://docs.google.com/spreadsheets/d/1ItG2mGa2ceCfYo0BwxsXqNm01IGEUdYcSSLTEv9YCik/edit?usp=sharing"",""เบิกจ่ายกองทุน!V80"")"),173660)</f>
        <v>173660</v>
      </c>
      <c r="S122" s="47">
        <f ca="1">IFERROR(__xludf.DUMMYFUNCTION("IMPORTRANGE(""https://docs.google.com/spreadsheets/d/1ItG2mGa2ceCfYo0BwxsXqNm01IGEUdYcSSLTEv9YCik/edit?usp=sharing"",""เบิกจ่ายกองทุน!W80"")"),104650)</f>
        <v>104650</v>
      </c>
      <c r="T122" s="47">
        <f ca="1">IF(Q122&gt;0,S122*100/Q122,0)</f>
        <v>60.261430381204654</v>
      </c>
      <c r="U122" s="47">
        <f ca="1">IF(R122&gt;0,S122*100/R122,0)</f>
        <v>60.261430381204654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351900</v>
      </c>
      <c r="M123" s="47">
        <f ca="1">M124+M125</f>
        <v>351900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IFERROR(__xludf.DUMMYFUNCTION("IMPORTRANGE(""https://docs.google.com/spreadsheets/d/1-uDff_7J0KD5mKrp0Vvzr7lt3OU09vwQwhkpOPPYv2Y/edit?usp=sharing"",""งบพรบ!BJ80"")"),351900)</f>
        <v>351900</v>
      </c>
      <c r="M125" s="47">
        <f ca="1">IFERROR(__xludf.DUMMYFUNCTION("IMPORTRANGE(""https://docs.google.com/spreadsheets/d/1-uDff_7J0KD5mKrp0Vvzr7lt3OU09vwQwhkpOPPYv2Y/edit?usp=sharing"",""งบพรบ!BM80"")"),351900)</f>
        <v>351900</v>
      </c>
      <c r="N125" s="47">
        <f ca="1">IFERROR(__xludf.DUMMYFUNCTION("IMPORTRANGE(""https://docs.google.com/spreadsheets/d/1-uDff_7J0KD5mKrp0Vvzr7lt3OU09vwQwhkpOPPYv2Y/edit?usp=sharing"",""งบพรบ!BO80"")"),0)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IFERROR(__xludf.DUMMYFUNCTION("IMPORTRANGE(""https://docs.google.com/spreadsheets/d/1ItG2mGa2ceCfYo0BwxsXqNm01IGEUdYcSSLTEv9YCik/edit?usp=sharing"",""เบิกจ่ายกองทุน!X80"")"),0)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IFERROR(__xludf.DUMMYFUNCTION("IMPORTRANGE(""https://docs.google.com/spreadsheets/d/1ItG2mGa2ceCfYo0BwxsXqNm01IGEUdYcSSLTEv9YCik/edit?usp=sharing"",""เบิกจ่ายกองทุน!Y80"")"),0)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IFERROR(__xludf.DUMMYFUNCTION("IMPORTRANGE(""https://docs.google.com/spreadsheets/d/1ItG2mGa2ceCfYo0BwxsXqNm01IGEUdYcSSLTEv9YCik/edit?usp=sharing"",""เบิกจ่ายกองทุน!Z80"")"),0)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IFERROR(__xludf.DUMMYFUNCTION("IMPORTRANGE(""https://docs.google.com/spreadsheets/d/1eHaY18a8A9IcSdp1K8H6x8fbOy06t2VsZHhMHf-1x7Y/edit?usp=sharing"",""แผน!FF80"")"),10)</f>
        <v>10</v>
      </c>
      <c r="J127" s="167">
        <v>10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IFERROR(__xludf.DUMMYFUNCTION("IMPORTRANGE(""https://docs.google.com/spreadsheets/d/1eHaY18a8A9IcSdp1K8H6x8fbOy06t2VsZHhMHf-1x7Y/edit?usp=sharing"",""แผน!FG80"")"),0)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IFERROR(__xludf.DUMMYFUNCTION("IMPORTRANGE(""https://docs.google.com/spreadsheets/d/1eHaY18a8A9IcSdp1K8H6x8fbOy06t2VsZHhMHf-1x7Y/edit?usp=sharing"",""แผน!FH80"")"),10)</f>
        <v>10</v>
      </c>
      <c r="J129" s="167">
        <v>10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IFERROR(__xludf.DUMMYFUNCTION("IMPORTRANGE(""https://docs.google.com/spreadsheets/d/1eHaY18a8A9IcSdp1K8H6x8fbOy06t2VsZHhMHf-1x7Y/edit?usp=sharing"",""แผน!FI80"")"),0)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IFERROR(__xludf.DUMMYFUNCTION("IMPORTRANGE(""https://docs.google.com/spreadsheets/d/1-uDff_7J0KD5mKrp0Vvzr7lt3OU09vwQwhkpOPPYv2Y/edit?usp=sharing"",""งบพรบ!BQ80"")"),0)</f>
        <v>0</v>
      </c>
      <c r="M144" s="47">
        <f ca="1">IFERROR(__xludf.DUMMYFUNCTION("IMPORTRANGE(""https://docs.google.com/spreadsheets/d/1-uDff_7J0KD5mKrp0Vvzr7lt3OU09vwQwhkpOPPYv2Y/edit?usp=sharing"",""งบพรบ!BV80"")"),0)</f>
        <v>0</v>
      </c>
      <c r="N144" s="47">
        <f ca="1">IFERROR(__xludf.DUMMYFUNCTION("IMPORTRANGE(""https://docs.google.com/spreadsheets/d/1-uDff_7J0KD5mKrp0Vvzr7lt3OU09vwQwhkpOPPYv2Y/edit?usp=sharing"",""งบพรบ!BX80"")"),0)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IFERROR(__xludf.DUMMYFUNCTION("IMPORTRANGE(""https://docs.google.com/spreadsheets/d/1ItG2mGa2ceCfYo0BwxsXqNm01IGEUdYcSSLTEv9YCik/edit?usp=sharing"",""เบิกจ่ายกองทุน!CF80"")"),0)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IFERROR(__xludf.DUMMYFUNCTION("IMPORTRANGE(""https://docs.google.com/spreadsheets/d/1ItG2mGa2ceCfYo0BwxsXqNm01IGEUdYcSSLTEv9YCik/edit?usp=sharing"",""เบิกจ่ายกองทุน!CG80"")"),0)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IFERROR(__xludf.DUMMYFUNCTION("IMPORTRANGE(""https://docs.google.com/spreadsheets/d/1ItG2mGa2ceCfYo0BwxsXqNm01IGEUdYcSSLTEv9YCik/edit?usp=sharing"",""เบิกจ่ายกองทุน!CH80"")"),0)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IFERROR(__xludf.DUMMYFUNCTION("IMPORTRANGE(""https://docs.google.com/spreadsheets/d/1-uDff_7J0KD5mKrp0Vvzr7lt3OU09vwQwhkpOPPYv2Y/edit?usp=sharing"",""งบพรบ!BT80"")"),0)</f>
        <v>0</v>
      </c>
      <c r="M147" s="47">
        <f ca="1">IFERROR(__xludf.DUMMYFUNCTION("IMPORTRANGE(""https://docs.google.com/spreadsheets/d/1-uDff_7J0KD5mKrp0Vvzr7lt3OU09vwQwhkpOPPYv2Y/edit?usp=sharing"",""งบพรบ!BW80"")"),0)</f>
        <v>0</v>
      </c>
      <c r="N147" s="47">
        <f ca="1">IFERROR(__xludf.DUMMYFUNCTION("IMPORTRANGE(""https://docs.google.com/spreadsheets/d/1-uDff_7J0KD5mKrp0Vvzr7lt3OU09vwQwhkpOPPYv2Y/edit?usp=sharing"",""งบพรบ!BY80"")"),0)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IFERROR(__xludf.DUMMYFUNCTION("IMPORTRANGE(""https://docs.google.com/spreadsheets/d/1ItG2mGa2ceCfYo0BwxsXqNm01IGEUdYcSSLTEv9YCik/edit?usp=sharing"",""เบิกจ่ายกองทุน!CI80"")"),0)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IFERROR(__xludf.DUMMYFUNCTION("IMPORTRANGE(""https://docs.google.com/spreadsheets/d/1ItG2mGa2ceCfYo0BwxsXqNm01IGEUdYcSSLTEv9YCik/edit?usp=sharing"",""เบิกจ่ายกองทุน!CJ80"")"),0)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IFERROR(__xludf.DUMMYFUNCTION("IMPORTRANGE(""https://docs.google.com/spreadsheets/d/1ItG2mGa2ceCfYo0BwxsXqNm01IGEUdYcSSLTEv9YCik/edit?usp=sharing"",""เบิกจ่ายกองทุน!CK80"")"),0)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IFERROR(__xludf.DUMMYFUNCTION("IMPORTRANGE(""https://docs.google.com/spreadsheets/d/1eHaY18a8A9IcSdp1K8H6x8fbOy06t2VsZHhMHf-1x7Y/edit?usp=sharing"",""แผน!U80"")"),0)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IFERROR(__xludf.DUMMYFUNCTION("IMPORTRANGE(""https://docs.google.com/spreadsheets/d/1eHaY18a8A9IcSdp1K8H6x8fbOy06t2VsZHhMHf-1x7Y/edit?usp=sharing"",""แผน!V80"")"),0)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IFERROR(__xludf.DUMMYFUNCTION("IMPORTRANGE(""https://docs.google.com/spreadsheets/d/1eHaY18a8A9IcSdp1K8H6x8fbOy06t2VsZHhMHf-1x7Y/edit?usp=sharing"",""แผน!W80"")"),0)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IFERROR(__xludf.DUMMYFUNCTION("IMPORTRANGE(""https://docs.google.com/spreadsheets/d/1eHaY18a8A9IcSdp1K8H6x8fbOy06t2VsZHhMHf-1x7Y/edit?usp=sharing"",""แผน!X80"")"),0)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IFERROR(__xludf.DUMMYFUNCTION("IMPORTRANGE(""https://docs.google.com/spreadsheets/d/1eHaY18a8A9IcSdp1K8H6x8fbOy06t2VsZHhMHf-1x7Y/edit?usp=sharing"",""แผน!Y80"")"),0)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IFERROR(__xludf.DUMMYFUNCTION("IMPORTRANGE(""https://docs.google.com/spreadsheets/d/1-uDff_7J0KD5mKrp0Vvzr7lt3OU09vwQwhkpOPPYv2Y/edit?usp=sharing"",""งบพรบ!CA80"")"),0)</f>
        <v>0</v>
      </c>
      <c r="M162" s="47">
        <f ca="1">IFERROR(__xludf.DUMMYFUNCTION("IMPORTRANGE(""https://docs.google.com/spreadsheets/d/1-uDff_7J0KD5mKrp0Vvzr7lt3OU09vwQwhkpOPPYv2Y/edit?usp=sharing"",""งบพรบ!CF80"")"),0)</f>
        <v>0</v>
      </c>
      <c r="N162" s="47">
        <f ca="1">IFERROR(__xludf.DUMMYFUNCTION("IMPORTRANGE(""https://docs.google.com/spreadsheets/d/1-uDff_7J0KD5mKrp0Vvzr7lt3OU09vwQwhkpOPPYv2Y/edit?usp=sharing"",""งบพรบ!CH80"")"),0)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IFERROR(__xludf.DUMMYFUNCTION("IMPORTRANGE(""https://docs.google.com/spreadsheets/d/1ItG2mGa2ceCfYo0BwxsXqNm01IGEUdYcSSLTEv9YCik/edit?usp=sharing"",""เบิกจ่ายกองทุน!AM80"")"),0)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IFERROR(__xludf.DUMMYFUNCTION("IMPORTRANGE(""https://docs.google.com/spreadsheets/d/1ItG2mGa2ceCfYo0BwxsXqNm01IGEUdYcSSLTEv9YCik/edit?usp=sharing"",""เบิกจ่ายกองทุน!AN80"")"),0)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IFERROR(__xludf.DUMMYFUNCTION("IMPORTRANGE(""https://docs.google.com/spreadsheets/d/1ItG2mGa2ceCfYo0BwxsXqNm01IGEUdYcSSLTEv9YCik/edit?usp=sharing"",""เบิกจ่ายกองทุน!AO80"")"),0)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IFERROR(__xludf.DUMMYFUNCTION("IMPORTRANGE(""https://docs.google.com/spreadsheets/d/1-uDff_7J0KD5mKrp0Vvzr7lt3OU09vwQwhkpOPPYv2Y/edit?usp=sharing"",""งบพรบ!CD80"")"),0)</f>
        <v>0</v>
      </c>
      <c r="M165" s="47">
        <f ca="1">IFERROR(__xludf.DUMMYFUNCTION("IMPORTRANGE(""https://docs.google.com/spreadsheets/d/1-uDff_7J0KD5mKrp0Vvzr7lt3OU09vwQwhkpOPPYv2Y/edit?usp=sharing"",""งบพรบ!CG80"")"),0)</f>
        <v>0</v>
      </c>
      <c r="N165" s="47">
        <f ca="1">IFERROR(__xludf.DUMMYFUNCTION("IMPORTRANGE(""https://docs.google.com/spreadsheets/d/1-uDff_7J0KD5mKrp0Vvzr7lt3OU09vwQwhkpOPPYv2Y/edit?usp=sharing"",""งบพรบ!CI80"")"),0)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IFERROR(__xludf.DUMMYFUNCTION("IMPORTRANGE(""https://docs.google.com/spreadsheets/d/1eHaY18a8A9IcSdp1K8H6x8fbOy06t2VsZHhMHf-1x7Y/edit?usp=sharing"",""แผน!Z80"")"),0)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IFERROR(__xludf.DUMMYFUNCTION("IMPORTRANGE(""https://docs.google.com/spreadsheets/d/1eHaY18a8A9IcSdp1K8H6x8fbOy06t2VsZHhMHf-1x7Y/edit?usp=sharing"",""แผน!Z80"")"),0)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IFERROR(__xludf.DUMMYFUNCTION("IMPORTRANGE(""https://docs.google.com/spreadsheets/d/1eHaY18a8A9IcSdp1K8H6x8fbOy06t2VsZHhMHf-1x7Y/edit?usp=sharing"",""แผน!Z80"")"),0)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17</v>
      </c>
      <c r="J172" s="214">
        <f>J183+J184</f>
        <v>7</v>
      </c>
      <c r="K172" s="215">
        <f ca="1">IF(I172&gt;0,J172*100/I172,0)</f>
        <v>41.176470588235297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40830</v>
      </c>
      <c r="N173" s="132">
        <f ca="1">N174+N175</f>
        <v>36650</v>
      </c>
      <c r="O173" s="132">
        <f ca="1">IF(L173&gt;0,N173*100/L173,0)</f>
        <v>187.08524757529352</v>
      </c>
      <c r="P173" s="132">
        <f ca="1">IF(M173&gt;0,N173*100/M173,0)</f>
        <v>89.762429586088658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40830</v>
      </c>
      <c r="N175" s="47">
        <f ca="1">N178+N181</f>
        <v>36650</v>
      </c>
      <c r="O175" s="47">
        <f ca="1">IF(L175&gt;0,N175*100/L175,0)</f>
        <v>187.08524757529352</v>
      </c>
      <c r="P175" s="47">
        <f ca="1">IF(M175&gt;0,N175*100/M175,0)</f>
        <v>89.762429586088658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40830</v>
      </c>
      <c r="N176" s="47">
        <f ca="1">N177+N178</f>
        <v>36650</v>
      </c>
      <c r="O176" s="47">
        <f ca="1">IF(L176&gt;0,N176*100/L176,0)</f>
        <v>187.08524757529352</v>
      </c>
      <c r="P176" s="47">
        <f ca="1">IF(M176&gt;0,N176*100/M176,0)</f>
        <v>89.762429586088658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IFERROR(__xludf.DUMMYFUNCTION("IMPORTRANGE(""https://docs.google.com/spreadsheets/d/1-uDff_7J0KD5mKrp0Vvzr7lt3OU09vwQwhkpOPPYv2Y/edit?usp=sharing"",""งบพรบ!CK80"")"),19590)</f>
        <v>19590</v>
      </c>
      <c r="M178" s="47">
        <f ca="1">IFERROR(__xludf.DUMMYFUNCTION("IMPORTRANGE(""https://docs.google.com/spreadsheets/d/1-uDff_7J0KD5mKrp0Vvzr7lt3OU09vwQwhkpOPPYv2Y/edit?usp=sharing"",""งบพรบ!CP80"")"),40830)</f>
        <v>40830</v>
      </c>
      <c r="N178" s="47">
        <f ca="1">IFERROR(__xludf.DUMMYFUNCTION("IMPORTRANGE(""https://docs.google.com/spreadsheets/d/1-uDff_7J0KD5mKrp0Vvzr7lt3OU09vwQwhkpOPPYv2Y/edit?usp=sharing"",""งบพรบ!CR80"")"),36650)</f>
        <v>36650</v>
      </c>
      <c r="O178" s="47">
        <f ca="1">IF(L178&gt;0,N178*100/L178,0)</f>
        <v>187.08524757529352</v>
      </c>
      <c r="P178" s="47">
        <f ca="1">IF(M178&gt;0,N178*100/M178,0)</f>
        <v>89.762429586088658</v>
      </c>
      <c r="Q178" s="47">
        <f ca="1">IFERROR(__xludf.DUMMYFUNCTION("IMPORTRANGE(""https://docs.google.com/spreadsheets/d/1ItG2mGa2ceCfYo0BwxsXqNm01IGEUdYcSSLTEv9YCik/edit?usp=sharing"",""เบิกจ่ายกองทุน!DG80"")"),0)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IFERROR(__xludf.DUMMYFUNCTION("IMPORTRANGE(""https://docs.google.com/spreadsheets/d/1ItG2mGa2ceCfYo0BwxsXqNm01IGEUdYcSSLTEv9YCik/edit?usp=sharing"",""เบิกจ่ายกองทุน!DH80"")"),0)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IFERROR(__xludf.DUMMYFUNCTION("IMPORTRANGE(""https://docs.google.com/spreadsheets/d/1ItG2mGa2ceCfYo0BwxsXqNm01IGEUdYcSSLTEv9YCik/edit?usp=sharing"",""เบิกจ่ายกองทุน!DI80"")"),0)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IFERROR(__xludf.DUMMYFUNCTION("IMPORTRANGE(""https://docs.google.com/spreadsheets/d/1-uDff_7J0KD5mKrp0Vvzr7lt3OU09vwQwhkpOPPYv2Y/edit?usp=sharing"",""งบพรบ!CN80"")"),0)</f>
        <v>0</v>
      </c>
      <c r="M181" s="47">
        <f ca="1">IFERROR(__xludf.DUMMYFUNCTION("IMPORTRANGE(""https://docs.google.com/spreadsheets/d/1-uDff_7J0KD5mKrp0Vvzr7lt3OU09vwQwhkpOPPYv2Y/edit?usp=sharing"",""งบพรบ!CQ80"")"),0)</f>
        <v>0</v>
      </c>
      <c r="N181" s="47">
        <f ca="1">IFERROR(__xludf.DUMMYFUNCTION("IMPORTRANGE(""https://docs.google.com/spreadsheets/d/1-uDff_7J0KD5mKrp0Vvzr7lt3OU09vwQwhkpOPPYv2Y/edit?usp=sharing"",""งบพรบ!CS80"")"),0)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IFERROR(__xludf.DUMMYFUNCTION("IMPORTRANGE(""https://docs.google.com/spreadsheets/d/1eHaY18a8A9IcSdp1K8H6x8fbOy06t2VsZHhMHf-1x7Y/edit?usp=sharing"",""แผน!AA80"")"),17)</f>
        <v>17</v>
      </c>
      <c r="J183" s="167">
        <v>7</v>
      </c>
      <c r="K183" s="47">
        <f ca="1">IF(I183&gt;0,J183*100/I183,0)</f>
        <v>41.176470588235297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105500</v>
      </c>
      <c r="N186" s="132">
        <f ca="1">N187+N188</f>
        <v>80514</v>
      </c>
      <c r="O186" s="132">
        <f ca="1">IF(L186&gt;0,N186*100/L186,0)</f>
        <v>76.316587677725124</v>
      </c>
      <c r="P186" s="132">
        <f ca="1">IF(M186&gt;0,N186*100/M186,0)</f>
        <v>76.316587677725124</v>
      </c>
      <c r="Q186" s="132">
        <f ca="1">Q187+Q188</f>
        <v>0</v>
      </c>
      <c r="R186" s="132">
        <f ca="1">R187+R188</f>
        <v>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105500</v>
      </c>
      <c r="N188" s="47">
        <f ca="1">N191+N194</f>
        <v>80514</v>
      </c>
      <c r="O188" s="47">
        <f ca="1">IF(L188&gt;0,N188*100/L188,0)</f>
        <v>76.316587677725124</v>
      </c>
      <c r="P188" s="47">
        <f ca="1">IF(M188&gt;0,N188*100/M188,0)</f>
        <v>76.316587677725124</v>
      </c>
      <c r="Q188" s="47">
        <f ca="1">Q191+Q194</f>
        <v>0</v>
      </c>
      <c r="R188" s="47">
        <f ca="1">R191+R194</f>
        <v>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105500</v>
      </c>
      <c r="N189" s="47">
        <f ca="1">N190+N191</f>
        <v>80514</v>
      </c>
      <c r="O189" s="47">
        <f ca="1">IF(L189&gt;0,N189*100/L189,0)</f>
        <v>76.316587677725124</v>
      </c>
      <c r="P189" s="47">
        <f ca="1">IF(M189&gt;0,N189*100/M189,0)</f>
        <v>76.316587677725124</v>
      </c>
      <c r="Q189" s="47">
        <f ca="1">Q190+Q191</f>
        <v>0</v>
      </c>
      <c r="R189" s="47">
        <f ca="1">R190+R191</f>
        <v>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IFERROR(__xludf.DUMMYFUNCTION("IMPORTRANGE(""https://docs.google.com/spreadsheets/d/1-uDff_7J0KD5mKrp0Vvzr7lt3OU09vwQwhkpOPPYv2Y/edit?usp=sharing"",""งบพรบ!CU80"")"),105500)</f>
        <v>105500</v>
      </c>
      <c r="M191" s="47">
        <f ca="1">IFERROR(__xludf.DUMMYFUNCTION("IMPORTRANGE(""https://docs.google.com/spreadsheets/d/1-uDff_7J0KD5mKrp0Vvzr7lt3OU09vwQwhkpOPPYv2Y/edit?usp=sharing"",""งบพรบ!CZ80"")"),105500)</f>
        <v>105500</v>
      </c>
      <c r="N191" s="47">
        <f ca="1">IFERROR(__xludf.DUMMYFUNCTION("IMPORTRANGE(""https://docs.google.com/spreadsheets/d/1-uDff_7J0KD5mKrp0Vvzr7lt3OU09vwQwhkpOPPYv2Y/edit?usp=sharing"",""งบพรบ!DB80"")"),80514)</f>
        <v>80514</v>
      </c>
      <c r="O191" s="47">
        <f ca="1">IF(L191&gt;0,N191*100/L191,0)</f>
        <v>76.316587677725124</v>
      </c>
      <c r="P191" s="47">
        <f ca="1">IF(M191&gt;0,N191*100/M191,0)</f>
        <v>76.316587677725124</v>
      </c>
      <c r="Q191" s="47">
        <f ca="1">IFERROR(__xludf.DUMMYFUNCTION("IMPORTRANGE(""https://docs.google.com/spreadsheets/d/1ItG2mGa2ceCfYo0BwxsXqNm01IGEUdYcSSLTEv9YCik/edit?usp=sharing"",""เบิกจ่ายกองทุน!BQ80"")"),0)</f>
        <v>0</v>
      </c>
      <c r="R191" s="47">
        <f ca="1">IFERROR(__xludf.DUMMYFUNCTION("IMPORTRANGE(""https://docs.google.com/spreadsheets/d/1ItG2mGa2ceCfYo0BwxsXqNm01IGEUdYcSSLTEv9YCik/edit?usp=sharing"",""เบิกจ่ายกองทุน!BR80"")"),0)</f>
        <v>0</v>
      </c>
      <c r="S191" s="47">
        <f ca="1">IFERROR(__xludf.DUMMYFUNCTION("IMPORTRANGE(""https://docs.google.com/spreadsheets/d/1ItG2mGa2ceCfYo0BwxsXqNm01IGEUdYcSSLTEv9YCik/edit?usp=sharing"",""เบิกจ่ายกองทุน!BS80"")"),0)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IFERROR(__xludf.DUMMYFUNCTION("IMPORTRANGE(""https://docs.google.com/spreadsheets/d/1-uDff_7J0KD5mKrp0Vvzr7lt3OU09vwQwhkpOPPYv2Y/edit?usp=sharing"",""งบพรบ!CX80"")"),0)</f>
        <v>0</v>
      </c>
      <c r="M194" s="47">
        <f ca="1">IFERROR(__xludf.DUMMYFUNCTION("IMPORTRANGE(""https://docs.google.com/spreadsheets/d/1-uDff_7J0KD5mKrp0Vvzr7lt3OU09vwQwhkpOPPYv2Y/edit?usp=sharing"",""งบพรบ!DA80"")"),0)</f>
        <v>0</v>
      </c>
      <c r="N194" s="47">
        <f ca="1">IFERROR(__xludf.DUMMYFUNCTION("IMPORTRANGE(""https://docs.google.com/spreadsheets/d/1-uDff_7J0KD5mKrp0Vvzr7lt3OU09vwQwhkpOPPYv2Y/edit?usp=sharing"",""งบพรบ!DC80"")"),0)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IFERROR(__xludf.DUMMYFUNCTION("IMPORTRANGE(""https://docs.google.com/spreadsheets/d/1ItG2mGa2ceCfYo0BwxsXqNm01IGEUdYcSSLTEv9YCik/edit?usp=sharing"",""เบิกจ่ายกองทุน!BT80"")"),0)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IFERROR(__xludf.DUMMYFUNCTION("IMPORTRANGE(""https://docs.google.com/spreadsheets/d/1ItG2mGa2ceCfYo0BwxsXqNm01IGEUdYcSSLTEv9YCik/edit?usp=sharing"",""เบิกจ่ายกองทุน!BU80"")"),0)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IFERROR(__xludf.DUMMYFUNCTION("IMPORTRANGE(""https://docs.google.com/spreadsheets/d/1ItG2mGa2ceCfYo0BwxsXqNm01IGEUdYcSSLTEv9YCik/edit?usp=sharing"",""เบิกจ่ายกองทุน!BV80"")"),0)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3</v>
      </c>
      <c r="K195" s="229">
        <f ca="1">IF(I195&gt;0,J195*100/I195,0)</f>
        <v>75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IFERROR(__xludf.DUMMYFUNCTION("IMPORTRANGE(""https://docs.google.com/spreadsheets/d/1eHaY18a8A9IcSdp1K8H6x8fbOy06t2VsZHhMHf-1x7Y/edit?usp=sharing"",""แผน!AB80"")"),6000)</f>
        <v>6000</v>
      </c>
      <c r="M196" s="46"/>
      <c r="N196" s="768">
        <v>2800</v>
      </c>
      <c r="O196" s="132">
        <f ca="1">IF(L196&gt;0,N196*100/L196,0)</f>
        <v>46.666666666666664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IFERROR(__xludf.DUMMYFUNCTION("IMPORTRANGE(""https://docs.google.com/spreadsheets/d/1eHaY18a8A9IcSdp1K8H6x8fbOy06t2VsZHhMHf-1x7Y/edit?usp=sharing"",""แผน!AE80"")"),4)</f>
        <v>4</v>
      </c>
      <c r="J198" s="167">
        <v>3</v>
      </c>
      <c r="K198" s="47">
        <f ca="1">IF(I198&gt;0,J198*100/I198,0)</f>
        <v>75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100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100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1</v>
      </c>
      <c r="J202" s="228">
        <f>J209</f>
        <v>1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12000</v>
      </c>
      <c r="O203" s="132">
        <f ca="1">IF(L203&gt;0,N203*100/L203,0)</f>
        <v>92.307692307692307</v>
      </c>
      <c r="P203" s="132">
        <f>IF(M203&gt;0,N203*100/M203,0)</f>
        <v>0</v>
      </c>
      <c r="Q203" s="767">
        <f ca="1">Q204+Q205+Q206+Q207</f>
        <v>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IFERROR(__xludf.DUMMYFUNCTION("IMPORTRANGE(""https://docs.google.com/spreadsheets/d/1eHaY18a8A9IcSdp1K8H6x8fbOy06t2VsZHhMHf-1x7Y/edit?usp=sharing"",""แผน!AG80"")"),1000)</f>
        <v>1000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IFERROR(__xludf.DUMMYFUNCTION("IMPORTRANGE(""https://docs.google.com/spreadsheets/d/1eHaY18a8A9IcSdp1K8H6x8fbOy06t2VsZHhMHf-1x7Y/edit?usp=sharing"",""แผน!AH80"")"),0)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IFERROR(__xludf.DUMMYFUNCTION("IMPORTRANGE(""https://docs.google.com/spreadsheets/d/1eHaY18a8A9IcSdp1K8H6x8fbOy06t2VsZHhMHf-1x7Y/edit?usp=sharing"",""แผน!AI80"")"),8000)</f>
        <v>8000</v>
      </c>
      <c r="M206" s="46"/>
      <c r="N206" s="742">
        <v>8000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IFERROR(__xludf.DUMMYFUNCTION("IMPORTRANGE(""https://docs.google.com/spreadsheets/d/1eHaY18a8A9IcSdp1K8H6x8fbOy06t2VsZHhMHf-1x7Y/edit?usp=sharing"",""แผน!LV80"")"),0)</f>
        <v>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IFERROR(__xludf.DUMMYFUNCTION("IMPORTRANGE(""https://docs.google.com/spreadsheets/d/1eHaY18a8A9IcSdp1K8H6x8fbOy06t2VsZHhMHf-1x7Y/edit?usp=sharing"",""แผน!AJ80"")"),4000)</f>
        <v>4000</v>
      </c>
      <c r="M207" s="46"/>
      <c r="N207" s="742">
        <v>4000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IFERROR(__xludf.DUMMYFUNCTION("IMPORTRANGE(""https://docs.google.com/spreadsheets/d/1eHaY18a8A9IcSdp1K8H6x8fbOy06t2VsZHhMHf-1x7Y/edit?usp=sharing"",""แผน!AK80"")"),1)</f>
        <v>1</v>
      </c>
      <c r="J209" s="167">
        <v>1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IFERROR(__xludf.DUMMYFUNCTION("IMPORTRANGE(""https://docs.google.com/spreadsheets/d/1eHaY18a8A9IcSdp1K8H6x8fbOy06t2VsZHhMHf-1x7Y/edit?usp=sharing"",""แผน!JX80"")"),1)</f>
        <v>1</v>
      </c>
      <c r="J211" s="167">
        <v>1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IFERROR(__xludf.DUMMYFUNCTION("IMPORTRANGE(""https://docs.google.com/spreadsheets/d/1eHaY18a8A9IcSdp1K8H6x8fbOy06t2VsZHhMHf-1x7Y/edit?usp=sharing"",""แผน!JY80"")"),0)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IFERROR(__xludf.DUMMYFUNCTION("IMPORTRANGE(""https://docs.google.com/spreadsheets/d/1eHaY18a8A9IcSdp1K8H6x8fbOy06t2VsZHhMHf-1x7Y/edit?usp=sharing"",""แผน!AM80"")"),0)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IFERROR(__xludf.DUMMYFUNCTION("IMPORTRANGE(""https://docs.google.com/spreadsheets/d/1eHaY18a8A9IcSdp1K8H6x8fbOy06t2VsZHhMHf-1x7Y/edit?usp=sharing"",""แผน!AN80"")"),0)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IFERROR(__xludf.DUMMYFUNCTION("IMPORTRANGE(""https://docs.google.com/spreadsheets/d/1eHaY18a8A9IcSdp1K8H6x8fbOy06t2VsZHhMHf-1x7Y/edit?usp=sharing"",""แผน!AO80"")"),0)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IFERROR(__xludf.DUMMYFUNCTION("IMPORTRANGE(""https://docs.google.com/spreadsheets/d/1eHaY18a8A9IcSdp1K8H6x8fbOy06t2VsZHhMHf-1x7Y/edit?usp=sharing"",""แผน!LY80"")"),0)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IFERROR(__xludf.DUMMYFUNCTION("IMPORTRANGE(""https://docs.google.com/spreadsheets/d/1eHaY18a8A9IcSdp1K8H6x8fbOy06t2VsZHhMHf-1x7Y/edit?usp=sharing"",""แผน!AP80"")"),0)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IFERROR(__xludf.DUMMYFUNCTION("IMPORTRANGE(""https://docs.google.com/spreadsheets/d/1eHaY18a8A9IcSdp1K8H6x8fbOy06t2VsZHhMHf-1x7Y/edit?usp=sharing"",""แผน!AP80"")"),0)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12800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IFERROR(__xludf.DUMMYFUNCTION("IMPORTRANGE(""https://docs.google.com/spreadsheets/d/1eHaY18a8A9IcSdp1K8H6x8fbOy06t2VsZHhMHf-1x7Y/edit?usp=sharing"",""แผน!AR80"")"),3000)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IFERROR(__xludf.DUMMYFUNCTION("IMPORTRANGE(""https://docs.google.com/spreadsheets/d/1eHaY18a8A9IcSdp1K8H6x8fbOy06t2VsZHhMHf-1x7Y/edit?usp=sharing"",""แผน!AS80"")"),1500)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IFERROR(__xludf.DUMMYFUNCTION("IMPORTRANGE(""https://docs.google.com/spreadsheets/d/1eHaY18a8A9IcSdp1K8H6x8fbOy06t2VsZHhMHf-1x7Y/edit?usp=sharing"",""แผน!AT80"")"),0)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IFERROR(__xludf.DUMMYFUNCTION("IMPORTRANGE(""https://docs.google.com/spreadsheets/d/1eHaY18a8A9IcSdp1K8H6x8fbOy06t2VsZHhMHf-1x7Y/edit?usp=sharing"",""แผน!AV80"")"),12800)</f>
        <v>12800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IFERROR(__xludf.DUMMYFUNCTION("IMPORTRANGE(""https://docs.google.com/spreadsheets/d/1eHaY18a8A9IcSdp1K8H6x8fbOy06t2VsZHhMHf-1x7Y/edit?usp=sharing"",""แผน!AV80"")"),12800)</f>
        <v>12800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IFERROR(__xludf.DUMMYFUNCTION("IMPORTRANGE(""https://docs.google.com/spreadsheets/d/1eHaY18a8A9IcSdp1K8H6x8fbOy06t2VsZHhMHf-1x7Y/edit?usp=sharing"",""แผน!AU80"")"),0)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IFERROR(__xludf.DUMMYFUNCTION("IMPORTRANGE(""https://docs.google.com/spreadsheets/d/1eHaY18a8A9IcSdp1K8H6x8fbOy06t2VsZHhMHf-1x7Y/edit?usp=sharing"",""แผน!AX80"")"),0)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IFERROR(__xludf.DUMMYFUNCTION("IMPORTRANGE(""https://docs.google.com/spreadsheets/d/1eHaY18a8A9IcSdp1K8H6x8fbOy06t2VsZHhMHf-1x7Y/edit?usp=sharing"",""แผน!AY80"")"),0)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IFERROR(__xludf.DUMMYFUNCTION("IMPORTRANGE(""https://docs.google.com/spreadsheets/d/1eHaY18a8A9IcSdp1K8H6x8fbOy06t2VsZHhMHf-1x7Y/edit?usp=sharing"",""แผน!AZ80"")"),0)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IFERROR(__xludf.DUMMYFUNCTION("IMPORTRANGE(""https://docs.google.com/spreadsheets/d/1eHaY18a8A9IcSdp1K8H6x8fbOy06t2VsZHhMHf-1x7Y/edit?usp=sharing"",""แผน!BA80"")"),0)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IFERROR(__xludf.DUMMYFUNCTION("IMPORTRANGE(""https://docs.google.com/spreadsheets/d/1eHaY18a8A9IcSdp1K8H6x8fbOy06t2VsZHhMHf-1x7Y/edit?usp=sharing"",""แผน!BG80"")"),0)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IFERROR(__xludf.DUMMYFUNCTION("IMPORTRANGE(""https://docs.google.com/spreadsheets/d/1eHaY18a8A9IcSdp1K8H6x8fbOy06t2VsZHhMHf-1x7Y/edit?usp=sharing"",""แผน!BB80"")"),0)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IFERROR(__xludf.DUMMYFUNCTION("IMPORTRANGE(""https://docs.google.com/spreadsheets/d/1eHaY18a8A9IcSdp1K8H6x8fbOy06t2VsZHhMHf-1x7Y/edit?usp=sharing"",""แผน!BC80"")"),0)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IFERROR(__xludf.DUMMYFUNCTION("IMPORTRANGE(""https://docs.google.com/spreadsheets/d/1eHaY18a8A9IcSdp1K8H6x8fbOy06t2VsZHhMHf-1x7Y/edit?usp=sharing"",""แผน!BD80"")"),0)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IFERROR(__xludf.DUMMYFUNCTION("IMPORTRANGE(""https://docs.google.com/spreadsheets/d/1eHaY18a8A9IcSdp1K8H6x8fbOy06t2VsZHhMHf-1x7Y/edit?usp=sharing"",""แผน!BE80"")"),0)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IFERROR(__xludf.DUMMYFUNCTION("IMPORTRANGE(""https://docs.google.com/spreadsheets/d/1eHaY18a8A9IcSdp1K8H6x8fbOy06t2VsZHhMHf-1x7Y/edit?usp=sharing"",""แผน!BH80"")"),0)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20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47880</v>
      </c>
      <c r="R266" s="421">
        <f ca="1">R267+R268</f>
        <v>47880</v>
      </c>
      <c r="S266" s="421">
        <f ca="1">S267+S268</f>
        <v>0</v>
      </c>
      <c r="T266" s="421">
        <f ca="1">IF(Q266&gt;0,S266*100/Q266,0)</f>
        <v>0</v>
      </c>
      <c r="U266" s="421">
        <f ca="1">IF(R266&gt;0,S266*100/R266,0)</f>
        <v>0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47880</v>
      </c>
      <c r="R268" s="331">
        <f ca="1">R271+R274</f>
        <v>47880</v>
      </c>
      <c r="S268" s="331">
        <f ca="1">S271+S274</f>
        <v>0</v>
      </c>
      <c r="T268" s="331">
        <f ca="1">IF(Q268&gt;0,S268*100/Q268,0)</f>
        <v>0</v>
      </c>
      <c r="U268" s="331">
        <f ca="1">IF(R268&gt;0,S268*100/R268,0)</f>
        <v>0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47880</v>
      </c>
      <c r="R269" s="331">
        <f ca="1">R270+R271</f>
        <v>47880</v>
      </c>
      <c r="S269" s="331">
        <f ca="1">S270+S271</f>
        <v>0</v>
      </c>
      <c r="T269" s="331">
        <f ca="1">IF(Q269&gt;0,S269*100/Q269,0)</f>
        <v>0</v>
      </c>
      <c r="U269" s="331">
        <f ca="1">IF(R269&gt;0,S269*100/R269,0)</f>
        <v>0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IFERROR(__xludf.DUMMYFUNCTION("IMPORTRANGE(""https://docs.google.com/spreadsheets/d/1-uDff_7J0KD5mKrp0Vvzr7lt3OU09vwQwhkpOPPYv2Y/edit?usp=sharing"",""งบพรบ!DE80"")"),5000)</f>
        <v>5000</v>
      </c>
      <c r="M271" s="331">
        <f ca="1">IFERROR(__xludf.DUMMYFUNCTION("IMPORTRANGE(""https://docs.google.com/spreadsheets/d/1-uDff_7J0KD5mKrp0Vvzr7lt3OU09vwQwhkpOPPYv2Y/edit?usp=sharing"",""งบพรบ!DJ80"")"),5000)</f>
        <v>5000</v>
      </c>
      <c r="N271" s="331">
        <f ca="1">IFERROR(__xludf.DUMMYFUNCTION("IMPORTRANGE(""https://docs.google.com/spreadsheets/d/1-uDff_7J0KD5mKrp0Vvzr7lt3OU09vwQwhkpOPPYv2Y/edit?usp=sharing"",""งบพรบ!DL80"")"),0)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IFERROR(__xludf.DUMMYFUNCTION("IMPORTRANGE(""https://docs.google.com/spreadsheets/d/1ItG2mGa2ceCfYo0BwxsXqNm01IGEUdYcSSLTEv9YCik/edit?usp=sharing"",""เบิกจ่ายกองทุน!AP80"")"),47880)</f>
        <v>47880</v>
      </c>
      <c r="R271" s="331">
        <f ca="1">IFERROR(__xludf.DUMMYFUNCTION("IMPORTRANGE(""https://docs.google.com/spreadsheets/d/1ItG2mGa2ceCfYo0BwxsXqNm01IGEUdYcSSLTEv9YCik/edit?usp=sharing"",""เบิกจ่ายกองทุน!AQ80"")"),47880)</f>
        <v>47880</v>
      </c>
      <c r="S271" s="331">
        <f ca="1">IFERROR(__xludf.DUMMYFUNCTION("IMPORTRANGE(""https://docs.google.com/spreadsheets/d/1ItG2mGa2ceCfYo0BwxsXqNm01IGEUdYcSSLTEv9YCik/edit?usp=sharing"",""เบิกจ่ายกองทุน!AR80"")"),0)</f>
        <v>0</v>
      </c>
      <c r="T271" s="331">
        <f ca="1">IF(Q271&gt;0,S271*100/Q271,0)</f>
        <v>0</v>
      </c>
      <c r="U271" s="331">
        <f ca="1">IF(R271&gt;0,S271*100/R271,0)</f>
        <v>0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IFERROR(__xludf.DUMMYFUNCTION("IMPORTRANGE(""https://docs.google.com/spreadsheets/d/1-uDff_7J0KD5mKrp0Vvzr7lt3OU09vwQwhkpOPPYv2Y/edit?usp=sharing"",""งบพรบ!DH80"")"),0)</f>
        <v>0</v>
      </c>
      <c r="M274" s="331">
        <f ca="1">IFERROR(__xludf.DUMMYFUNCTION("IMPORTRANGE(""https://docs.google.com/spreadsheets/d/1-uDff_7J0KD5mKrp0Vvzr7lt3OU09vwQwhkpOPPYv2Y/edit?usp=sharing"",""งบพรบ!DK80"")"),0)</f>
        <v>0</v>
      </c>
      <c r="N274" s="331">
        <f ca="1">IFERROR(__xludf.DUMMYFUNCTION("IMPORTRANGE(""https://docs.google.com/spreadsheets/d/1-uDff_7J0KD5mKrp0Vvzr7lt3OU09vwQwhkpOPPYv2Y/edit?usp=sharing"",""งบพรบ!DM80"")"),0)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882"/>
      <c r="B276" s="881"/>
      <c r="C276" s="881"/>
      <c r="D276" s="880" t="s">
        <v>115</v>
      </c>
      <c r="E276" s="879"/>
      <c r="F276" s="879"/>
      <c r="G276" s="878"/>
      <c r="H276" s="877" t="s">
        <v>35</v>
      </c>
      <c r="I276" s="876">
        <f ca="1">IFERROR(__xludf.DUMMYFUNCTION("IMPORTRANGE(""https://docs.google.com/spreadsheets/d/1eHaY18a8A9IcSdp1K8H6x8fbOy06t2VsZHhMHf-1x7Y/edit?usp=sharing"",""แผน!EC80"")"),20)</f>
        <v>20</v>
      </c>
      <c r="J276" s="875">
        <v>0</v>
      </c>
      <c r="K276" s="874">
        <f ca="1">IF(I276&gt;0,J276*100/I276,0)</f>
        <v>0</v>
      </c>
      <c r="L276" s="553"/>
      <c r="M276" s="332"/>
      <c r="N276" s="332"/>
      <c r="O276" s="332"/>
      <c r="P276" s="332"/>
      <c r="Q276" s="332"/>
      <c r="R276" s="332"/>
      <c r="S276" s="332"/>
      <c r="T276" s="332"/>
      <c r="U276" s="332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IFERROR(__xludf.DUMMYFUNCTION("IMPORTRANGE(""https://docs.google.com/spreadsheets/d/1-uDff_7J0KD5mKrp0Vvzr7lt3OU09vwQwhkpOPPYv2Y/edit?usp=sharing"",""งบพรบ!DO80"")"),0)</f>
        <v>0</v>
      </c>
      <c r="M287" s="47">
        <f ca="1">IFERROR(__xludf.DUMMYFUNCTION("IMPORTRANGE(""https://docs.google.com/spreadsheets/d/1-uDff_7J0KD5mKrp0Vvzr7lt3OU09vwQwhkpOPPYv2Y/edit?usp=sharing"",""งบพรบ!DT80"")"),0)</f>
        <v>0</v>
      </c>
      <c r="N287" s="47">
        <f ca="1">IFERROR(__xludf.DUMMYFUNCTION("IMPORTRANGE(""https://docs.google.com/spreadsheets/d/1-uDff_7J0KD5mKrp0Vvzr7lt3OU09vwQwhkpOPPYv2Y/edit?usp=sharing"",""งบพรบ!DV80"")"),0)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IFERROR(__xludf.DUMMYFUNCTION("IMPORTRANGE(""https://docs.google.com/spreadsheets/d/1-uDff_7J0KD5mKrp0Vvzr7lt3OU09vwQwhkpOPPYv2Y/edit?usp=sharing"",""งบพรบ!DR80"")"),0)</f>
        <v>0</v>
      </c>
      <c r="M290" s="47">
        <f ca="1">IFERROR(__xludf.DUMMYFUNCTION("IMPORTRANGE(""https://docs.google.com/spreadsheets/d/1-uDff_7J0KD5mKrp0Vvzr7lt3OU09vwQwhkpOPPYv2Y/edit?usp=sharing"",""งบพรบ!DU80"")"),0)</f>
        <v>0</v>
      </c>
      <c r="N290" s="47">
        <f ca="1">IFERROR(__xludf.DUMMYFUNCTION("IMPORTRANGE(""https://docs.google.com/spreadsheets/d/1-uDff_7J0KD5mKrp0Vvzr7lt3OU09vwQwhkpOPPYv2Y/edit?usp=sharing"",""งบพรบ!DW80"")"),0)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IFERROR(__xludf.DUMMYFUNCTION("IMPORTRANGE(""https://docs.google.com/spreadsheets/d/1eHaY18a8A9IcSdp1K8H6x8fbOy06t2VsZHhMHf-1x7Y/edit?usp=sharing"",""แผน!EE80"")"),0)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IFERROR(__xludf.DUMMYFUNCTION("IMPORTRANGE(""https://docs.google.com/spreadsheets/d/1eHaY18a8A9IcSdp1K8H6x8fbOy06t2VsZHhMHf-1x7Y/edit?usp=sharing"",""แผน!ED80"")"),0)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IFERROR(__xludf.DUMMYFUNCTION("IMPORTRANGE(""https://docs.google.com/spreadsheets/d/1eHaY18a8A9IcSdp1K8H6x8fbOy06t2VsZHhMHf-1x7Y/edit?usp=sharing"",""แผน!ED80"")"),0)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IFERROR(__xludf.DUMMYFUNCTION("IMPORTRANGE(""https://docs.google.com/spreadsheets/d/1eHaY18a8A9IcSdp1K8H6x8fbOy06t2VsZHhMHf-1x7Y/edit?usp=sharing"",""แผน!ED80"")"),0)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20</v>
      </c>
      <c r="J302" s="310">
        <f>J314</f>
        <v>20</v>
      </c>
      <c r="K302" s="311">
        <f ca="1">IF(I302&gt;0,J302*100/I302,0)</f>
        <v>100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194611.99</v>
      </c>
      <c r="R303" s="132">
        <f ca="1">R304+R305</f>
        <v>194612</v>
      </c>
      <c r="S303" s="132">
        <f ca="1">S304+S305</f>
        <v>72772</v>
      </c>
      <c r="T303" s="132">
        <f ca="1">IF(Q303&gt;0,S303*100/Q303,0)</f>
        <v>37.393379513769936</v>
      </c>
      <c r="U303" s="132">
        <f ca="1">IF(R303&gt;0,S303*100/R303,0)</f>
        <v>37.393377592337572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194611.99</v>
      </c>
      <c r="R305" s="47">
        <f ca="1">R308+R311</f>
        <v>194612</v>
      </c>
      <c r="S305" s="47">
        <f ca="1">S308+S311</f>
        <v>72772</v>
      </c>
      <c r="T305" s="47">
        <f ca="1">IF(Q305&gt;0,S305*100/Q305,0)</f>
        <v>37.393379513769936</v>
      </c>
      <c r="U305" s="47">
        <f ca="1">IF(R305&gt;0,S305*100/R305,0)</f>
        <v>37.393377592337572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194611.99</v>
      </c>
      <c r="R306" s="47">
        <f ca="1">R307+R308</f>
        <v>194612</v>
      </c>
      <c r="S306" s="47">
        <f ca="1">S307+S308</f>
        <v>72772</v>
      </c>
      <c r="T306" s="47">
        <f ca="1">IF(Q306&gt;0,S306*100/Q306,0)</f>
        <v>37.393379513769936</v>
      </c>
      <c r="U306" s="47">
        <f ca="1">IF(R306&gt;0,S306*100/R306,0)</f>
        <v>37.393377592337572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IFERROR(__xludf.DUMMYFUNCTION("IMPORTRANGE(""https://docs.google.com/spreadsheets/d/1-uDff_7J0KD5mKrp0Vvzr7lt3OU09vwQwhkpOPPYv2Y/edit?usp=sharing"",""งบพรบ!DY80"")"),0)</f>
        <v>0</v>
      </c>
      <c r="M308" s="47">
        <f ca="1">IFERROR(__xludf.DUMMYFUNCTION("IMPORTRANGE(""https://docs.google.com/spreadsheets/d/1-uDff_7J0KD5mKrp0Vvzr7lt3OU09vwQwhkpOPPYv2Y/edit?usp=sharing"",""งบพรบ!ED80"")"),0)</f>
        <v>0</v>
      </c>
      <c r="N308" s="47">
        <f ca="1">IFERROR(__xludf.DUMMYFUNCTION("IMPORTRANGE(""https://docs.google.com/spreadsheets/d/1-uDff_7J0KD5mKrp0Vvzr7lt3OU09vwQwhkpOPPYv2Y/edit?usp=sharing"",""งบพรบ!EF80"")"),0)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IFERROR(__xludf.DUMMYFUNCTION("IMPORTRANGE(""https://docs.google.com/spreadsheets/d/1ItG2mGa2ceCfYo0BwxsXqNm01IGEUdYcSSLTEv9YCik/edit?usp=sharing"",""เบิกจ่ายกองทุน!BB80"")"),194611.99)</f>
        <v>194611.99</v>
      </c>
      <c r="R308" s="47">
        <f ca="1">IFERROR(__xludf.DUMMYFUNCTION("IMPORTRANGE(""https://docs.google.com/spreadsheets/d/1ItG2mGa2ceCfYo0BwxsXqNm01IGEUdYcSSLTEv9YCik/edit?usp=sharing"",""เบิกจ่ายกองทุน!BC80"")"),194612)</f>
        <v>194612</v>
      </c>
      <c r="S308" s="47">
        <f ca="1">IFERROR(__xludf.DUMMYFUNCTION("IMPORTRANGE(""https://docs.google.com/spreadsheets/d/1ItG2mGa2ceCfYo0BwxsXqNm01IGEUdYcSSLTEv9YCik/edit?usp=sharing"",""เบิกจ่ายกองทุน!BD80"")"),72772)</f>
        <v>72772</v>
      </c>
      <c r="T308" s="47">
        <f ca="1">IF(Q308&gt;0,S308*100/Q308,0)</f>
        <v>37.393379513769936</v>
      </c>
      <c r="U308" s="47">
        <f ca="1">IF(R308&gt;0,S308*100/R308,0)</f>
        <v>37.393377592337572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IFERROR(__xludf.DUMMYFUNCTION("IMPORTRANGE(""https://docs.google.com/spreadsheets/d/1-uDff_7J0KD5mKrp0Vvzr7lt3OU09vwQwhkpOPPYv2Y/edit?usp=sharing"",""งบพรบ!EB80"")"),0)</f>
        <v>0</v>
      </c>
      <c r="M311" s="47">
        <f ca="1">IFERROR(__xludf.DUMMYFUNCTION("IMPORTRANGE(""https://docs.google.com/spreadsheets/d/1-uDff_7J0KD5mKrp0Vvzr7lt3OU09vwQwhkpOPPYv2Y/edit?usp=sharing"",""งบพรบ!EE80"")"),0)</f>
        <v>0</v>
      </c>
      <c r="N311" s="47">
        <f ca="1">IFERROR(__xludf.DUMMYFUNCTION("IMPORTRANGE(""https://docs.google.com/spreadsheets/d/1-uDff_7J0KD5mKrp0Vvzr7lt3OU09vwQwhkpOPPYv2Y/edit?usp=sharing"",""งบพรบ!EG80"")"),0)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IFERROR(__xludf.DUMMYFUNCTION("IMPORTRANGE(""https://docs.google.com/spreadsheets/d/1eHaY18a8A9IcSdp1K8H6x8fbOy06t2VsZHhMHf-1x7Y/edit?usp=sharing"",""แผน!EF80"")"),20)</f>
        <v>20</v>
      </c>
      <c r="J314" s="167">
        <v>20</v>
      </c>
      <c r="K314" s="47">
        <f ca="1">IF(I314&gt;0,J314*100/I314,0)</f>
        <v>100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IFERROR(__xludf.DUMMYFUNCTION("IMPORTRANGE(""https://docs.google.com/spreadsheets/d/1-uDff_7J0KD5mKrp0Vvzr7lt3OU09vwQwhkpOPPYv2Y/edit?usp=sharing"",""งบพรบ!EI80"")"),0)</f>
        <v>0</v>
      </c>
      <c r="M325" s="47">
        <f ca="1">IFERROR(__xludf.DUMMYFUNCTION("IMPORTRANGE(""https://docs.google.com/spreadsheets/d/1-uDff_7J0KD5mKrp0Vvzr7lt3OU09vwQwhkpOPPYv2Y/edit?usp=sharing"",""งบพรบ!EN80"")"),0)</f>
        <v>0</v>
      </c>
      <c r="N325" s="47">
        <f ca="1">IFERROR(__xludf.DUMMYFUNCTION("IMPORTRANGE(""https://docs.google.com/spreadsheets/d/1-uDff_7J0KD5mKrp0Vvzr7lt3OU09vwQwhkpOPPYv2Y/edit?usp=sharing"",""งบพรบ!EP80"")"),0)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IFERROR(__xludf.DUMMYFUNCTION("IMPORTRANGE(""https://docs.google.com/spreadsheets/d/1-uDff_7J0KD5mKrp0Vvzr7lt3OU09vwQwhkpOPPYv2Y/edit?usp=sharing"",""งบพรบ!EL80"")"),0)</f>
        <v>0</v>
      </c>
      <c r="M328" s="47">
        <f ca="1">IFERROR(__xludf.DUMMYFUNCTION("IMPORTRANGE(""https://docs.google.com/spreadsheets/d/1-uDff_7J0KD5mKrp0Vvzr7lt3OU09vwQwhkpOPPYv2Y/edit?usp=sharing"",""งบพรบ!EO80"")"),0)</f>
        <v>0</v>
      </c>
      <c r="N328" s="47">
        <f ca="1">IFERROR(__xludf.DUMMYFUNCTION("IMPORTRANGE(""https://docs.google.com/spreadsheets/d/1-uDff_7J0KD5mKrp0Vvzr7lt3OU09vwQwhkpOPPYv2Y/edit?usp=sharing"",""งบพรบ!EQ80"")"),0)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IFERROR(__xludf.DUMMYFUNCTION("IMPORTRANGE(""https://docs.google.com/spreadsheets/d/1eHaY18a8A9IcSdp1K8H6x8fbOy06t2VsZHhMHf-1x7Y/edit?usp=sharing"",""แผน!EJ80"")"),0)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200</v>
      </c>
      <c r="J332" s="697">
        <f ca="1">J344+J347+J348+J349+J353</f>
        <v>700</v>
      </c>
      <c r="K332" s="696">
        <f ca="1">IF(I332&gt;0,J332*100/I332,0)</f>
        <v>350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172000</v>
      </c>
      <c r="M333" s="132">
        <f ca="1">M334+M335</f>
        <v>172000</v>
      </c>
      <c r="N333" s="132">
        <f ca="1">N334+N335</f>
        <v>96525</v>
      </c>
      <c r="O333" s="132">
        <f ca="1">IF(L333&gt;0,N333*100/L333,0)</f>
        <v>56.119186046511629</v>
      </c>
      <c r="P333" s="132">
        <f ca="1">IF(M333&gt;0,N333*100/M333,0)</f>
        <v>56.119186046511629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172000</v>
      </c>
      <c r="M335" s="47">
        <f ca="1">M338+M341</f>
        <v>172000</v>
      </c>
      <c r="N335" s="47">
        <f ca="1">N338+N341</f>
        <v>96525</v>
      </c>
      <c r="O335" s="47">
        <f ca="1">IF(L335&gt;0,N335*100/L335,0)</f>
        <v>56.119186046511629</v>
      </c>
      <c r="P335" s="47">
        <f ca="1">IF(M335&gt;0,N335*100/M335,0)</f>
        <v>56.119186046511629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172000</v>
      </c>
      <c r="M336" s="47">
        <f ca="1">M337+M338</f>
        <v>172000</v>
      </c>
      <c r="N336" s="47">
        <f ca="1">N337+N338</f>
        <v>96525</v>
      </c>
      <c r="O336" s="47">
        <f ca="1">IF(L336&gt;0,N336*100/L336,0)</f>
        <v>56.119186046511629</v>
      </c>
      <c r="P336" s="47">
        <f ca="1">IF(M336&gt;0,N336*100/M336,0)</f>
        <v>56.119186046511629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IFERROR(__xludf.DUMMYFUNCTION("IMPORTRANGE(""https://docs.google.com/spreadsheets/d/1-uDff_7J0KD5mKrp0Vvzr7lt3OU09vwQwhkpOPPYv2Y/edit?usp=sharing"",""งบพรบ!ES80"")"),172000)</f>
        <v>172000</v>
      </c>
      <c r="M338" s="47">
        <f ca="1">IFERROR(__xludf.DUMMYFUNCTION("IMPORTRANGE(""https://docs.google.com/spreadsheets/d/1-uDff_7J0KD5mKrp0Vvzr7lt3OU09vwQwhkpOPPYv2Y/edit?usp=sharing"",""งบพรบ!EX80"")"),172000)</f>
        <v>172000</v>
      </c>
      <c r="N338" s="47">
        <f ca="1">IFERROR(__xludf.DUMMYFUNCTION("IMPORTRANGE(""https://docs.google.com/spreadsheets/d/1-uDff_7J0KD5mKrp0Vvzr7lt3OU09vwQwhkpOPPYv2Y/edit?usp=sharing"",""งบพรบ!EZ80"")"),96525)</f>
        <v>96525</v>
      </c>
      <c r="O338" s="47">
        <f ca="1">IF(L338&gt;0,N338*100/L338,0)</f>
        <v>56.119186046511629</v>
      </c>
      <c r="P338" s="47">
        <f ca="1">IF(M338&gt;0,N338*100/M338,0)</f>
        <v>56.119186046511629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IFERROR(__xludf.DUMMYFUNCTION("IMPORTRANGE(""https://docs.google.com/spreadsheets/d/1-uDff_7J0KD5mKrp0Vvzr7lt3OU09vwQwhkpOPPYv2Y/edit?usp=sharing"",""งบพรบ!EV80"")"),0)</f>
        <v>0</v>
      </c>
      <c r="M341" s="47">
        <f ca="1">IFERROR(__xludf.DUMMYFUNCTION("IMPORTRANGE(""https://docs.google.com/spreadsheets/d/1-uDff_7J0KD5mKrp0Vvzr7lt3OU09vwQwhkpOPPYv2Y/edit?usp=sharing"",""งบพรบ!EY80"")"),0)</f>
        <v>0</v>
      </c>
      <c r="N341" s="47">
        <f ca="1">IFERROR(__xludf.DUMMYFUNCTION("IMPORTRANGE(""https://docs.google.com/spreadsheets/d/1-uDff_7J0KD5mKrp0Vvzr7lt3OU09vwQwhkpOPPYv2Y/edit?usp=sharing"",""งบพรบ!FA80"")"),0)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149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IFERROR(__xludf.DUMMYFUNCTION("IMPORTRANGE(""https://docs.google.com/spreadsheets/d/1eHaY18a8A9IcSdp1K8H6x8fbOy06t2VsZHhMHf-1x7Y/edit?usp=sharing"",""แผน!EK80"")"),200)</f>
        <v>200</v>
      </c>
      <c r="J344" s="152">
        <f ca="1">IFERROR(__xludf.DUMMYFUNCTION("IMPORTRANGE(""https://docs.google.com/spreadsheets/d/1awYsYK3VOup2i3Pq_Yjnu8DRu_mYwSBnCR2QPthd0rU/edit?usp=sharing"",""ศูนย์ยกเว้นโฉนด!D80"")"),147)</f>
        <v>147</v>
      </c>
      <c r="K344" s="47">
        <f ca="1">IF(I344&gt;0,J344*100/I344,0)</f>
        <v>73.5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IFERROR(__xludf.DUMMYFUNCTION("IMPORTRANGE(""https://docs.google.com/spreadsheets/d/1eHaY18a8A9IcSdp1K8H6x8fbOy06t2VsZHhMHf-1x7Y/edit?usp=sharing"",""แผน!EL80"")"),1)</f>
        <v>1</v>
      </c>
      <c r="J346" s="152">
        <f ca="1">IFERROR(__xludf.DUMMYFUNCTION("IMPORTRANGE(""https://docs.google.com/spreadsheets/d/1awYsYK3VOup2i3Pq_Yjnu8DRu_mYwSBnCR2QPthd0rU/edit?usp=sharing"",""ศูนย์รวม!E80"")"),2)</f>
        <v>2</v>
      </c>
      <c r="K346" s="47">
        <f ca="1">IF(I346&gt;0,J346*100/I346,0)</f>
        <v>200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IFERROR(__xludf.DUMMYFUNCTION("IMPORTRANGE(""https://docs.google.com/spreadsheets/d/1awYsYK3VOup2i3Pq_Yjnu8DRu_mYwSBnCR2QPthd0rU/edit?usp=sharing"",""ศูนย์ยกเว้นโฉนด!F80"")"),0)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IFERROR(__xludf.DUMMYFUNCTION("IMPORTRANGE(""https://docs.google.com/spreadsheets/d/1awYsYK3VOup2i3Pq_Yjnu8DRu_mYwSBnCR2QPthd0rU/edit?usp=sharing"",""ศูนย์ยกเว้นโฉนด!G80"")"),2)</f>
        <v>2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IFERROR(__xludf.DUMMYFUNCTION("IMPORTRANGE(""https://docs.google.com/spreadsheets/d/1awYsYK3VOup2i3Pq_Yjnu8DRu_mYwSBnCR2QPthd0rU/edit?usp=sharing"",""ศูนย์ยกเว้นโฉนด!H80"")"),0)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601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IFERROR(__xludf.DUMMYFUNCTION("IMPORTRANGE(""https://docs.google.com/spreadsheets/d/1awYsYK3VOup2i3Pq_Yjnu8DRu_mYwSBnCR2QPthd0rU/edit?usp=sharing"",""โฉนดM3!G80"")"),50)</f>
        <v>50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IFERROR(__xludf.DUMMYFUNCTION("IMPORTRANGE(""https://docs.google.com/spreadsheets/d/1awYsYK3VOup2i3Pq_Yjnu8DRu_mYwSBnCR2QPthd0rU/edit?usp=sharing"",""โฉนดM3!H80"")"),551)</f>
        <v>551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847300</v>
      </c>
      <c r="M356" s="132">
        <f ca="1">M357+M358</f>
        <v>847300</v>
      </c>
      <c r="N356" s="132">
        <f ca="1">N357+N358</f>
        <v>525833.44999999995</v>
      </c>
      <c r="O356" s="132">
        <f ca="1">IF(L356&gt;0,N356*100/L356,0)</f>
        <v>62.059890239584554</v>
      </c>
      <c r="P356" s="132">
        <f ca="1">IF(M356&gt;0,N356*100/M356,0)</f>
        <v>62.059890239584554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847300</v>
      </c>
      <c r="M358" s="47">
        <f ca="1">M361+M364</f>
        <v>847300</v>
      </c>
      <c r="N358" s="47">
        <f ca="1">N361+N364</f>
        <v>525833.44999999995</v>
      </c>
      <c r="O358" s="47">
        <f ca="1">IF(L358&gt;0,N358*100/L358,0)</f>
        <v>62.059890239584554</v>
      </c>
      <c r="P358" s="47">
        <f ca="1">IF(M358&gt;0,N358*100/M358,0)</f>
        <v>62.059890239584554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847300</v>
      </c>
      <c r="M359" s="47">
        <f ca="1">M360+M361</f>
        <v>847300</v>
      </c>
      <c r="N359" s="47">
        <f ca="1">N360+N361</f>
        <v>525833.44999999995</v>
      </c>
      <c r="O359" s="47">
        <f ca="1">IF(L359&gt;0,N359*100/L359,0)</f>
        <v>62.059890239584554</v>
      </c>
      <c r="P359" s="47">
        <f ca="1">IF(M359&gt;0,N359*100/M359,0)</f>
        <v>62.059890239584554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IFERROR(__xludf.DUMMYFUNCTION("IMPORTRANGE(""https://docs.google.com/spreadsheets/d/1-uDff_7J0KD5mKrp0Vvzr7lt3OU09vwQwhkpOPPYv2Y/edit?usp=sharing"",""งบพรบ!FC80"")"),847300)</f>
        <v>847300</v>
      </c>
      <c r="M361" s="47">
        <f ca="1">IFERROR(__xludf.DUMMYFUNCTION("IMPORTRANGE(""https://docs.google.com/spreadsheets/d/1-uDff_7J0KD5mKrp0Vvzr7lt3OU09vwQwhkpOPPYv2Y/edit?usp=sharing"",""งบพรบ!FH80"")"),847300)</f>
        <v>847300</v>
      </c>
      <c r="N361" s="47">
        <f ca="1">IFERROR(__xludf.DUMMYFUNCTION("IMPORTRANGE(""https://docs.google.com/spreadsheets/d/1-uDff_7J0KD5mKrp0Vvzr7lt3OU09vwQwhkpOPPYv2Y/edit?usp=sharing"",""งบพรบ!FJ80"")"),525833.45)</f>
        <v>525833.44999999995</v>
      </c>
      <c r="O361" s="47">
        <f ca="1">IF(L361&gt;0,N361*100/L361,0)</f>
        <v>62.059890239584554</v>
      </c>
      <c r="P361" s="47">
        <f ca="1">IF(M361&gt;0,N361*100/M361,0)</f>
        <v>62.059890239584554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IFERROR(__xludf.DUMMYFUNCTION("IMPORTRANGE(""https://docs.google.com/spreadsheets/d/1-uDff_7J0KD5mKrp0Vvzr7lt3OU09vwQwhkpOPPYv2Y/edit?usp=sharing"",""งบพรบ!FF80"")"),0)</f>
        <v>0</v>
      </c>
      <c r="M364" s="47">
        <f ca="1">IFERROR(__xludf.DUMMYFUNCTION("IMPORTRANGE(""https://docs.google.com/spreadsheets/d/1-uDff_7J0KD5mKrp0Vvzr7lt3OU09vwQwhkpOPPYv2Y/edit?usp=sharing"",""งบพรบ!FI80"")"),0)</f>
        <v>0</v>
      </c>
      <c r="N364" s="47">
        <f ca="1">IFERROR(__xludf.DUMMYFUNCTION("IMPORTRANGE(""https://docs.google.com/spreadsheets/d/1-uDff_7J0KD5mKrp0Vvzr7lt3OU09vwQwhkpOPPYv2Y/edit?usp=sharing"",""งบพรบ!FK80"")"),0)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32</v>
      </c>
      <c r="J365" s="228">
        <f ca="1">J371</f>
        <v>35</v>
      </c>
      <c r="K365" s="229">
        <f ca="1">IF(I365&gt;0,J365*100/I365,0)</f>
        <v>109.375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IFERROR(__xludf.DUMMYFUNCTION("IMPORTRANGE(""https://docs.google.com/spreadsheets/d/1tdoBKaGub7dwA3U6UFTqxio9LNnvDCQjHKmttSEBsFQ/edit?usp=sharing"",""จัดที่ดิน!AB80"")"),39)</f>
        <v>39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IFERROR(__xludf.DUMMYFUNCTION("IMPORTRANGE(""https://docs.google.com/spreadsheets/d/1eHaY18a8A9IcSdp1K8H6x8fbOy06t2VsZHhMHf-1x7Y/edit?usp=sharing"",""แผน!EW80"")"),185)</f>
        <v>185</v>
      </c>
      <c r="J368" s="685">
        <f ca="1">IFERROR(__xludf.DUMMYFUNCTION("IMPORTRANGE(""https://docs.google.com/spreadsheets/d/1tdoBKaGub7dwA3U6UFTqxio9LNnvDCQjHKmttSEBsFQ/edit?usp=sharing"",""จัดที่ดิน!AC80"")"),156.25)</f>
        <v>156.25</v>
      </c>
      <c r="K368" s="47">
        <f ca="1">IF(I368&gt;0,J368*100/I368,0)</f>
        <v>84.459459459459453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IFERROR(__xludf.DUMMYFUNCTION("IMPORTRANGE(""https://docs.google.com/spreadsheets/d/1eHaY18a8A9IcSdp1K8H6x8fbOy06t2VsZHhMHf-1x7Y/edit?usp=sharing"",""แผน!EX80"")"),32)</f>
        <v>32</v>
      </c>
      <c r="J369" s="152">
        <f ca="1">IFERROR(__xludf.DUMMYFUNCTION("IMPORTRANGE(""https://docs.google.com/spreadsheets/d/1tdoBKaGub7dwA3U6UFTqxio9LNnvDCQjHKmttSEBsFQ/edit?usp=sharing"",""จัดที่ดิน!AD80"")"),38)</f>
        <v>38</v>
      </c>
      <c r="K369" s="47">
        <f ca="1">IF(I369&gt;0,J369*100/I369,0)</f>
        <v>118.75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IFERROR(__xludf.DUMMYFUNCTION("IMPORTRANGE(""https://docs.google.com/spreadsheets/d/1tdoBKaGub7dwA3U6UFTqxio9LNnvDCQjHKmttSEBsFQ/edit?usp=sharing"",""จัดที่ดิน!AE80"")"),190.79)</f>
        <v>190.79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IFERROR(__xludf.DUMMYFUNCTION("IMPORTRANGE(""https://docs.google.com/spreadsheets/d/1eHaY18a8A9IcSdp1K8H6x8fbOy06t2VsZHhMHf-1x7Y/edit?usp=sharing"",""แผน!EY80"")"),32)</f>
        <v>32</v>
      </c>
      <c r="J371" s="152">
        <f ca="1">IFERROR(__xludf.DUMMYFUNCTION("IMPORTRANGE(""https://docs.google.com/spreadsheets/d/1tdoBKaGub7dwA3U6UFTqxio9LNnvDCQjHKmttSEBsFQ/edit?usp=sharing"",""จัดที่ดิน!AF80"")"),35)</f>
        <v>35</v>
      </c>
      <c r="K371" s="47">
        <f ca="1">IF(I371&gt;0,J371*100/I371,0)</f>
        <v>109.375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IFERROR(__xludf.DUMMYFUNCTION("IMPORTRANGE(""https://docs.google.com/spreadsheets/d/1tdoBKaGub7dwA3U6UFTqxio9LNnvDCQjHKmttSEBsFQ/edit?usp=sharing"",""จัดที่ดิน!AG80"")"),186.49)</f>
        <v>186.49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300</v>
      </c>
      <c r="J374" s="677">
        <f ca="1">J386+J388</f>
        <v>127</v>
      </c>
      <c r="K374" s="676">
        <f ca="1">IF(I374&gt;0,J374*100/I374,0)</f>
        <v>42.333333333333336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18750</v>
      </c>
      <c r="R375" s="132">
        <f ca="1">R376+R377</f>
        <v>18750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18750</v>
      </c>
      <c r="R377" s="47">
        <f ca="1">R380+R383</f>
        <v>18750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18750</v>
      </c>
      <c r="R378" s="47">
        <f ca="1">R379+R380</f>
        <v>18750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IFERROR(__xludf.DUMMYFUNCTION("IMPORTRANGE(""https://docs.google.com/spreadsheets/d/1-uDff_7J0KD5mKrp0Vvzr7lt3OU09vwQwhkpOPPYv2Y/edit?usp=sharing"",""งบพรบ!IE80"")"),45100)</f>
        <v>45100</v>
      </c>
      <c r="M380" s="47">
        <f ca="1">IFERROR(__xludf.DUMMYFUNCTION("IMPORTRANGE(""https://docs.google.com/spreadsheets/d/1-uDff_7J0KD5mKrp0Vvzr7lt3OU09vwQwhkpOPPYv2Y/edit?usp=sharing"",""งบพรบ!IJ80"")"),45100)</f>
        <v>45100</v>
      </c>
      <c r="N380" s="47">
        <f ca="1">IFERROR(__xludf.DUMMYFUNCTION("IMPORTRANGE(""https://docs.google.com/spreadsheets/d/1-uDff_7J0KD5mKrp0Vvzr7lt3OU09vwQwhkpOPPYv2Y/edit?usp=sharing"",""งบพรบ!IL80"")"),0)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IFERROR(__xludf.DUMMYFUNCTION("IMPORTRANGE(""https://docs.google.com/spreadsheets/d/1ItG2mGa2ceCfYo0BwxsXqNm01IGEUdYcSSLTEv9YCik/edit?usp=sharing"",""เบิกจ่ายกองทุน!BW80"")"),18750)</f>
        <v>18750</v>
      </c>
      <c r="R380" s="47">
        <f ca="1">IFERROR(__xludf.DUMMYFUNCTION("IMPORTRANGE(""https://docs.google.com/spreadsheets/d/1ItG2mGa2ceCfYo0BwxsXqNm01IGEUdYcSSLTEv9YCik/edit?usp=sharing"",""เบิกจ่ายกองทุน!BX80"")"),18750)</f>
        <v>18750</v>
      </c>
      <c r="S380" s="47">
        <f ca="1">IFERROR(__xludf.DUMMYFUNCTION("IMPORTRANGE(""https://docs.google.com/spreadsheets/d/1ItG2mGa2ceCfYo0BwxsXqNm01IGEUdYcSSLTEv9YCik/edit?usp=sharing"",""เบิกจ่ายกองทุน!BY80"")"),0)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IFERROR(__xludf.DUMMYFUNCTION("IMPORTRANGE(""https://docs.google.com/spreadsheets/d/1-uDff_7J0KD5mKrp0Vvzr7lt3OU09vwQwhkpOPPYv2Y/edit?usp=sharing"",""งบพรบ!IH80"")"),0)</f>
        <v>0</v>
      </c>
      <c r="M383" s="47">
        <f ca="1">IFERROR(__xludf.DUMMYFUNCTION("IMPORTRANGE(""https://docs.google.com/spreadsheets/d/1-uDff_7J0KD5mKrp0Vvzr7lt3OU09vwQwhkpOPPYv2Y/edit?usp=sharing"",""งบพรบ!IK80"")"),0)</f>
        <v>0</v>
      </c>
      <c r="N383" s="47">
        <f ca="1">IFERROR(__xludf.DUMMYFUNCTION("IMPORTRANGE(""https://docs.google.com/spreadsheets/d/1-uDff_7J0KD5mKrp0Vvzr7lt3OU09vwQwhkpOPPYv2Y/edit?usp=sharing"",""งบพรบ!IM80"")"),0)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IFERROR(__xludf.DUMMYFUNCTION("IMPORTRANGE(""https://docs.google.com/spreadsheets/d/1w5rwWK1o49a35cNtocGL0gxDwhFSTZUQu90BiH9_zqM/edit?usp=sharing"",""RTK!H80"")"),23)</f>
        <v>23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IFERROR(__xludf.DUMMYFUNCTION("IMPORTRANGE(""https://docs.google.com/spreadsheets/d/1w5rwWK1o49a35cNtocGL0gxDwhFSTZUQu90BiH9_zqM/edit?usp=sharing"",""RTK!G80"")"),300)</f>
        <v>300</v>
      </c>
      <c r="J386" s="152">
        <f ca="1">IFERROR(__xludf.DUMMYFUNCTION("IMPORTRANGE(""https://docs.google.com/spreadsheets/d/1w5rwWK1o49a35cNtocGL0gxDwhFSTZUQu90BiH9_zqM/edit?usp=sharing"",""RTK!I80"")"),127)</f>
        <v>127</v>
      </c>
      <c r="K386" s="47">
        <f ca="1">IF(I386&gt;0,J386*100/I386,0)</f>
        <v>42.333333333333336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IFERROR(__xludf.DUMMYFUNCTION("IMPORTRANGE(""https://docs.google.com/spreadsheets/d/1w5rwWK1o49a35cNtocGL0gxDwhFSTZUQu90BiH9_zqM/edit?usp=sharing"",""RTK!L80"")"),0)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IFERROR(__xludf.DUMMYFUNCTION("IMPORTRANGE(""https://docs.google.com/spreadsheets/d/1w5rwWK1o49a35cNtocGL0gxDwhFSTZUQu90BiH9_zqM/edit?usp=sharing"",""RTK!K80"")"),0)</f>
        <v>0</v>
      </c>
      <c r="J388" s="330">
        <f ca="1">IFERROR(__xludf.DUMMYFUNCTION("IMPORTRANGE(""https://docs.google.com/spreadsheets/d/1w5rwWK1o49a35cNtocGL0gxDwhFSTZUQu90BiH9_zqM/edit?usp=sharing"",""RTK!M80"")"),0)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IFERROR(__xludf.DUMMYFUNCTION("IMPORTRANGE(""https://docs.google.com/spreadsheets/d/1ItG2mGa2ceCfYo0BwxsXqNm01IGEUdYcSSLTEv9YCik/edit?usp=sharing"",""เบิกจ่ายกองทุน!CL80"")"),0)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IFERROR(__xludf.DUMMYFUNCTION("IMPORTRANGE(""https://docs.google.com/spreadsheets/d/1ItG2mGa2ceCfYo0BwxsXqNm01IGEUdYcSSLTEv9YCik/edit?usp=sharing"",""เบิกจ่ายกองทุน!CM80"")"),0)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IFERROR(__xludf.DUMMYFUNCTION("IMPORTRANGE(""https://docs.google.com/spreadsheets/d/1ItG2mGa2ceCfYo0BwxsXqNm01IGEUdYcSSLTEv9YCik/edit?usp=sharing"",""เบิกจ่ายกองทุน!CN80"")"),0)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hidden="1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hidden="1" x14ac:dyDescent="0.3">
      <c r="A413" s="128"/>
      <c r="B413" s="159"/>
      <c r="C413" s="340" t="s">
        <v>18</v>
      </c>
      <c r="D413" s="838" t="s">
        <v>19</v>
      </c>
      <c r="E413" s="518"/>
      <c r="F413" s="518"/>
      <c r="G413" s="519"/>
      <c r="H413" s="341" t="s">
        <v>14</v>
      </c>
      <c r="I413" s="45"/>
      <c r="J413" s="45"/>
      <c r="K413" s="46"/>
      <c r="L413" s="550">
        <f ca="1">L414+L415</f>
        <v>0</v>
      </c>
      <c r="M413" s="132">
        <f ca="1">M414+M415</f>
        <v>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0</v>
      </c>
      <c r="R413" s="132">
        <f ca="1">R414+R415</f>
        <v>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159"/>
      <c r="E414" s="345" t="s">
        <v>158</v>
      </c>
      <c r="F414" s="159"/>
      <c r="G414" s="191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0</v>
      </c>
      <c r="M415" s="47">
        <f ca="1">M418+M421</f>
        <v>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0</v>
      </c>
      <c r="R415" s="47">
        <f ca="1">R418+R421</f>
        <v>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9.5" hidden="1" x14ac:dyDescent="0.3">
      <c r="A416" s="128"/>
      <c r="B416" s="159"/>
      <c r="C416" s="159"/>
      <c r="D416" s="675" t="s">
        <v>22</v>
      </c>
      <c r="E416" s="159"/>
      <c r="F416" s="159"/>
      <c r="G416" s="191"/>
      <c r="H416" s="341" t="s">
        <v>14</v>
      </c>
      <c r="I416" s="45"/>
      <c r="J416" s="45"/>
      <c r="K416" s="46"/>
      <c r="L416" s="548">
        <f ca="1">L417+L418</f>
        <v>0</v>
      </c>
      <c r="M416" s="47">
        <f ca="1">M417+M418</f>
        <v>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0</v>
      </c>
      <c r="R416" s="47">
        <f ca="1">R417+R418</f>
        <v>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IFERROR(__xludf.DUMMYFUNCTION("IMPORTRANGE(""https://docs.google.com/spreadsheets/d/1-uDff_7J0KD5mKrp0Vvzr7lt3OU09vwQwhkpOPPYv2Y/edit?usp=sharing"",""งบพรบ!IO80"")"),0)</f>
        <v>0</v>
      </c>
      <c r="M418" s="47">
        <f ca="1">IFERROR(__xludf.DUMMYFUNCTION("IMPORTRANGE(""https://docs.google.com/spreadsheets/d/1-uDff_7J0KD5mKrp0Vvzr7lt3OU09vwQwhkpOPPYv2Y/edit?usp=sharing"",""งบพรบ!IT80"")"),0)</f>
        <v>0</v>
      </c>
      <c r="N418" s="47">
        <f ca="1">IFERROR(__xludf.DUMMYFUNCTION("IMPORTRANGE(""https://docs.google.com/spreadsheets/d/1-uDff_7J0KD5mKrp0Vvzr7lt3OU09vwQwhkpOPPYv2Y/edit?usp=sharing"",""งบพรบ!IV80"")"),0)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IFERROR(__xludf.DUMMYFUNCTION("IMPORTRANGE(""https://docs.google.com/spreadsheets/d/1ItG2mGa2ceCfYo0BwxsXqNm01IGEUdYcSSLTEv9YCik/edit?usp=sharing"",""เบิกจ่ายกองทุน!BZ80"")"),0)</f>
        <v>0</v>
      </c>
      <c r="R418" s="47">
        <f ca="1">IFERROR(__xludf.DUMMYFUNCTION("IMPORTRANGE(""https://docs.google.com/spreadsheets/d/1ItG2mGa2ceCfYo0BwxsXqNm01IGEUdYcSSLTEv9YCik/edit?usp=sharing"",""เบิกจ่ายกองทุน!CA80"")"),0)</f>
        <v>0</v>
      </c>
      <c r="S418" s="47">
        <f ca="1">IFERROR(__xludf.DUMMYFUNCTION("IMPORTRANGE(""https://docs.google.com/spreadsheets/d/1ItG2mGa2ceCfYo0BwxsXqNm01IGEUdYcSSLTEv9YCik/edit?usp=sharing"",""เบิกจ่ายกองทุน!CB80"")"),0)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9.5" hidden="1" x14ac:dyDescent="0.3">
      <c r="A419" s="128"/>
      <c r="B419" s="159"/>
      <c r="C419" s="159"/>
      <c r="D419" s="675" t="s">
        <v>23</v>
      </c>
      <c r="E419" s="159"/>
      <c r="F419" s="159"/>
      <c r="G419" s="191"/>
      <c r="H419" s="131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IFERROR(__xludf.DUMMYFUNCTION("IMPORTRANGE(""https://docs.google.com/spreadsheets/d/1-uDff_7J0KD5mKrp0Vvzr7lt3OU09vwQwhkpOPPYv2Y/edit?usp=sharing"",""งบพรบ!IR80"")"),0)</f>
        <v>0</v>
      </c>
      <c r="M421" s="47">
        <f ca="1">IFERROR(__xludf.DUMMYFUNCTION("IMPORTRANGE(""https://docs.google.com/spreadsheets/d/1-uDff_7J0KD5mKrp0Vvzr7lt3OU09vwQwhkpOPPYv2Y/edit?usp=sharing"",""งบพรบ!IU80"")"),0)</f>
        <v>0</v>
      </c>
      <c r="N421" s="47">
        <f ca="1">IFERROR(__xludf.DUMMYFUNCTION("IMPORTRANGE(""https://docs.google.com/spreadsheets/d/1-uDff_7J0KD5mKrp0Vvzr7lt3OU09vwQwhkpOPPYv2Y/edit?usp=sharing"",""งบพรบ!IW80"")"),0)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hidden="1" x14ac:dyDescent="0.3">
      <c r="A422" s="217"/>
      <c r="B422" s="159"/>
      <c r="C422" s="340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217"/>
      <c r="B423" s="162" t="s">
        <v>160</v>
      </c>
      <c r="C423" s="159"/>
      <c r="D423" s="159"/>
      <c r="E423" s="159"/>
      <c r="F423" s="159"/>
      <c r="G423" s="191"/>
      <c r="H423" s="341" t="s">
        <v>46</v>
      </c>
      <c r="I423" s="147">
        <f ca="1">I440</f>
        <v>0</v>
      </c>
      <c r="J423" s="672">
        <f>J440</f>
        <v>0</v>
      </c>
      <c r="K423" s="132">
        <f ca="1">IF(I423&gt;0,J423*100/I423,0)</f>
        <v>0</v>
      </c>
      <c r="L423" s="546"/>
      <c r="M423" s="46"/>
      <c r="N423" s="46"/>
      <c r="O423" s="46"/>
      <c r="P423" s="46"/>
      <c r="Q423" s="46"/>
      <c r="R423" s="46"/>
      <c r="S423" s="46"/>
      <c r="T423" s="46"/>
      <c r="U423" s="46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IFERROR(__xludf.DUMMYFUNCTION("IMPORTRANGE(""https://docs.google.com/spreadsheets/d/1eHaY18a8A9IcSdp1K8H6x8fbOy06t2VsZHhMHf-1x7Y/edit?usp=sharing"",""แผน!HJ80"")"),0)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IFERROR(__xludf.DUMMYFUNCTION("IMPORTRANGE(""https://docs.google.com/spreadsheets/d/1eHaY18a8A9IcSdp1K8H6x8fbOy06t2VsZHhMHf-1x7Y/edit?usp=sharing"",""แผน!HK80"")"),0)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IFERROR(__xludf.DUMMYFUNCTION("IMPORTRANGE(""https://docs.google.com/spreadsheets/d/1eHaY18a8A9IcSdp1K8H6x8fbOy06t2VsZHhMHf-1x7Y/edit?usp=sharing"",""แผน!HJ80"")"),0)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IFERROR(__xludf.DUMMYFUNCTION("IMPORTRANGE(""https://docs.google.com/spreadsheets/d/1eHaY18a8A9IcSdp1K8H6x8fbOy06t2VsZHhMHf-1x7Y/edit?usp=sharing"",""แผน!HK80"")"),0)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IFERROR(__xludf.DUMMYFUNCTION("IMPORTRANGE(""https://docs.google.com/spreadsheets/d/1eHaY18a8A9IcSdp1K8H6x8fbOy06t2VsZHhMHf-1x7Y/edit?usp=sharing"",""แผน!HJ80"")"),0)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IFERROR(__xludf.DUMMYFUNCTION("IMPORTRANGE(""https://docs.google.com/spreadsheets/d/1eHaY18a8A9IcSdp1K8H6x8fbOy06t2VsZHhMHf-1x7Y/edit?usp=sharing"",""แผน!HK80"")"),0)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hidden="1" x14ac:dyDescent="0.3">
      <c r="A456" s="217"/>
      <c r="B456" s="162" t="s">
        <v>177</v>
      </c>
      <c r="C456" s="159"/>
      <c r="D456" s="159"/>
      <c r="E456" s="159"/>
      <c r="F456" s="159"/>
      <c r="G456" s="191"/>
      <c r="H456" s="341" t="s">
        <v>46</v>
      </c>
      <c r="I456" s="147">
        <f ca="1">I457</f>
        <v>0</v>
      </c>
      <c r="J456" s="667">
        <f>J457</f>
        <v>0</v>
      </c>
      <c r="K456" s="132">
        <f ca="1">IF(I456&gt;0,J456*100/I456,0)</f>
        <v>0</v>
      </c>
      <c r="L456" s="546"/>
      <c r="M456" s="46"/>
      <c r="N456" s="46"/>
      <c r="O456" s="46"/>
      <c r="P456" s="46"/>
      <c r="Q456" s="46"/>
      <c r="R456" s="46"/>
      <c r="S456" s="46"/>
      <c r="T456" s="46"/>
      <c r="U456" s="46"/>
    </row>
    <row r="457" spans="1:21" ht="19.5" hidden="1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IFERROR(__xludf.DUMMYFUNCTION("IMPORTRANGE(""https://docs.google.com/spreadsheets/d/1eHaY18a8A9IcSdp1K8H6x8fbOy06t2VsZHhMHf-1x7Y/edit?usp=sharing"",""แผน!HL80"")"),0)</f>
        <v>0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hidden="1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IFERROR(__xludf.DUMMYFUNCTION("IMPORTRANGE(""https://docs.google.com/spreadsheets/d/1eHaY18a8A9IcSdp1K8H6x8fbOy06t2VsZHhMHf-1x7Y/edit?usp=sharing"",""แผน!HM80"")"),0)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hidden="1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hidden="1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hidden="1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hidden="1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hidden="1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hidden="1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hidden="1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hidden="1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hidden="1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hidden="1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hidden="1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hidden="1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hidden="1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hidden="1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hidden="1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hidden="1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217"/>
      <c r="B475" s="349" t="s">
        <v>187</v>
      </c>
      <c r="C475" s="159"/>
      <c r="D475" s="159"/>
      <c r="E475" s="159"/>
      <c r="F475" s="159"/>
      <c r="G475" s="191"/>
      <c r="H475" s="131" t="s">
        <v>46</v>
      </c>
      <c r="I475" s="147">
        <v>0</v>
      </c>
      <c r="J475" s="667">
        <f>J478+J480</f>
        <v>0</v>
      </c>
      <c r="K475" s="132">
        <f>IF(I475&gt;0,J475*100/I475,0)</f>
        <v>0</v>
      </c>
      <c r="L475" s="546"/>
      <c r="M475" s="46"/>
      <c r="N475" s="46"/>
      <c r="O475" s="46"/>
      <c r="P475" s="46"/>
      <c r="Q475" s="46"/>
      <c r="R475" s="46"/>
      <c r="S475" s="46"/>
      <c r="T475" s="46"/>
      <c r="U475" s="46"/>
    </row>
    <row r="476" spans="1:21" ht="19.5" hidden="1" x14ac:dyDescent="0.3">
      <c r="A476" s="217"/>
      <c r="B476" s="159"/>
      <c r="C476" s="162" t="s">
        <v>188</v>
      </c>
      <c r="D476" s="159"/>
      <c r="E476" s="159"/>
      <c r="F476" s="159"/>
      <c r="G476" s="191"/>
      <c r="H476" s="131" t="s">
        <v>46</v>
      </c>
      <c r="I476" s="147">
        <v>0</v>
      </c>
      <c r="J476" s="657">
        <f>J478+J480</f>
        <v>0</v>
      </c>
      <c r="K476" s="132">
        <f>IF(I476&gt;0,J476*100/I476,0)</f>
        <v>0</v>
      </c>
      <c r="L476" s="546"/>
      <c r="M476" s="46"/>
      <c r="N476" s="46"/>
      <c r="O476" s="46"/>
      <c r="P476" s="46"/>
      <c r="Q476" s="46"/>
      <c r="R476" s="46"/>
      <c r="S476" s="46"/>
      <c r="T476" s="46"/>
      <c r="U476" s="46"/>
    </row>
    <row r="477" spans="1:21" ht="19.5" hidden="1" x14ac:dyDescent="0.3">
      <c r="A477" s="217"/>
      <c r="B477" s="159"/>
      <c r="C477" s="218" t="s">
        <v>189</v>
      </c>
      <c r="D477" s="159"/>
      <c r="E477" s="159"/>
      <c r="F477" s="159"/>
      <c r="G477" s="191"/>
      <c r="H477" s="131" t="s">
        <v>34</v>
      </c>
      <c r="I477" s="147">
        <v>0</v>
      </c>
      <c r="J477" s="657">
        <f>J479+J481</f>
        <v>0</v>
      </c>
      <c r="K477" s="132">
        <f>IF(I477&gt;0,J477*100/I477,0)</f>
        <v>0</v>
      </c>
      <c r="L477" s="546"/>
      <c r="M477" s="46"/>
      <c r="N477" s="46"/>
      <c r="O477" s="46"/>
      <c r="P477" s="46"/>
      <c r="Q477" s="46"/>
      <c r="R477" s="46"/>
      <c r="S477" s="46"/>
      <c r="T477" s="46"/>
      <c r="U477" s="46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217"/>
      <c r="B484" s="159"/>
      <c r="C484" s="162" t="s">
        <v>193</v>
      </c>
      <c r="D484" s="159"/>
      <c r="E484" s="159"/>
      <c r="F484" s="159"/>
      <c r="G484" s="191"/>
      <c r="H484" s="131" t="s">
        <v>46</v>
      </c>
      <c r="I484" s="45">
        <f>J480</f>
        <v>0</v>
      </c>
      <c r="J484" s="657">
        <f>J486+J488+J490</f>
        <v>0</v>
      </c>
      <c r="K484" s="132">
        <f>IF(I484&gt;0,J484*100/I484,0)</f>
        <v>0</v>
      </c>
      <c r="L484" s="546"/>
      <c r="M484" s="46"/>
      <c r="N484" s="46"/>
      <c r="O484" s="46"/>
      <c r="P484" s="46"/>
      <c r="Q484" s="46"/>
      <c r="R484" s="46"/>
      <c r="S484" s="46"/>
      <c r="T484" s="46"/>
      <c r="U484" s="46"/>
    </row>
    <row r="485" spans="1:21" ht="19.5" hidden="1" x14ac:dyDescent="0.3">
      <c r="A485" s="217"/>
      <c r="B485" s="159"/>
      <c r="C485" s="218" t="s">
        <v>194</v>
      </c>
      <c r="D485" s="159"/>
      <c r="E485" s="159"/>
      <c r="F485" s="159"/>
      <c r="G485" s="191"/>
      <c r="H485" s="131" t="s">
        <v>34</v>
      </c>
      <c r="I485" s="45">
        <f>J481</f>
        <v>0</v>
      </c>
      <c r="J485" s="657">
        <f>J487+J489+J491</f>
        <v>0</v>
      </c>
      <c r="K485" s="132">
        <f>IF(I485&gt;0,J485*100/I485,0)</f>
        <v>0</v>
      </c>
      <c r="L485" s="546"/>
      <c r="M485" s="46"/>
      <c r="N485" s="46"/>
      <c r="O485" s="46"/>
      <c r="P485" s="46"/>
      <c r="Q485" s="46"/>
      <c r="R485" s="46"/>
      <c r="S485" s="46"/>
      <c r="T485" s="46"/>
      <c r="U485" s="46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IFERROR(__xludf.DUMMYFUNCTION("IMPORTRANGE(""https://docs.google.com/spreadsheets/d/1-uDff_7J0KD5mKrp0Vvzr7lt3OU09vwQwhkpOPPYv2Y/edit?usp=sharing"",""งบพรบ!HU80"")"),0)</f>
        <v>0</v>
      </c>
      <c r="M498" s="47">
        <f ca="1">IFERROR(__xludf.DUMMYFUNCTION("IMPORTRANGE(""https://docs.google.com/spreadsheets/d/1-uDff_7J0KD5mKrp0Vvzr7lt3OU09vwQwhkpOPPYv2Y/edit?usp=sharing"",""งบพรบ!HZ80"")"),0)</f>
        <v>0</v>
      </c>
      <c r="N498" s="47">
        <f ca="1">IFERROR(__xludf.DUMMYFUNCTION("IMPORTRANGE(""https://docs.google.com/spreadsheets/d/1-uDff_7J0KD5mKrp0Vvzr7lt3OU09vwQwhkpOPPYv2Y/edit?usp=sharing"",""งบพรบ!IB80"")"),0)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IFERROR(__xludf.DUMMYFUNCTION("IMPORTRANGE(""https://docs.google.com/spreadsheets/d/1ItG2mGa2ceCfYo0BwxsXqNm01IGEUdYcSSLTEv9YCik/edit?usp=sharing"",""เบิกจ่ายกองทุน!AD80"")"),0)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IFERROR(__xludf.DUMMYFUNCTION("IMPORTRANGE(""https://docs.google.com/spreadsheets/d/1ItG2mGa2ceCfYo0BwxsXqNm01IGEUdYcSSLTEv9YCik/edit?usp=sharing"",""เบิกจ่ายกองทุน!AE80"")"),0)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IFERROR(__xludf.DUMMYFUNCTION("IMPORTRANGE(""https://docs.google.com/spreadsheets/d/1ItG2mGa2ceCfYo0BwxsXqNm01IGEUdYcSSLTEv9YCik/edit?usp=sharing"",""เบิกจ่ายกองทุน!AF80"")"),0)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IFERROR(__xludf.DUMMYFUNCTION("IMPORTRANGE(""https://docs.google.com/spreadsheets/d/1-uDff_7J0KD5mKrp0Vvzr7lt3OU09vwQwhkpOPPYv2Y/edit?usp=sharing"",""งบพรบ!HX80"")"),0)</f>
        <v>0</v>
      </c>
      <c r="M501" s="47">
        <f ca="1">IFERROR(__xludf.DUMMYFUNCTION("IMPORTRANGE(""https://docs.google.com/spreadsheets/d/1-uDff_7J0KD5mKrp0Vvzr7lt3OU09vwQwhkpOPPYv2Y/edit?usp=sharing"",""งบพรบ!IA80"")"),0)</f>
        <v>0</v>
      </c>
      <c r="N501" s="47">
        <f ca="1">IFERROR(__xludf.DUMMYFUNCTION("IMPORTRANGE(""https://docs.google.com/spreadsheets/d/1-uDff_7J0KD5mKrp0Vvzr7lt3OU09vwQwhkpOPPYv2Y/edit?usp=sharing"",""งบพรบ!IC80"")"),0)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IFERROR(__xludf.DUMMYFUNCTION("IMPORTRANGE(""https://docs.google.com/spreadsheets/d/1eHaY18a8A9IcSdp1K8H6x8fbOy06t2VsZHhMHf-1x7Y/edit?usp=sharing"",""แผน!GX80"")"),0)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IFERROR(__xludf.DUMMYFUNCTION("IMPORTRANGE(""https://docs.google.com/spreadsheets/d/1eHaY18a8A9IcSdp1K8H6x8fbOy06t2VsZHhMHf-1x7Y/edit?usp=sharing"",""แผน!GY80"")"),0)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IFERROR(__xludf.DUMMYFUNCTION("IMPORTRANGE(""https://docs.google.com/spreadsheets/d/1eHaY18a8A9IcSdp1K8H6x8fbOy06t2VsZHhMHf-1x7Y/edit?usp=sharing"",""แผน!GZ80"")"),0)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IFERROR(__xludf.DUMMYFUNCTION("IMPORTRANGE(""https://docs.google.com/spreadsheets/d/1eHaY18a8A9IcSdp1K8H6x8fbOy06t2VsZHhMHf-1x7Y/edit?usp=sharing"",""แผน!HA80"")"),0)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IFERROR(__xludf.DUMMYFUNCTION("IMPORTRANGE(""https://docs.google.com/spreadsheets/d/1eHaY18a8A9IcSdp1K8H6x8fbOy06t2VsZHhMHf-1x7Y/edit?usp=sharing"",""แผน!HB80"")"),0)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IFERROR(__xludf.DUMMYFUNCTION("IMPORTRANGE(""https://docs.google.com/spreadsheets/d/1eHaY18a8A9IcSdp1K8H6x8fbOy06t2VsZHhMHf-1x7Y/edit?usp=sharing"",""แผน!HC80"")"),0)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837" t="s">
        <v>205</v>
      </c>
      <c r="B510" s="357"/>
      <c r="C510" s="357"/>
      <c r="D510" s="357"/>
      <c r="E510" s="358"/>
      <c r="F510" s="358"/>
      <c r="G510" s="358"/>
      <c r="H510" s="358"/>
      <c r="I510" s="359"/>
      <c r="J510" s="359"/>
      <c r="K510" s="360"/>
      <c r="L510" s="643"/>
      <c r="M510" s="362"/>
      <c r="N510" s="362"/>
      <c r="O510" s="362"/>
      <c r="P510" s="362"/>
      <c r="Q510" s="362"/>
      <c r="R510" s="362"/>
      <c r="S510" s="362"/>
      <c r="T510" s="362"/>
      <c r="U510" s="362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IFERROR(__xludf.DUMMYFUNCTION("IMPORTRANGE(""https://docs.google.com/spreadsheets/d/1-uDff_7J0KD5mKrp0Vvzr7lt3OU09vwQwhkpOPPYv2Y/edit?usp=sharing"",""งบพรบ!FM80"")"),0)</f>
        <v>0</v>
      </c>
      <c r="M518" s="47">
        <f ca="1">IFERROR(__xludf.DUMMYFUNCTION("IMPORTRANGE(""https://docs.google.com/spreadsheets/d/1-uDff_7J0KD5mKrp0Vvzr7lt3OU09vwQwhkpOPPYv2Y/edit?usp=sharing"",""งบพรบ!FR80"")"),0)</f>
        <v>0</v>
      </c>
      <c r="N518" s="47">
        <f ca="1">IFERROR(__xludf.DUMMYFUNCTION("IMPORTRANGE(""https://docs.google.com/spreadsheets/d/1-uDff_7J0KD5mKrp0Vvzr7lt3OU09vwQwhkpOPPYv2Y/edit?usp=sharing"",""งบพรบ!FT80"")"),0)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IFERROR(__xludf.DUMMYFUNCTION("IMPORTRANGE(""https://docs.google.com/spreadsheets/d/1-uDff_7J0KD5mKrp0Vvzr7lt3OU09vwQwhkpOPPYv2Y/edit?usp=sharing"",""งบพรบ!FP80"")"),0)</f>
        <v>0</v>
      </c>
      <c r="M521" s="47">
        <f ca="1">IFERROR(__xludf.DUMMYFUNCTION("IMPORTRANGE(""https://docs.google.com/spreadsheets/d/1-uDff_7J0KD5mKrp0Vvzr7lt3OU09vwQwhkpOPPYv2Y/edit?usp=sharing"",""งบพรบ!FS80"")"),0)</f>
        <v>0</v>
      </c>
      <c r="N521" s="47">
        <f ca="1">IFERROR(__xludf.DUMMYFUNCTION("IMPORTRANGE(""https://docs.google.com/spreadsheets/d/1-uDff_7J0KD5mKrp0Vvzr7lt3OU09vwQwhkpOPPYv2Y/edit?usp=sharing"",""งบพรบ!FU80"")"),0)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IFERROR(__xludf.DUMMYFUNCTION("IMPORTRANGE(""https://docs.google.com/spreadsheets/d/1-uDff_7J0KD5mKrp0Vvzr7lt3OU09vwQwhkpOPPYv2Y/edit?usp=sharing"",""งบพรบ!FW80"")"),0)</f>
        <v>0</v>
      </c>
      <c r="M539" s="47">
        <f ca="1">IFERROR(__xludf.DUMMYFUNCTION("IMPORTRANGE(""https://docs.google.com/spreadsheets/d/1-uDff_7J0KD5mKrp0Vvzr7lt3OU09vwQwhkpOPPYv2Y/edit?usp=sharing"",""งบพรบ!GB80"")"),0)</f>
        <v>0</v>
      </c>
      <c r="N539" s="47">
        <f ca="1">IFERROR(__xludf.DUMMYFUNCTION("IMPORTRANGE(""https://docs.google.com/spreadsheets/d/1-uDff_7J0KD5mKrp0Vvzr7lt3OU09vwQwhkpOPPYv2Y/edit?usp=sharing"",""งบพรบ!GD80"")"),0)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IFERROR(__xludf.DUMMYFUNCTION("IMPORTRANGE(""https://docs.google.com/spreadsheets/d/1-uDff_7J0KD5mKrp0Vvzr7lt3OU09vwQwhkpOPPYv2Y/edit?usp=sharing"",""งบพรบ!FZ80"")"),0)</f>
        <v>0</v>
      </c>
      <c r="M542" s="47">
        <f ca="1">IFERROR(__xludf.DUMMYFUNCTION("IMPORTRANGE(""https://docs.google.com/spreadsheets/d/1-uDff_7J0KD5mKrp0Vvzr7lt3OU09vwQwhkpOPPYv2Y/edit?usp=sharing"",""งบพรบ!GC80"")"),0)</f>
        <v>0</v>
      </c>
      <c r="N542" s="47">
        <f ca="1">IFERROR(__xludf.DUMMYFUNCTION("IMPORTRANGE(""https://docs.google.com/spreadsheets/d/1-uDff_7J0KD5mKrp0Vvzr7lt3OU09vwQwhkpOPPYv2Y/edit?usp=sharing"",""งบพรบ!GE80"")"),0)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IFERROR(__xludf.DUMMYFUNCTION("IMPORTRANGE(""https://docs.google.com/spreadsheets/d/1-uDff_7J0KD5mKrp0Vvzr7lt3OU09vwQwhkpOPPYv2Y/edit?usp=sharing"",""งบพรบ!GG80"")"),0)</f>
        <v>0</v>
      </c>
      <c r="M560" s="47">
        <f ca="1">IFERROR(__xludf.DUMMYFUNCTION("IMPORTRANGE(""https://docs.google.com/spreadsheets/d/1-uDff_7J0KD5mKrp0Vvzr7lt3OU09vwQwhkpOPPYv2Y/edit?usp=sharing"",""งบพรบ!GL80"")"),0)</f>
        <v>0</v>
      </c>
      <c r="N560" s="47">
        <f ca="1">IFERROR(__xludf.DUMMYFUNCTION("IMPORTRANGE(""https://docs.google.com/spreadsheets/d/1-uDff_7J0KD5mKrp0Vvzr7lt3OU09vwQwhkpOPPYv2Y/edit?usp=sharing"",""งบพรบ!GN80"")"),0)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IFERROR(__xludf.DUMMYFUNCTION("IMPORTRANGE(""https://docs.google.com/spreadsheets/d/1-uDff_7J0KD5mKrp0Vvzr7lt3OU09vwQwhkpOPPYv2Y/edit?usp=sharing"",""งบพรบ!GJ80"")"),0)</f>
        <v>0</v>
      </c>
      <c r="M563" s="47">
        <f ca="1">IFERROR(__xludf.DUMMYFUNCTION("IMPORTRANGE(""https://docs.google.com/spreadsheets/d/1-uDff_7J0KD5mKrp0Vvzr7lt3OU09vwQwhkpOPPYv2Y/edit?usp=sharing"",""งบพรบ!GM80"")"),0)</f>
        <v>0</v>
      </c>
      <c r="N563" s="47">
        <f ca="1">IFERROR(__xludf.DUMMYFUNCTION("IMPORTRANGE(""https://docs.google.com/spreadsheets/d/1-uDff_7J0KD5mKrp0Vvzr7lt3OU09vwQwhkpOPPYv2Y/edit?usp=sharing"",""งบพรบ!GO80"")"),0)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IFERROR(__xludf.DUMMYFUNCTION("IMPORTRANGE(""https://docs.google.com/spreadsheets/d/1-uDff_7J0KD5mKrp0Vvzr7lt3OU09vwQwhkpOPPYv2Y/edit?usp=sharing"",""งบพรบ!GQ80"")"),0)</f>
        <v>0</v>
      </c>
      <c r="M581" s="47">
        <f ca="1">IFERROR(__xludf.DUMMYFUNCTION("IMPORTRANGE(""https://docs.google.com/spreadsheets/d/1-uDff_7J0KD5mKrp0Vvzr7lt3OU09vwQwhkpOPPYv2Y/edit?usp=sharing"",""งบพรบ!GV80"")"),0)</f>
        <v>0</v>
      </c>
      <c r="N581" s="47">
        <f ca="1">IFERROR(__xludf.DUMMYFUNCTION("IMPORTRANGE(""https://docs.google.com/spreadsheets/d/1-uDff_7J0KD5mKrp0Vvzr7lt3OU09vwQwhkpOPPYv2Y/edit?usp=sharing"",""งบพรบ!GX80"")"),0)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IFERROR(__xludf.DUMMYFUNCTION("IMPORTRANGE(""https://docs.google.com/spreadsheets/d/1-uDff_7J0KD5mKrp0Vvzr7lt3OU09vwQwhkpOPPYv2Y/edit?usp=sharing"",""งบพรบ!GT80"")"),0)</f>
        <v>0</v>
      </c>
      <c r="M584" s="47">
        <f ca="1">IFERROR(__xludf.DUMMYFUNCTION("IMPORTRANGE(""https://docs.google.com/spreadsheets/d/1-uDff_7J0KD5mKrp0Vvzr7lt3OU09vwQwhkpOPPYv2Y/edit?usp=sharing"",""งบพรบ!GW80"")"),0)</f>
        <v>0</v>
      </c>
      <c r="N584" s="47">
        <f ca="1">IFERROR(__xludf.DUMMYFUNCTION("IMPORTRANGE(""https://docs.google.com/spreadsheets/d/1-uDff_7J0KD5mKrp0Vvzr7lt3OU09vwQwhkpOPPYv2Y/edit?usp=sharing"",""งบพรบ!GY80"")"),0)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IFERROR(__xludf.DUMMYFUNCTION("IMPORTRANGE(""https://docs.google.com/spreadsheets/d/1-uDff_7J0KD5mKrp0Vvzr7lt3OU09vwQwhkpOPPYv2Y/edit?usp=sharing"",""งบพรบ!HK80"")"),0)</f>
        <v>0</v>
      </c>
      <c r="M604" s="47">
        <f ca="1">IFERROR(__xludf.DUMMYFUNCTION("IMPORTRANGE(""https://docs.google.com/spreadsheets/d/1-uDff_7J0KD5mKrp0Vvzr7lt3OU09vwQwhkpOPPYv2Y/edit?usp=sharing"",""งบพรบ!HP80"")"),0)</f>
        <v>0</v>
      </c>
      <c r="N604" s="47">
        <f ca="1">IFERROR(__xludf.DUMMYFUNCTION("IMPORTRANGE(""https://docs.google.com/spreadsheets/d/1-uDff_7J0KD5mKrp0Vvzr7lt3OU09vwQwhkpOPPYv2Y/edit?usp=sharing"",""งบพรบ!HR80"")"),0)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IFERROR(__xludf.DUMMYFUNCTION("IMPORTRANGE(""https://docs.google.com/spreadsheets/d/1ItG2mGa2ceCfYo0BwxsXqNm01IGEUdYcSSLTEv9YCik/edit?usp=sharing"",""เบิกจ่ายกองทุน!AV80"")"),0)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IFERROR(__xludf.DUMMYFUNCTION("IMPORTRANGE(""https://docs.google.com/spreadsheets/d/1ItG2mGa2ceCfYo0BwxsXqNm01IGEUdYcSSLTEv9YCik/edit?usp=sharing"",""เบิกจ่ายกองทุน!AW80"")"),0)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IFERROR(__xludf.DUMMYFUNCTION("IMPORTRANGE(""https://docs.google.com/spreadsheets/d/1ItG2mGa2ceCfYo0BwxsXqNm01IGEUdYcSSLTEv9YCik/edit?usp=sharing"",""เบิกจ่ายกองทุน!AX80"")"),0)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IFERROR(__xludf.DUMMYFUNCTION("IMPORTRANGE(""https://docs.google.com/spreadsheets/d/1-uDff_7J0KD5mKrp0Vvzr7lt3OU09vwQwhkpOPPYv2Y/edit?usp=sharing"",""งบพรบ!HN80"")"),0)</f>
        <v>0</v>
      </c>
      <c r="M607" s="47">
        <f ca="1">IFERROR(__xludf.DUMMYFUNCTION("IMPORTRANGE(""https://docs.google.com/spreadsheets/d/1-uDff_7J0KD5mKrp0Vvzr7lt3OU09vwQwhkpOPPYv2Y/edit?usp=sharing"",""งบพรบ!HQ80"")"),0)</f>
        <v>0</v>
      </c>
      <c r="N607" s="47">
        <f ca="1">IFERROR(__xludf.DUMMYFUNCTION("IMPORTRANGE(""https://docs.google.com/spreadsheets/d/1-uDff_7J0KD5mKrp0Vvzr7lt3OU09vwQwhkpOPPYv2Y/edit?usp=sharing"",""งบพรบ!HS80"")"),0)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IFERROR(__xludf.DUMMYFUNCTION("IMPORTRANGE(""https://docs.google.com/spreadsheets/d/1ItG2mGa2ceCfYo0BwxsXqNm01IGEUdYcSSLTEv9YCik/edit?usp=sharing"",""เบิกจ่ายกองทุน!AY80"")"),0)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IFERROR(__xludf.DUMMYFUNCTION("IMPORTRANGE(""https://docs.google.com/spreadsheets/d/1ItG2mGa2ceCfYo0BwxsXqNm01IGEUdYcSSLTEv9YCik/edit?usp=sharing"",""เบิกจ่ายกองทุน!AZ80"")"),0)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IFERROR(__xludf.DUMMYFUNCTION("IMPORTRANGE(""https://docs.google.com/spreadsheets/d/1ItG2mGa2ceCfYo0BwxsXqNm01IGEUdYcSSLTEv9YCik/edit?usp=sharing"",""เบิกจ่ายกองทุน!BA80"")"),0)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6800</v>
      </c>
      <c r="R616" s="132">
        <f ca="1">R617+R618</f>
        <v>6800</v>
      </c>
      <c r="S616" s="132">
        <f ca="1">S617+S618</f>
        <v>1240</v>
      </c>
      <c r="T616" s="132">
        <f ca="1">IF(Q616&gt;0,S616*100/Q616,0)</f>
        <v>18.235294117647058</v>
      </c>
      <c r="U616" s="132">
        <f ca="1">IF(R616&gt;0,S616*100/R616,0)</f>
        <v>18.235294117647058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6800</v>
      </c>
      <c r="R618" s="47">
        <f ca="1">R621+R624</f>
        <v>6800</v>
      </c>
      <c r="S618" s="47">
        <f ca="1">S621+S624</f>
        <v>1240</v>
      </c>
      <c r="T618" s="47">
        <f ca="1">IF(Q618&gt;0,S618*100/Q618,0)</f>
        <v>18.235294117647058</v>
      </c>
      <c r="U618" s="47">
        <f ca="1">IF(R618&gt;0,S618*100/R618,0)</f>
        <v>18.235294117647058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6800</v>
      </c>
      <c r="R619" s="47">
        <f ca="1">R620+R621</f>
        <v>6800</v>
      </c>
      <c r="S619" s="47">
        <f ca="1">S620+S621</f>
        <v>1240</v>
      </c>
      <c r="T619" s="47">
        <f ca="1">IF(Q619&gt;0,S619*100/Q619,0)</f>
        <v>18.235294117647058</v>
      </c>
      <c r="U619" s="47">
        <f ca="1">IF(R619&gt;0,S619*100/R619,0)</f>
        <v>18.235294117647058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IFERROR(__xludf.DUMMYFUNCTION("IMPORTRANGE(""https://docs.google.com/spreadsheets/d/1ItG2mGa2ceCfYo0BwxsXqNm01IGEUdYcSSLTEv9YCik/edit?usp=sharing"",""เบิกจ่ายกองทุน!F80"")"),6800)</f>
        <v>6800</v>
      </c>
      <c r="R621" s="47">
        <f ca="1">IFERROR(__xludf.DUMMYFUNCTION("IMPORTRANGE(""https://docs.google.com/spreadsheets/d/1ItG2mGa2ceCfYo0BwxsXqNm01IGEUdYcSSLTEv9YCik/edit?usp=sharing"",""เบิกจ่ายกองทุน!G80"")"),6800)</f>
        <v>6800</v>
      </c>
      <c r="S621" s="47">
        <f ca="1">IFERROR(__xludf.DUMMYFUNCTION("IMPORTRANGE(""https://docs.google.com/spreadsheets/d/1ItG2mGa2ceCfYo0BwxsXqNm01IGEUdYcSSLTEv9YCik/edit?usp=sharing"",""เบิกจ่ายกองทุน!H80"")"),1240)</f>
        <v>1240</v>
      </c>
      <c r="T621" s="47">
        <f ca="1">IF(Q621&gt;0,S621*100/Q621,0)</f>
        <v>18.235294117647058</v>
      </c>
      <c r="U621" s="47">
        <f ca="1">IF(R621&gt;0,S621*100/R621,0)</f>
        <v>18.235294117647058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IFERROR(__xludf.DUMMYFUNCTION("IMPORTRANGE(""https://docs.google.com/spreadsheets/d/1eHaY18a8A9IcSdp1K8H6x8fbOy06t2VsZHhMHf-1x7Y/edit?usp=sharing"",""แผน!ID80"")"),50)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IFERROR(__xludf.DUMMYFUNCTION("IMPORTRANGE(""https://docs.google.com/spreadsheets/d/1eHaY18a8A9IcSdp1K8H6x8fbOy06t2VsZHhMHf-1x7Y/edit?usp=sharing"",""แผน!IC80"")"),0)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IFERROR(__xludf.DUMMYFUNCTION("IMPORTRANGE(""https://docs.google.com/spreadsheets/d/1eHaY18a8A9IcSdp1K8H6x8fbOy06t2VsZHhMHf-1x7Y/edit?usp=sharing"",""แผน!IC80"")"),0)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IFERROR(__xludf.DUMMYFUNCTION("IMPORTRANGE(""https://docs.google.com/spreadsheets/d/1eHaY18a8A9IcSdp1K8H6x8fbOy06t2VsZHhMHf-1x7Y/edit?usp=sharing"",""แผน!IE80"")"),0)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x14ac:dyDescent="0.3">
      <c r="A642" s="128"/>
      <c r="B642" s="159"/>
      <c r="C642" s="386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8200</v>
      </c>
      <c r="R642" s="132">
        <f ca="1">R643+R644</f>
        <v>8200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8200</v>
      </c>
      <c r="R644" s="47">
        <f ca="1">R647+R650</f>
        <v>8200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8200</v>
      </c>
      <c r="R645" s="47">
        <f ca="1">R646+R647</f>
        <v>8200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IFERROR(__xludf.DUMMYFUNCTION("IMPORTRANGE(""https://docs.google.com/spreadsheets/d/1ItG2mGa2ceCfYo0BwxsXqNm01IGEUdYcSSLTEv9YCik/edit?usp=sharing"",""เบิกจ่ายกองทุน!I80"")"),8200)</f>
        <v>8200</v>
      </c>
      <c r="R647" s="47">
        <f ca="1">IFERROR(__xludf.DUMMYFUNCTION("IMPORTRANGE(""https://docs.google.com/spreadsheets/d/1ItG2mGa2ceCfYo0BwxsXqNm01IGEUdYcSSLTEv9YCik/edit?usp=sharing"",""เบิกจ่ายกองทุน!J80"")"),8200)</f>
        <v>8200</v>
      </c>
      <c r="S647" s="47">
        <f ca="1">IFERROR(__xludf.DUMMYFUNCTION("IMPORTRANGE(""https://docs.google.com/spreadsheets/d/1ItG2mGa2ceCfYo0BwxsXqNm01IGEUdYcSSLTEv9YCik/edit?usp=sharing"",""เบิกจ่ายกองทุน!K80"")"),0)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x14ac:dyDescent="0.3">
      <c r="A651" s="138"/>
      <c r="B651" s="139"/>
      <c r="C651" s="386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IFERROR(__xludf.DUMMYFUNCTION("IMPORTRANGE(""https://docs.google.com/spreadsheets/d/1eHaY18a8A9IcSdp1K8H6x8fbOy06t2VsZHhMHf-1x7Y/edit?usp=sharing"",""แผน!IF80"")"),0)</f>
        <v>0</v>
      </c>
      <c r="J652" s="152">
        <f ca="1">IFERROR(__xludf.DUMMYFUNCTION("IMPORTRANGE(""https://docs.google.com/spreadsheets/d/1tdoBKaGub7dwA3U6UFTqxio9LNnvDCQjHKmttSEBsFQ/edit?usp=sharing"",""จัดที่ดิน!AU80"")"),0)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IFERROR(__xludf.DUMMYFUNCTION("IMPORTRANGE(""https://docs.google.com/spreadsheets/d/1eHaY18a8A9IcSdp1K8H6x8fbOy06t2VsZHhMHf-1x7Y/edit?usp=sharing"",""แผน!IG80"")"),60)</f>
        <v>60</v>
      </c>
      <c r="J653" s="152">
        <f ca="1">IFERROR(__xludf.DUMMYFUNCTION("IMPORTRANGE(""https://docs.google.com/spreadsheets/d/1tdoBKaGub7dwA3U6UFTqxio9LNnvDCQjHKmttSEBsFQ/edit?usp=sharing"",""จัดที่ดิน!AW80"")"),0)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IFERROR(__xludf.DUMMYFUNCTION("IMPORTRANGE(""https://docs.google.com/spreadsheets/d/1eHaY18a8A9IcSdp1K8H6x8fbOy06t2VsZHhMHf-1x7Y/edit?usp=sharing"",""แผน!IH80"")"),0)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IFERROR(__xludf.DUMMYFUNCTION("IMPORTRANGE(""https://docs.google.com/spreadsheets/d/1eHaY18a8A9IcSdp1K8H6x8fbOy06t2VsZHhMHf-1x7Y/edit?usp=sharing"",""แผน!II80"")"),0)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IFERROR(__xludf.DUMMYFUNCTION("IMPORTRANGE(""https://docs.google.com/spreadsheets/d/1eHaY18a8A9IcSdp1K8H6x8fbOy06t2VsZHhMHf-1x7Y/edit?usp=sharing"",""แผน!IJ80"")"),0)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IFERROR(__xludf.DUMMYFUNCTION("IMPORTRANGE(""https://docs.google.com/spreadsheets/d/1eHaY18a8A9IcSdp1K8H6x8fbOy06t2VsZHhMHf-1x7Y/edit?usp=sharing"",""แผน!IK80"")"),0)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IFERROR(__xludf.DUMMYFUNCTION("IMPORTRANGE(""https://docs.google.com/spreadsheets/d/1tdoBKaGub7dwA3U6UFTqxio9LNnvDCQjHKmttSEBsFQ/edit?usp=sharing"",""จัดที่ดิน!AY80"")"),0)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IFERROR(__xludf.DUMMYFUNCTION("IMPORTRANGE(""https://docs.google.com/spreadsheets/d/1tdoBKaGub7dwA3U6UFTqxio9LNnvDCQjHKmttSEBsFQ/edit?usp=sharing"",""จัดที่ดิน!AZ80"")"),0)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IFERROR(__xludf.DUMMYFUNCTION("IMPORTRANGE(""https://docs.google.com/spreadsheets/d/1eHaY18a8A9IcSdp1K8H6x8fbOy06t2VsZHhMHf-1x7Y/edit?usp=sharing"",""แผน!IL80"")"),0)</f>
        <v>0</v>
      </c>
      <c r="J673" s="152">
        <f ca="1">IFERROR(__xludf.DUMMYFUNCTION("IMPORTRANGE(""https://docs.google.com/spreadsheets/d/1tdoBKaGub7dwA3U6UFTqxio9LNnvDCQjHKmttSEBsFQ/edit?usp=sharing"",""จัดที่ดิน!BA80"")"),0)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IFERROR(__xludf.DUMMYFUNCTION("IMPORTRANGE(""https://docs.google.com/spreadsheets/d/1eHaY18a8A9IcSdp1K8H6x8fbOy06t2VsZHhMHf-1x7Y/edit?usp=sharing"",""แผน!IM80"")"),0)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IFERROR(__xludf.DUMMYFUNCTION("IMPORTRANGE(""https://docs.google.com/spreadsheets/d/1eHaY18a8A9IcSdp1K8H6x8fbOy06t2VsZHhMHf-1x7Y/edit?usp=sharing"",""แผน!IN80"")"),0)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IFERROR(__xludf.DUMMYFUNCTION("IMPORTRANGE(""https://docs.google.com/spreadsheets/d/1eHaY18a8A9IcSdp1K8H6x8fbOy06t2VsZHhMHf-1x7Y/edit?usp=sharing"",""แผน!IO80"")"),0)</f>
        <v>0</v>
      </c>
      <c r="J676" s="152">
        <f ca="1">IFERROR(__xludf.DUMMYFUNCTION("IMPORTRANGE(""https://docs.google.com/spreadsheets/d/1tdoBKaGub7dwA3U6UFTqxio9LNnvDCQjHKmttSEBsFQ/edit?usp=sharing"",""จัดที่ดิน!BF80"")"),0)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IFERROR(__xludf.DUMMYFUNCTION("IMPORTRANGE(""https://docs.google.com/spreadsheets/d/1tdoBKaGub7dwA3U6UFTqxio9LNnvDCQjHKmttSEBsFQ/edit?usp=sharing"",""จัดที่ดิน!BG80"")"),0)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IFERROR(__xludf.DUMMYFUNCTION("IMPORTRANGE(""https://docs.google.com/spreadsheets/d/1eHaY18a8A9IcSdp1K8H6x8fbOy06t2VsZHhMHf-1x7Y/edit?usp=sharing"",""แผน!IP80"")"),0)</f>
        <v>0</v>
      </c>
      <c r="J678" s="152">
        <f ca="1">IFERROR(__xludf.DUMMYFUNCTION("IMPORTRANGE(""https://docs.google.com/spreadsheets/d/1tdoBKaGub7dwA3U6UFTqxio9LNnvDCQjHKmttSEBsFQ/edit?usp=sharing"",""จัดที่ดิน!BH80"")"),0)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IFERROR(__xludf.DUMMYFUNCTION("IMPORTRANGE(""https://docs.google.com/spreadsheets/d/1eHaY18a8A9IcSdp1K8H6x8fbOy06t2VsZHhMHf-1x7Y/edit?usp=sharing"",""แผน!IQ80"")"),0)</f>
        <v>0</v>
      </c>
      <c r="J679" s="152">
        <f ca="1">IFERROR(__xludf.DUMMYFUNCTION("IMPORTRANGE(""https://docs.google.com/spreadsheets/d/1tdoBKaGub7dwA3U6UFTqxio9LNnvDCQjHKmttSEBsFQ/edit?usp=sharing"",""จัดที่ดิน!BK80"")"),0)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IFERROR(__xludf.DUMMYFUNCTION("IMPORTRANGE(""https://docs.google.com/spreadsheets/d/1tdoBKaGub7dwA3U6UFTqxio9LNnvDCQjHKmttSEBsFQ/edit?usp=sharing"",""จัดที่ดิน!BL80"")"),0)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IFERROR(__xludf.DUMMYFUNCTION("IMPORTRANGE(""https://docs.google.com/spreadsheets/d/1eHaY18a8A9IcSdp1K8H6x8fbOy06t2VsZHhMHf-1x7Y/edit?usp=sharing"",""แผน!IR80"")"),0)</f>
        <v>0</v>
      </c>
      <c r="J681" s="152">
        <f ca="1">IFERROR(__xludf.DUMMYFUNCTION("IMPORTRANGE(""https://docs.google.com/spreadsheets/d/1tdoBKaGub7dwA3U6UFTqxio9LNnvDCQjHKmttSEBsFQ/edit?usp=sharing"",""จัดที่ดิน!BM80"")"),0)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IFERROR(__xludf.DUMMYFUNCTION("IMPORTRANGE(""https://docs.google.com/spreadsheets/d/1eHaY18a8A9IcSdp1K8H6x8fbOy06t2VsZHhMHf-1x7Y/edit?usp=sharing"",""แผน!IS80"")"),0)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IFERROR(__xludf.DUMMYFUNCTION("IMPORTRANGE(""https://docs.google.com/spreadsheets/d/1ItG2mGa2ceCfYo0BwxsXqNm01IGEUdYcSSLTEv9YCik/edit?usp=sharing"",""เบิกจ่ายกองทุน!L80"")"),0)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IFERROR(__xludf.DUMMYFUNCTION("IMPORTRANGE(""https://docs.google.com/spreadsheets/d/1ItG2mGa2ceCfYo0BwxsXqNm01IGEUdYcSSLTEv9YCik/edit?usp=sharing"",""เบิกจ่ายกองทุน!M80"")"),0)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IFERROR(__xludf.DUMMYFUNCTION("IMPORTRANGE(""https://docs.google.com/spreadsheets/d/1ItG2mGa2ceCfYo0BwxsXqNm01IGEUdYcSSLTEv9YCik/edit?usp=sharing"",""เบิกจ่ายกองทุน!N80"")"),0)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IFERROR(__xludf.DUMMYFUNCTION("IMPORTRANGE(""https://docs.google.com/spreadsheets/d/1eHaY18a8A9IcSdp1K8H6x8fbOy06t2VsZHhMHf-1x7Y/edit?usp=sharing"",""แผน!LC80"")"),0)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IFERROR(__xludf.DUMMYFUNCTION("IMPORTRANGE(""https://docs.google.com/spreadsheets/d/1eHaY18a8A9IcSdp1K8H6x8fbOy06t2VsZHhMHf-1x7Y/edit?usp=sharing"",""แผน!LJ80"")"),0)</f>
        <v>0</v>
      </c>
      <c r="J703" s="152">
        <f ca="1">IFERROR(__xludf.DUMMYFUNCTION("IMPORTRANGE(""https://docs.google.com/spreadsheets/d/1tdoBKaGub7dwA3U6UFTqxio9LNnvDCQjHKmttSEBsFQ/edit?usp=sharing"",""จัดที่ดิน!AP80"")"),0)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IFERROR(__xludf.DUMMYFUNCTION("IMPORTRANGE(""https://docs.google.com/spreadsheets/d/1tdoBKaGub7dwA3U6UFTqxio9LNnvDCQjHKmttSEBsFQ/edit?usp=sharing"",""จัดที่ดิน!AQ80"")"),0)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IFERROR(__xludf.DUMMYFUNCTION("IMPORTRANGE(""https://docs.google.com/spreadsheets/d/1eHaY18a8A9IcSdp1K8H6x8fbOy06t2VsZHhMHf-1x7Y/edit?usp=sharing"",""แผน!LK80"")"),0)</f>
        <v>0</v>
      </c>
      <c r="J705" s="152">
        <f ca="1">IFERROR(__xludf.DUMMYFUNCTION("IMPORTRANGE(""https://docs.google.com/spreadsheets/d/1tdoBKaGub7dwA3U6UFTqxio9LNnvDCQjHKmttSEBsFQ/edit?usp=sharing"",""จัดที่ดิน!AR80"")"),0)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IFERROR(__xludf.DUMMYFUNCTION("IMPORTRANGE(""https://docs.google.com/spreadsheets/d/1tdoBKaGub7dwA3U6UFTqxio9LNnvDCQjHKmttSEBsFQ/edit?usp=sharing"",""จัดที่ดิน!AS80"")"),0)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IFERROR(__xludf.DUMMYFUNCTION("IMPORTRANGE(""https://docs.google.com/spreadsheets/d/1eHaY18a8A9IcSdp1K8H6x8fbOy06t2VsZHhMHf-1x7Y/edit?usp=sharing"",""แผน!LJ80"")"),0)</f>
        <v>0</v>
      </c>
      <c r="J707" s="152">
        <f ca="1">IFERROR(__xludf.DUMMYFUNCTION("IMPORTRANGE(""https://docs.google.com/spreadsheets/d/1tdoBKaGub7dwA3U6UFTqxio9LNnvDCQjHKmttSEBsFQ/edit?usp=sharing"",""จัดที่ดิน!BN80"")"),0)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IFERROR(__xludf.DUMMYFUNCTION("IMPORTRANGE(""https://docs.google.com/spreadsheets/d/1tdoBKaGub7dwA3U6UFTqxio9LNnvDCQjHKmttSEBsFQ/edit?usp=sharing"",""จัดที่ดิน!BO80"")"),0)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IFERROR(__xludf.DUMMYFUNCTION("IMPORTRANGE(""https://docs.google.com/spreadsheets/d/1eHaY18a8A9IcSdp1K8H6x8fbOy06t2VsZHhMHf-1x7Y/edit?usp=sharing"",""แผน!LK80"")"),0)</f>
        <v>0</v>
      </c>
      <c r="J709" s="152">
        <f ca="1">IFERROR(__xludf.DUMMYFUNCTION("IMPORTRANGE(""https://docs.google.com/spreadsheets/d/1tdoBKaGub7dwA3U6UFTqxio9LNnvDCQjHKmttSEBsFQ/edit?usp=sharing"",""จัดที่ดิน!BP80"")"),0)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IFERROR(__xludf.DUMMYFUNCTION("IMPORTRANGE(""https://docs.google.com/spreadsheets/d/1tdoBKaGub7dwA3U6UFTqxio9LNnvDCQjHKmttSEBsFQ/edit?usp=sharing"",""จัดที่ดิน!BQ80"")"),0)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IFERROR(__xludf.DUMMYFUNCTION("IMPORTRANGE(""https://docs.google.com/spreadsheets/d/1eHaY18a8A9IcSdp1K8H6x8fbOy06t2VsZHhMHf-1x7Y/edit?usp=sharing"",""แผน!GA80"")"),6)</f>
        <v>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IFERROR(__xludf.DUMMYFUNCTION("IMPORTRANGE(""https://docs.google.com/spreadsheets/d/1eHaY18a8A9IcSdp1K8H6x8fbOy06t2VsZHhMHf-1x7Y/edit?usp=sharing"",""แผน!FZ80"")"),50)</f>
        <v>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79606</v>
      </c>
      <c r="R728" s="132">
        <f ca="1">R729+R730</f>
        <v>79606</v>
      </c>
      <c r="S728" s="132">
        <f ca="1">S729+S730</f>
        <v>10230</v>
      </c>
      <c r="T728" s="132">
        <f ca="1">IF(Q728&gt;0,S728*100/Q728,0)</f>
        <v>12.850790141446625</v>
      </c>
      <c r="U728" s="132">
        <f ca="1">IF(R728&gt;0,S728*100/R728,0)</f>
        <v>12.850790141446625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79606</v>
      </c>
      <c r="R730" s="47">
        <f ca="1">R733+R736</f>
        <v>79606</v>
      </c>
      <c r="S730" s="47">
        <f ca="1">S733+S736</f>
        <v>10230</v>
      </c>
      <c r="T730" s="47">
        <f ca="1">IF(Q730&gt;0,S730*100/Q730,0)</f>
        <v>12.850790141446625</v>
      </c>
      <c r="U730" s="47">
        <f ca="1">IF(R730&gt;0,S730*100/R730,0)</f>
        <v>12.850790141446625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79606</v>
      </c>
      <c r="R731" s="47">
        <f ca="1">R732+R733</f>
        <v>79606</v>
      </c>
      <c r="S731" s="47">
        <f ca="1">S732+S733</f>
        <v>10230</v>
      </c>
      <c r="T731" s="47">
        <f ca="1">IF(Q731&gt;0,S731*100/Q731,0)</f>
        <v>12.850790141446625</v>
      </c>
      <c r="U731" s="47">
        <f ca="1">IF(R731&gt;0,S731*100/R731,0)</f>
        <v>12.850790141446625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IFERROR(__xludf.DUMMYFUNCTION("IMPORTRANGE(""https://docs.google.com/spreadsheets/d/1ItG2mGa2ceCfYo0BwxsXqNm01IGEUdYcSSLTEv9YCik/edit?usp=sharing"",""เบิกจ่ายกองทุน!O80"")"),79606)</f>
        <v>79606</v>
      </c>
      <c r="R733" s="47">
        <f ca="1">IFERROR(__xludf.DUMMYFUNCTION("IMPORTRANGE(""https://docs.google.com/spreadsheets/d/1ItG2mGa2ceCfYo0BwxsXqNm01IGEUdYcSSLTEv9YCik/edit?usp=sharing"",""เบิกจ่ายกองทุน!P80"")"),79606)</f>
        <v>79606</v>
      </c>
      <c r="S733" s="47">
        <f ca="1">IFERROR(__xludf.DUMMYFUNCTION("IMPORTRANGE(""https://docs.google.com/spreadsheets/d/1ItG2mGa2ceCfYo0BwxsXqNm01IGEUdYcSSLTEv9YCik/edit?usp=sharing"",""เบิกจ่ายกองทุน!Q80"")"),10230)</f>
        <v>10230</v>
      </c>
      <c r="T733" s="47">
        <f ca="1">IF(Q733&gt;0,S733*100/Q733,0)</f>
        <v>12.850790141446625</v>
      </c>
      <c r="U733" s="47">
        <f ca="1">IF(R733&gt;0,S733*100/R733,0)</f>
        <v>12.850790141446625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IFERROR(__xludf.DUMMYFUNCTION("IMPORTRANGE(""https://docs.google.com/spreadsheets/d/1eHaY18a8A9IcSdp1K8H6x8fbOy06t2VsZHhMHf-1x7Y/edit?usp=sharing"",""แผน!GB80"")"),40)</f>
        <v>40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IFERROR(__xludf.DUMMYFUNCTION("IMPORTRANGE(""https://docs.google.com/spreadsheets/d/1eHaY18a8A9IcSdp1K8H6x8fbOy06t2VsZHhMHf-1x7Y/edit?usp=sharing"",""แผน!GC80"")"),4)</f>
        <v>4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IFERROR(__xludf.DUMMYFUNCTION("IMPORTRANGE(""https://docs.google.com/spreadsheets/d/1eHaY18a8A9IcSdp1K8H6x8fbOy06t2VsZHhMHf-1x7Y/edit?usp=sharing"",""แผน!GD80"")"),10)</f>
        <v>10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IFERROR(__xludf.DUMMYFUNCTION("IMPORTRANGE(""https://docs.google.com/spreadsheets/d/1eHaY18a8A9IcSdp1K8H6x8fbOy06t2VsZHhMHf-1x7Y/edit?usp=sharing"",""แผน!GE80"")"),1)</f>
        <v>1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IFERROR(__xludf.DUMMYFUNCTION("IMPORTRANGE(""https://docs.google.com/spreadsheets/d/1eHaY18a8A9IcSdp1K8H6x8fbOy06t2VsZHhMHf-1x7Y/edit?usp=sharing"",""แผน!GF80"")"),1)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IFERROR(__xludf.DUMMYFUNCTION("IMPORTRANGE(""https://docs.google.com/spreadsheets/d/1eHaY18a8A9IcSdp1K8H6x8fbOy06t2VsZHhMHf-1x7Y/edit?usp=sharing"",""แผน!GB80"")"),40)</f>
        <v>40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IFERROR(__xludf.DUMMYFUNCTION("IMPORTRANGE(""https://docs.google.com/spreadsheets/d/1eHaY18a8A9IcSdp1K8H6x8fbOy06t2VsZHhMHf-1x7Y/edit?usp=sharing"",""แผน!GD80"")"),10)</f>
        <v>10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10</v>
      </c>
      <c r="J758" s="483">
        <f>J772</f>
        <v>10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20</v>
      </c>
      <c r="J759" s="483">
        <f>J774</f>
        <v>20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91360</v>
      </c>
      <c r="R760" s="132">
        <f ca="1">R761+R762</f>
        <v>91360</v>
      </c>
      <c r="S760" s="132">
        <f ca="1">S761+S762</f>
        <v>77420</v>
      </c>
      <c r="T760" s="132">
        <f ca="1">IF(Q760&gt;0,S760*100/Q760,0)</f>
        <v>84.741681260945711</v>
      </c>
      <c r="U760" s="132">
        <f ca="1">IF(R760&gt;0,S760*100/R760,0)</f>
        <v>84.741681260945711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91360</v>
      </c>
      <c r="R762" s="47">
        <f ca="1">R765+R768</f>
        <v>91360</v>
      </c>
      <c r="S762" s="47">
        <f ca="1">S765+S768</f>
        <v>77420</v>
      </c>
      <c r="T762" s="47">
        <f ca="1">IF(Q762&gt;0,S762*100/Q762,0)</f>
        <v>84.741681260945711</v>
      </c>
      <c r="U762" s="47">
        <f ca="1">IF(R762&gt;0,S762*100/R762,0)</f>
        <v>84.741681260945711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91360</v>
      </c>
      <c r="R763" s="47">
        <f ca="1">R764+R765</f>
        <v>91360</v>
      </c>
      <c r="S763" s="47">
        <f ca="1">S764+S765</f>
        <v>77420</v>
      </c>
      <c r="T763" s="47">
        <f ca="1">IF(Q763&gt;0,S763*100/Q763,0)</f>
        <v>84.741681260945711</v>
      </c>
      <c r="U763" s="47">
        <f ca="1">IF(R763&gt;0,S763*100/R763,0)</f>
        <v>84.741681260945711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IFERROR(__xludf.DUMMYFUNCTION("IMPORTRANGE(""https://docs.google.com/spreadsheets/d/1ItG2mGa2ceCfYo0BwxsXqNm01IGEUdYcSSLTEv9YCik/edit?usp=sharing"",""เบิกจ่ายกองทุน!AA80"")"),91360)</f>
        <v>91360</v>
      </c>
      <c r="R765" s="47">
        <f ca="1">IFERROR(__xludf.DUMMYFUNCTION("IMPORTRANGE(""https://docs.google.com/spreadsheets/d/1ItG2mGa2ceCfYo0BwxsXqNm01IGEUdYcSSLTEv9YCik/edit?usp=sharing"",""เบิกจ่ายกองทุน!AB80"")"),91360)</f>
        <v>91360</v>
      </c>
      <c r="S765" s="47">
        <f ca="1">IFERROR(__xludf.DUMMYFUNCTION("IMPORTRANGE(""https://docs.google.com/spreadsheets/d/1ItG2mGa2ceCfYo0BwxsXqNm01IGEUdYcSSLTEv9YCik/edit?usp=sharing"",""เบิกจ่ายกองทุน!AC80"")"),77420)</f>
        <v>77420</v>
      </c>
      <c r="T765" s="47">
        <f ca="1">IF(Q765&gt;0,S765*100/Q765,0)</f>
        <v>84.741681260945711</v>
      </c>
      <c r="U765" s="47">
        <f ca="1">IF(R765&gt;0,S765*100/R765,0)</f>
        <v>84.741681260945711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IFERROR(__xludf.DUMMYFUNCTION("IMPORTRANGE(""https://docs.google.com/spreadsheets/d/1eHaY18a8A9IcSdp1K8H6x8fbOy06t2VsZHhMHf-1x7Y/edit?usp=sharing"",""แผน!FI80"")"),0)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IFERROR(__xludf.DUMMYFUNCTION("IMPORTRANGE(""https://docs.google.com/spreadsheets/d/1eHaY18a8A9IcSdp1K8H6x8fbOy06t2VsZHhMHf-1x7Y/edit?usp=sharing"",""แผน!FQ80"")"),10)</f>
        <v>10</v>
      </c>
      <c r="J772" s="167">
        <v>10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IFERROR(__xludf.DUMMYFUNCTION("IMPORTRANGE(""https://docs.google.com/spreadsheets/d/1eHaY18a8A9IcSdp1K8H6x8fbOy06t2VsZHhMHf-1x7Y/edit?usp=sharing"",""แผน!FR80"")"),20)</f>
        <v>20</v>
      </c>
      <c r="J774" s="167">
        <v>20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IFERROR(__xludf.DUMMYFUNCTION("IMPORTRANGE(""https://docs.google.com/spreadsheets/d/1eHaY18a8A9IcSdp1K8H6x8fbOy06t2VsZHhMHf-1x7Y/edit?usp=sharing"",""แผน!FS80"")"),20)</f>
        <v>20</v>
      </c>
      <c r="J775" s="167">
        <v>20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IFERROR(__xludf.DUMMYFUNCTION("IMPORTRANGE(""https://docs.google.com/spreadsheets/d/1eHaY18a8A9IcSdp1K8H6x8fbOy06t2VsZHhMHf-1x7Y/edit?usp=sharing"",""แผน!FT80"")"),10)</f>
        <v>10</v>
      </c>
      <c r="J776" s="355">
        <v>10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IFERROR(__xludf.DUMMYFUNCTION("IMPORTRANGE(""https://docs.google.com/spreadsheets/d/10OvvATaaLtwErnr3qtWFcTmtbfpFEt5Bsqel9sXx0uE/edit?usp=sharing"",""งานกองทุน!D80"")"),486435.71)</f>
        <v>486435.71</v>
      </c>
      <c r="J778" s="152">
        <f ca="1">IFERROR(__xludf.DUMMYFUNCTION("IMPORTRANGE(""https://docs.google.com/spreadsheets/d/10OvvATaaLtwErnr3qtWFcTmtbfpFEt5Bsqel9sXx0uE/edit?usp=sharing"",""งานกองทุน!F80"")"),62960.41)</f>
        <v>62960.41</v>
      </c>
      <c r="K778" s="47">
        <f ca="1">IF(I778&gt;0,J778*100/I778,0)</f>
        <v>12.943212989029938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IFERROR(__xludf.DUMMYFUNCTION("IMPORTRANGE(""https://docs.google.com/spreadsheets/d/10OvvATaaLtwErnr3qtWFcTmtbfpFEt5Bsqel9sXx0uE/edit?usp=sharing"",""งานกองทุน!C80"")"),35)</f>
        <v>35</v>
      </c>
      <c r="J779" s="152">
        <f ca="1">IFERROR(__xludf.DUMMYFUNCTION("IMPORTRANGE(""https://docs.google.com/spreadsheets/d/10OvvATaaLtwErnr3qtWFcTmtbfpFEt5Bsqel9sXx0uE/edit?usp=sharing"",""งานกองทุน!E80"")"),14)</f>
        <v>14</v>
      </c>
      <c r="K779" s="47">
        <f ca="1">IF(I779&gt;0,J779*100/I779,0)</f>
        <v>40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IFERROR(__xludf.DUMMYFUNCTION("IMPORTRANGE(""https://docs.google.com/spreadsheets/d/10OvvATaaLtwErnr3qtWFcTmtbfpFEt5Bsqel9sXx0uE/edit?usp=sharing"",""งานกองทุน!I80"")"),1797886.18)</f>
        <v>1797886.18</v>
      </c>
      <c r="J780" s="152">
        <f ca="1">IFERROR(__xludf.DUMMYFUNCTION("IMPORTRANGE(""https://docs.google.com/spreadsheets/d/10OvvATaaLtwErnr3qtWFcTmtbfpFEt5Bsqel9sXx0uE/edit?usp=sharing"",""งานกองทุน!K80"")"),63002.49)</f>
        <v>63002.49</v>
      </c>
      <c r="K780" s="47">
        <f ca="1">IF(I780&gt;0,J780*100/I780,0)</f>
        <v>3.5042535340029146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IFERROR(__xludf.DUMMYFUNCTION("IMPORTRANGE(""https://docs.google.com/spreadsheets/d/10OvvATaaLtwErnr3qtWFcTmtbfpFEt5Bsqel9sXx0uE/edit?usp=sharing"",""งานกองทุน!H80"")"),124)</f>
        <v>124</v>
      </c>
      <c r="J781" s="152">
        <f ca="1">IFERROR(__xludf.DUMMYFUNCTION("IMPORTRANGE(""https://docs.google.com/spreadsheets/d/10OvvATaaLtwErnr3qtWFcTmtbfpFEt5Bsqel9sXx0uE/edit?usp=sharing"",""งานกองทุน!J80"")"),78)</f>
        <v>78</v>
      </c>
      <c r="K781" s="47">
        <f ca="1">IF(I781&gt;0,J781*100/I781,0)</f>
        <v>62.903225806451616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IFERROR(__xludf.DUMMYFUNCTION("IMPORTRANGE(""https://docs.google.com/spreadsheets/d/10OvvATaaLtwErnr3qtWFcTmtbfpFEt5Bsqel9sXx0uE/edit?usp=sharing"",""งานกองทุน!N80"")"),29208.33)</f>
        <v>29208.33</v>
      </c>
      <c r="J782" s="152">
        <f ca="1">IFERROR(__xludf.DUMMYFUNCTION("IMPORTRANGE(""https://docs.google.com/spreadsheets/d/10OvvATaaLtwErnr3qtWFcTmtbfpFEt5Bsqel9sXx0uE/edit?usp=sharing"",""งานกองทุน!P80"")"),1920.88)</f>
        <v>1920.88</v>
      </c>
      <c r="K782" s="47">
        <f ca="1">IF(I782&gt;0,J782*100/I782,0)</f>
        <v>6.5764800657894504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IFERROR(__xludf.DUMMYFUNCTION("IMPORTRANGE(""https://docs.google.com/spreadsheets/d/10OvvATaaLtwErnr3qtWFcTmtbfpFEt5Bsqel9sXx0uE/edit?usp=sharing"",""งานกองทุน!M80"")"),87)</f>
        <v>87</v>
      </c>
      <c r="J783" s="152">
        <f ca="1">IFERROR(__xludf.DUMMYFUNCTION("IMPORTRANGE(""https://docs.google.com/spreadsheets/d/10OvvATaaLtwErnr3qtWFcTmtbfpFEt5Bsqel9sXx0uE/edit?usp=sharing"",""งานกองทุน!O80"")"),4)</f>
        <v>4</v>
      </c>
      <c r="K783" s="47">
        <f ca="1">IF(I783&gt;0,J783*100/I783,0)</f>
        <v>4.5977011494252871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IFERROR(__xludf.DUMMYFUNCTION("IMPORTRANGE(""https://docs.google.com/spreadsheets/d/10OvvATaaLtwErnr3qtWFcTmtbfpFEt5Bsqel9sXx0uE/edit?usp=sharing"",""งานกองทุน!S80"")"),448000)</f>
        <v>448000</v>
      </c>
      <c r="J784" s="152">
        <f ca="1">IFERROR(__xludf.DUMMYFUNCTION("IMPORTRANGE(""https://docs.google.com/spreadsheets/d/10OvvATaaLtwErnr3qtWFcTmtbfpFEt5Bsqel9sXx0uE/edit?usp=sharing"",""งานกองทุน!U80"")"),134400)</f>
        <v>134400</v>
      </c>
      <c r="K784" s="47">
        <f ca="1">IF(I784&gt;0,J784*100/I784,0)</f>
        <v>30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IFERROR(__xludf.DUMMYFUNCTION("IMPORTRANGE(""https://docs.google.com/spreadsheets/d/10OvvATaaLtwErnr3qtWFcTmtbfpFEt5Bsqel9sXx0uE/edit?usp=sharing"",""งานกองทุน!R80"")"),16)</f>
        <v>16</v>
      </c>
      <c r="J785" s="197">
        <f ca="1">IFERROR(__xludf.DUMMYFUNCTION("IMPORTRANGE(""https://docs.google.com/spreadsheets/d/10OvvATaaLtwErnr3qtWFcTmtbfpFEt5Bsqel9sXx0uE/edit?usp=sharing"",""งานกองทุน!T80"")"),3)</f>
        <v>3</v>
      </c>
      <c r="K785" s="111">
        <f ca="1">IF(I785&gt;0,J785*100/I785,0)</f>
        <v>18.75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34D44B-1521-4BA6-ACC7-0AAAC825F559}">
  <sheetPr codeName="Sheet8"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4.4257812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321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5368620</v>
      </c>
      <c r="M18" s="35">
        <f ca="1">M19+M20</f>
        <v>5412890</v>
      </c>
      <c r="N18" s="35">
        <f ca="1">N19+N20</f>
        <v>1523326.0099999998</v>
      </c>
      <c r="O18" s="35">
        <f ca="1">IF(L18&gt;0,N18*100/L18,0)</f>
        <v>28.374629048060761</v>
      </c>
      <c r="P18" s="35">
        <f ca="1">IF(M18&gt;0,N18*100/M18,0)</f>
        <v>28.142563584332947</v>
      </c>
      <c r="Q18" s="35">
        <f ca="1">Q19+Q20</f>
        <v>957372.22</v>
      </c>
      <c r="R18" s="35">
        <f ca="1">R19+R20</f>
        <v>949184.5</v>
      </c>
      <c r="S18" s="35">
        <f ca="1">S19+S20</f>
        <v>231719</v>
      </c>
      <c r="T18" s="35">
        <f ca="1">IF(Q18&gt;0,S18*100/Q18,0)</f>
        <v>24.203647772441112</v>
      </c>
      <c r="U18" s="35">
        <f ca="1">IF(R18&gt;0,S18*100/R18,0)</f>
        <v>24.412429827920704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5368620</v>
      </c>
      <c r="M20" s="39">
        <f ca="1">M23+M26</f>
        <v>5412890</v>
      </c>
      <c r="N20" s="39">
        <f ca="1">N23+N26</f>
        <v>1523326.0099999998</v>
      </c>
      <c r="O20" s="39">
        <f ca="1">IF(L20&gt;0,N20*100/L20,0)</f>
        <v>28.374629048060761</v>
      </c>
      <c r="P20" s="39">
        <f ca="1">IF(M20&gt;0,N20*100/M20,0)</f>
        <v>28.142563584332947</v>
      </c>
      <c r="Q20" s="39">
        <f ca="1">Q23+Q26</f>
        <v>957372.22</v>
      </c>
      <c r="R20" s="39">
        <f ca="1">R23+R26</f>
        <v>949184.5</v>
      </c>
      <c r="S20" s="39">
        <f ca="1">S23+S26</f>
        <v>231719</v>
      </c>
      <c r="T20" s="39">
        <f ca="1">IF(Q20&gt;0,S20*100/Q20,0)</f>
        <v>24.203647772441112</v>
      </c>
      <c r="U20" s="39">
        <f ca="1">IF(R20&gt;0,S20*100/R20,0)</f>
        <v>24.412429827920704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2168620</v>
      </c>
      <c r="M21" s="47">
        <f ca="1">M22+M23</f>
        <v>2212890</v>
      </c>
      <c r="N21" s="47">
        <f ca="1">N22+N23</f>
        <v>1523326.0099999998</v>
      </c>
      <c r="O21" s="47">
        <f ca="1">IF(L21&gt;0,N21*100/L21,0)</f>
        <v>70.244026616004632</v>
      </c>
      <c r="P21" s="47">
        <f ca="1">IF(M21&gt;0,N21*100/M21,0)</f>
        <v>68.838758817654721</v>
      </c>
      <c r="Q21" s="47">
        <f ca="1">Q22+Q23</f>
        <v>957372.22</v>
      </c>
      <c r="R21" s="47">
        <f ca="1">R22+R23</f>
        <v>949184.5</v>
      </c>
      <c r="S21" s="47">
        <f ca="1">S22+S23</f>
        <v>231719</v>
      </c>
      <c r="T21" s="47">
        <f ca="1">IF(Q21&gt;0,S21*100/Q21,0)</f>
        <v>24.203647772441112</v>
      </c>
      <c r="U21" s="47">
        <f ca="1">IF(R21&gt;0,S21*100/R21,0)</f>
        <v>24.412429827920704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2168620</v>
      </c>
      <c r="M23" s="47">
        <f ca="1">M49+M64+M77+M99+M122+M144+M162+M191+M178+M271+M287+M308+M325+M338+M361+M380+M418+M498+M518+M539+M560+M581+M604+M621+M647+M695+M719+M733+M765</f>
        <v>2212890</v>
      </c>
      <c r="N23" s="47">
        <f ca="1">N49+N64+N77+N99+N122+N144+N162+N191+N178+N271+N287+N308+N325+N338+N361+N380+N418+N498+N518+N539+N560+N581+N604+N621+N647+N695+N719+N733+N765</f>
        <v>1523326.0099999998</v>
      </c>
      <c r="O23" s="47">
        <f ca="1">IF(L23&gt;0,N23*100/L23,0)</f>
        <v>70.244026616004632</v>
      </c>
      <c r="P23" s="47">
        <f ca="1">IF(M23&gt;0,N23*100/M23,0)</f>
        <v>68.838758817654721</v>
      </c>
      <c r="Q23" s="47">
        <f ca="1">Q77+Q99+Q122+Q144+Q162+Q178+Q191+Q271+Q287+Q308+Q338+Q380+Q397+Q418+Q498+Q604+Q621+Q647+Q695+Q719+Q733+Q765</f>
        <v>957372.22</v>
      </c>
      <c r="R23" s="47">
        <f ca="1">R77+R99+R122+R144+R162+R178+R191+R271+R287+R308+R338+R380+R397+R418+R498+R604+R621+R647+R695+R719+R733+R765</f>
        <v>949184.5</v>
      </c>
      <c r="S23" s="47">
        <f ca="1">S77+S99+S122+S144+S162+S178+S191+S271+S287+S308+S338+S380+S397+S418+S498+S604+S621+S647+S695+S719+S733+S765</f>
        <v>231719</v>
      </c>
      <c r="T23" s="47">
        <f ca="1">IF(Q23&gt;0,S23*100/Q23,0)</f>
        <v>24.203647772441112</v>
      </c>
      <c r="U23" s="47">
        <f ca="1">IF(R23&gt;0,S23*100/R23,0)</f>
        <v>24.412429827920704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3200000</v>
      </c>
      <c r="M24" s="47">
        <f ca="1">M25+M26</f>
        <v>3200000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0</v>
      </c>
      <c r="R24" s="47">
        <f ca="1">R25+R26</f>
        <v>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3200000</v>
      </c>
      <c r="M26" s="47">
        <f ca="1">M52+M67+M80+M102+M125+M147+M165+M194+M181+M274+M290+M311+M328+M341+M364+M383+M421+M501+M521+M542+M563+M584+M607+M624+M650+M698+M722+M736+M768</f>
        <v>3200000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0</v>
      </c>
      <c r="R26" s="49">
        <f ca="1">R80+R102+R125+R147+R165+R181+R194+R274+R290+R311+R341+R383+R400+R421+R501+R607+R624+R650+R698+R722+R736+R768</f>
        <v>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5301970</v>
      </c>
      <c r="M40" s="802">
        <f ca="1">M44+M59+M72+M94+M125+M139+M157+M173+M186+M266+M282+M303+M320+M333+M356</f>
        <v>5346240</v>
      </c>
      <c r="N40" s="802">
        <f ca="1">N44+N59+N72+N94+N125+N139+N157+N173+N186+N266+N282+N303+N320+N333+N356</f>
        <v>1523326.0099999998</v>
      </c>
      <c r="O40" s="802">
        <f ca="1">IF(L40&gt;0,N40*100/L40,0)</f>
        <v>28.731320810943853</v>
      </c>
      <c r="P40" s="802">
        <f ca="1">IF(M40&gt;0,N40*100/M40,0)</f>
        <v>28.493408638594595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207420</v>
      </c>
      <c r="M44" s="79">
        <f ca="1">M45+M46</f>
        <v>216640</v>
      </c>
      <c r="N44" s="79">
        <f ca="1">N45+N46</f>
        <v>175492.58</v>
      </c>
      <c r="O44" s="79">
        <f ca="1">IF(L44&gt;0,N44*100/L44,0)</f>
        <v>84.607357053321763</v>
      </c>
      <c r="P44" s="79">
        <f ca="1">IF(M44&gt;0,N44*100/M44,0)</f>
        <v>81.006545420974888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207420</v>
      </c>
      <c r="M46" s="83">
        <f ca="1">M49+M52</f>
        <v>216640</v>
      </c>
      <c r="N46" s="83">
        <f ca="1">N49+N52</f>
        <v>175492.58</v>
      </c>
      <c r="O46" s="83">
        <f ca="1">IF(L46&gt;0,N46*100/L46,0)</f>
        <v>84.607357053321763</v>
      </c>
      <c r="P46" s="83">
        <f ca="1">IF(M46&gt;0,N46*100/M46,0)</f>
        <v>81.006545420974888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207420</v>
      </c>
      <c r="M47" s="47">
        <f ca="1">M48+M49</f>
        <v>216640</v>
      </c>
      <c r="N47" s="47">
        <f ca="1">N48+N49</f>
        <v>175492.58</v>
      </c>
      <c r="O47" s="47">
        <f ca="1">IF(L47&gt;0,N47*100/L47,0)</f>
        <v>84.607357053321763</v>
      </c>
      <c r="P47" s="47">
        <f ca="1">IF(M47&gt;0,N47*100/M47,0)</f>
        <v>81.006545420974888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IFERROR(__xludf.DUMMYFUNCTION("IMPORTRANGE(""https://docs.google.com/spreadsheets/d/1-uDff_7J0KD5mKrp0Vvzr7lt3OU09vwQwhkpOPPYv2Y/edit?usp=sharing"",""งบพรบ!P81"")"),207420)</f>
        <v>207420</v>
      </c>
      <c r="M49" s="47">
        <f ca="1">IFERROR(__xludf.DUMMYFUNCTION("IMPORTRANGE(""https://docs.google.com/spreadsheets/d/1-uDff_7J0KD5mKrp0Vvzr7lt3OU09vwQwhkpOPPYv2Y/edit?usp=sharing"",""งบพรบ!V81"")"),216640)</f>
        <v>216640</v>
      </c>
      <c r="N49" s="47">
        <f ca="1">IFERROR(__xludf.DUMMYFUNCTION("IMPORTRANGE(""https://docs.google.com/spreadsheets/d/1-uDff_7J0KD5mKrp0Vvzr7lt3OU09vwQwhkpOPPYv2Y/edit?usp=sharing"",""งบพรบ!Y81"")"),175492.58)</f>
        <v>175492.58</v>
      </c>
      <c r="O49" s="47">
        <f ca="1">IF(L49&gt;0,N49*100/L49,0)</f>
        <v>84.607357053321763</v>
      </c>
      <c r="P49" s="47">
        <f ca="1">IF(M49&gt;0,N49*100/M49,0)</f>
        <v>81.006545420974888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IFERROR(__xludf.DUMMYFUNCTION("IMPORTRANGE(""https://docs.google.com/spreadsheets/d/1-uDff_7J0KD5mKrp0Vvzr7lt3OU09vwQwhkpOPPYv2Y/edit?usp=sharing"",""งบพรบ!S81"")"),0)</f>
        <v>0</v>
      </c>
      <c r="M52" s="47">
        <f ca="1">IFERROR(__xludf.DUMMYFUNCTION("IMPORTRANGE(""https://docs.google.com/spreadsheets/d/1-uDff_7J0KD5mKrp0Vvzr7lt3OU09vwQwhkpOPPYv2Y/edit?usp=sharing"",""งบพรบ!W81"")"),0)</f>
        <v>0</v>
      </c>
      <c r="N52" s="47">
        <f ca="1">IFERROR(__xludf.DUMMYFUNCTION("IMPORTRANGE(""https://docs.google.com/spreadsheets/d/1-uDff_7J0KD5mKrp0Vvzr7lt3OU09vwQwhkpOPPYv2Y/edit?usp=sharing"",""งบพรบ!Z81"")"),0)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4127800</v>
      </c>
      <c r="M59" s="106">
        <f ca="1">M60+M61</f>
        <v>4127800</v>
      </c>
      <c r="N59" s="106">
        <f ca="1">N60+N61</f>
        <v>850502.11</v>
      </c>
      <c r="O59" s="106">
        <f ca="1">IF(L59&gt;0,N59*100/L59,0)</f>
        <v>20.604247056543436</v>
      </c>
      <c r="P59" s="106">
        <f ca="1">IF(M59&gt;0,N59*100/M59,0)</f>
        <v>20.604247056543436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4127800</v>
      </c>
      <c r="M61" s="109">
        <f ca="1">M64+M67</f>
        <v>4127800</v>
      </c>
      <c r="N61" s="109">
        <f ca="1">N64+N67</f>
        <v>850502.11</v>
      </c>
      <c r="O61" s="109">
        <f ca="1">IF(L61&gt;0,N61*100/L61,0)</f>
        <v>20.604247056543436</v>
      </c>
      <c r="P61" s="109">
        <f ca="1">IF(M61&gt;0,N61*100/M61,0)</f>
        <v>20.604247056543436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927800</v>
      </c>
      <c r="M62" s="47">
        <f ca="1">M63+M64</f>
        <v>927800</v>
      </c>
      <c r="N62" s="47">
        <f ca="1">N63+N64</f>
        <v>850502.11</v>
      </c>
      <c r="O62" s="47">
        <f ca="1">IF(L62&gt;0,N62*100/L62,0)</f>
        <v>91.668690450528132</v>
      </c>
      <c r="P62" s="47">
        <f ca="1">IF(M62&gt;0,N62*100/M62,0)</f>
        <v>91.668690450528132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IFERROR(__xludf.DUMMYFUNCTION("IMPORTRANGE(""https://docs.google.com/spreadsheets/d/1-uDff_7J0KD5mKrp0Vvzr7lt3OU09vwQwhkpOPPYv2Y/edit?usp=sharing"",""งบพรบ!AC81"")"),927800)</f>
        <v>927800</v>
      </c>
      <c r="M64" s="47">
        <f ca="1">IFERROR(__xludf.DUMMYFUNCTION("IMPORTRANGE(""https://docs.google.com/spreadsheets/d/1-uDff_7J0KD5mKrp0Vvzr7lt3OU09vwQwhkpOPPYv2Y/edit?usp=sharing"",""งบพรบ!AH81"")"),927800)</f>
        <v>927800</v>
      </c>
      <c r="N64" s="47">
        <f ca="1">IFERROR(__xludf.DUMMYFUNCTION("IMPORTRANGE(""https://docs.google.com/spreadsheets/d/1-uDff_7J0KD5mKrp0Vvzr7lt3OU09vwQwhkpOPPYv2Y/edit?usp=sharing"",""งบพรบ!AJ81"")"),850502.11)</f>
        <v>850502.11</v>
      </c>
      <c r="O64" s="47">
        <f ca="1">IF(L64&gt;0,N64*100/L64,0)</f>
        <v>91.668690450528132</v>
      </c>
      <c r="P64" s="47">
        <f ca="1">IF(M64&gt;0,N64*100/M64,0)</f>
        <v>91.668690450528132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3200000</v>
      </c>
      <c r="M65" s="47">
        <f ca="1">M66+M67</f>
        <v>3200000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IFERROR(__xludf.DUMMYFUNCTION("IMPORTRANGE(""https://docs.google.com/spreadsheets/d/1-uDff_7J0KD5mKrp0Vvzr7lt3OU09vwQwhkpOPPYv2Y/edit?usp=sharing"",""งบพรบ!AF81"")"),3200000)</f>
        <v>3200000</v>
      </c>
      <c r="M67" s="111">
        <f ca="1">IFERROR(__xludf.DUMMYFUNCTION("IMPORTRANGE(""https://docs.google.com/spreadsheets/d/1-uDff_7J0KD5mKrp0Vvzr7lt3OU09vwQwhkpOPPYv2Y/edit?usp=sharing"",""งบพรบ!AI81"")"),3200000)</f>
        <v>3200000</v>
      </c>
      <c r="N67" s="111">
        <f ca="1">IFERROR(__xludf.DUMMYFUNCTION("IMPORTRANGE(""https://docs.google.com/spreadsheets/d/1-uDff_7J0KD5mKrp0Vvzr7lt3OU09vwQwhkpOPPYv2Y/edit?usp=sharing"",""งบพรบ!AK81"")"),0)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hidden="1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hidden="1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hidden="1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0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hidden="1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hidden="1" x14ac:dyDescent="0.3">
      <c r="A72" s="128"/>
      <c r="B72" s="41"/>
      <c r="C72" s="129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0</v>
      </c>
      <c r="M72" s="132">
        <f ca="1">M73+M74</f>
        <v>0</v>
      </c>
      <c r="N72" s="132">
        <f ca="1">N73+N74</f>
        <v>0</v>
      </c>
      <c r="O72" s="132">
        <f ca="1">IF(L72&gt;0,N72*100/L72,0)</f>
        <v>0</v>
      </c>
      <c r="P72" s="132">
        <f ca="1">IF(M72&gt;0,N72*100/M72,0)</f>
        <v>0</v>
      </c>
      <c r="Q72" s="132">
        <f ca="1">Q73+Q74</f>
        <v>0</v>
      </c>
      <c r="R72" s="132">
        <f ca="1">R73+R74</f>
        <v>0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0</v>
      </c>
      <c r="M74" s="47">
        <f ca="1">M77+M80</f>
        <v>0</v>
      </c>
      <c r="N74" s="47">
        <f ca="1">N77+N80</f>
        <v>0</v>
      </c>
      <c r="O74" s="47">
        <f ca="1">IF(L74&gt;0,N74*100/L74,0)</f>
        <v>0</v>
      </c>
      <c r="P74" s="47">
        <f ca="1">IF(M74&gt;0,N74*100/M74,0)</f>
        <v>0</v>
      </c>
      <c r="Q74" s="47">
        <f ca="1">Q77+Q80</f>
        <v>0</v>
      </c>
      <c r="R74" s="47">
        <f ca="1">R77+R80</f>
        <v>0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hidden="1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0</v>
      </c>
      <c r="M75" s="47">
        <f ca="1">M76+M77</f>
        <v>0</v>
      </c>
      <c r="N75" s="47">
        <f ca="1">N76+N77</f>
        <v>0</v>
      </c>
      <c r="O75" s="47">
        <f ca="1">IF(L75&gt;0,N75*100/L75,0)</f>
        <v>0</v>
      </c>
      <c r="P75" s="47">
        <f ca="1">IF(M75&gt;0,N75*100/M75,0)</f>
        <v>0</v>
      </c>
      <c r="Q75" s="47">
        <f ca="1">Q76+Q77</f>
        <v>0</v>
      </c>
      <c r="R75" s="47">
        <f ca="1">R76+R77</f>
        <v>0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IFERROR(__xludf.DUMMYFUNCTION("IMPORTRANGE(""https://docs.google.com/spreadsheets/d/1-uDff_7J0KD5mKrp0Vvzr7lt3OU09vwQwhkpOPPYv2Y/edit?usp=sharing"",""งบพรบ!AM81"")"),0)</f>
        <v>0</v>
      </c>
      <c r="M77" s="47">
        <f ca="1">IFERROR(__xludf.DUMMYFUNCTION("IMPORTRANGE(""https://docs.google.com/spreadsheets/d/1-uDff_7J0KD5mKrp0Vvzr7lt3OU09vwQwhkpOPPYv2Y/edit?usp=sharing"",""งบพรบ!AR81"")"),0)</f>
        <v>0</v>
      </c>
      <c r="N77" s="47">
        <f ca="1">IFERROR(__xludf.DUMMYFUNCTION("IMPORTRANGE(""https://docs.google.com/spreadsheets/d/1-uDff_7J0KD5mKrp0Vvzr7lt3OU09vwQwhkpOPPYv2Y/edit?usp=sharing"",""งบพรบ!AT81"")"),0)</f>
        <v>0</v>
      </c>
      <c r="O77" s="47">
        <f ca="1">IF(L77&gt;0,N77*100/L77,0)</f>
        <v>0</v>
      </c>
      <c r="P77" s="47">
        <f ca="1">IF(M77&gt;0,N77*100/M77,0)</f>
        <v>0</v>
      </c>
      <c r="Q77" s="47">
        <f ca="1">IFERROR(__xludf.DUMMYFUNCTION("IMPORTRANGE(""https://docs.google.com/spreadsheets/d/1ItG2mGa2ceCfYo0BwxsXqNm01IGEUdYcSSLTEv9YCik/edit?usp=sharing"",""เบิกจ่ายกองทุน!BH81"")"),0)</f>
        <v>0</v>
      </c>
      <c r="R77" s="47">
        <f ca="1">IFERROR(__xludf.DUMMYFUNCTION("IMPORTRANGE(""https://docs.google.com/spreadsheets/d/1ItG2mGa2ceCfYo0BwxsXqNm01IGEUdYcSSLTEv9YCik/edit?usp=sharing"",""เบิกจ่ายกองทุน!BI81"")"),0)</f>
        <v>0</v>
      </c>
      <c r="S77" s="47">
        <f ca="1">IFERROR(__xludf.DUMMYFUNCTION("IMPORTRANGE(""https://docs.google.com/spreadsheets/d/1ItG2mGa2ceCfYo0BwxsXqNm01IGEUdYcSSLTEv9YCik/edit?usp=sharing"",""เบิกจ่ายกองทุน!BJ81"")"),0)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hidden="1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IFERROR(__xludf.DUMMYFUNCTION("IMPORTRANGE(""https://docs.google.com/spreadsheets/d/1-uDff_7J0KD5mKrp0Vvzr7lt3OU09vwQwhkpOPPYv2Y/edit?usp=sharing"",""งบพรบ!AP81"")"),0)</f>
        <v>0</v>
      </c>
      <c r="M80" s="47">
        <f ca="1">IFERROR(__xludf.DUMMYFUNCTION("IMPORTRANGE(""https://docs.google.com/spreadsheets/d/1-uDff_7J0KD5mKrp0Vvzr7lt3OU09vwQwhkpOPPYv2Y/edit?usp=sharing"",""งบพรบ!AS81"")"),0)</f>
        <v>0</v>
      </c>
      <c r="N80" s="47">
        <f ca="1">IFERROR(__xludf.DUMMYFUNCTION("IMPORTRANGE(""https://docs.google.com/spreadsheets/d/1-uDff_7J0KD5mKrp0Vvzr7lt3OU09vwQwhkpOPPYv2Y/edit?usp=sharing"",""งบพรบ!AU81"")"),0)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IFERROR(__xludf.DUMMYFUNCTION("IMPORTRANGE(""https://docs.google.com/spreadsheets/d/1ItG2mGa2ceCfYo0BwxsXqNm01IGEUdYcSSLTEv9YCik/edit?usp=sharing"",""เบิกจ่ายกองทุน!BK81"")"),0)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IFERROR(__xludf.DUMMYFUNCTION("IMPORTRANGE(""https://docs.google.com/spreadsheets/d/1ItG2mGa2ceCfYo0BwxsXqNm01IGEUdYcSSLTEv9YCik/edit?usp=sharing"",""เบิกจ่ายกองทุน!BL81"")"),0)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IFERROR(__xludf.DUMMYFUNCTION("IMPORTRANGE(""https://docs.google.com/spreadsheets/d/1ItG2mGa2ceCfYo0BwxsXqNm01IGEUdYcSSLTEv9YCik/edit?usp=sharing"",""เบิกจ่ายกองทุน!BM81"")"),0)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hidden="1" x14ac:dyDescent="0.3">
      <c r="A81" s="138"/>
      <c r="B81" s="139"/>
      <c r="C81" s="129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hidden="1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0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hidden="1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hidden="1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IFERROR(__xludf.DUMMYFUNCTION("IMPORTRANGE(""https://docs.google.com/spreadsheets/d/1eHaY18a8A9IcSdp1K8H6x8fbOy06t2VsZHhMHf-1x7Y/edit?usp=sharing"",""แผน!H81"")"),0)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hidden="1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IFERROR(__xludf.DUMMYFUNCTION("IMPORTRANGE(""https://docs.google.com/spreadsheets/d/1eHaY18a8A9IcSdp1K8H6x8fbOy06t2VsZHhMHf-1x7Y/edit?usp=sharing"",""แผน!I81"")"),0)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hidden="1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IFERROR(__xludf.DUMMYFUNCTION("IMPORTRANGE(""https://docs.google.com/spreadsheets/d/1eHaY18a8A9IcSdp1K8H6x8fbOy06t2VsZHhMHf-1x7Y/edit?usp=sharing"",""แผน!F81"")"),0)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hidden="1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IFERROR(__xludf.DUMMYFUNCTION("IMPORTRANGE(""https://docs.google.com/spreadsheets/d/1eHaY18a8A9IcSdp1K8H6x8fbOy06t2VsZHhMHf-1x7Y/edit?usp=sharing"",""แผน!G81"")"),0)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hidden="1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IFERROR(__xludf.DUMMYFUNCTION("IMPORTRANGE(""https://docs.google.com/spreadsheets/d/1eHaY18a8A9IcSdp1K8H6x8fbOy06t2VsZHhMHf-1x7Y/edit?usp=sharing"",""แผน!D81"")"),0)</f>
        <v>0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hidden="1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IFERROR(__xludf.DUMMYFUNCTION("IMPORTRANGE(""https://docs.google.com/spreadsheets/d/1eHaY18a8A9IcSdp1K8H6x8fbOy06t2VsZHhMHf-1x7Y/edit?usp=sharing"",""แผน!E81"")"),0)</f>
        <v>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hidden="1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IFERROR(__xludf.DUMMYFUNCTION("IMPORTRANGE(""https://docs.google.com/spreadsheets/d/1eHaY18a8A9IcSdp1K8H6x8fbOy06t2VsZHhMHf-1x7Y/edit?usp=sharing"",""แผน!J81"")"),0)</f>
        <v>0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30</v>
      </c>
      <c r="K92" s="35">
        <f ca="1">IF(I92&gt;0,J92*100/I92,0)</f>
        <v>100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10</v>
      </c>
      <c r="K93" s="35">
        <f ca="1">IF(I93&gt;0,J93*100/I93,0)</f>
        <v>100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7200</v>
      </c>
      <c r="T94" s="132">
        <f ca="1">IF(Q94&gt;0,S94*100/Q94,0)</f>
        <v>8.5287846481876333</v>
      </c>
      <c r="U94" s="132">
        <f ca="1">IF(R94&gt;0,S94*100/R94,0)</f>
        <v>8.5287846481876333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7200</v>
      </c>
      <c r="T96" s="47">
        <f ca="1">IF(Q96&gt;0,S96*100/Q96,0)</f>
        <v>8.5287846481876333</v>
      </c>
      <c r="U96" s="47">
        <f ca="1">IF(R96&gt;0,S96*100/R96,0)</f>
        <v>8.5287846481876333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7200</v>
      </c>
      <c r="T97" s="47">
        <f ca="1">IF(Q97&gt;0,S97*100/Q97,0)</f>
        <v>8.5287846481876333</v>
      </c>
      <c r="U97" s="47">
        <f ca="1">IF(R97&gt;0,S97*100/R97,0)</f>
        <v>8.5287846481876333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IFERROR(__xludf.DUMMYFUNCTION("IMPORTRANGE(""https://docs.google.com/spreadsheets/d/1-uDff_7J0KD5mKrp0Vvzr7lt3OU09vwQwhkpOPPYv2Y/edit?usp=sharing"",""งบพรบ!AW81"")"),0)</f>
        <v>0</v>
      </c>
      <c r="M99" s="47">
        <f ca="1">IFERROR(__xludf.DUMMYFUNCTION("IMPORTRANGE(""https://docs.google.com/spreadsheets/d/1-uDff_7J0KD5mKrp0Vvzr7lt3OU09vwQwhkpOPPYv2Y/edit?usp=sharing"",""งบพรบ!BB81"")"),6000)</f>
        <v>6000</v>
      </c>
      <c r="N99" s="47">
        <f ca="1">IFERROR(__xludf.DUMMYFUNCTION("IMPORTRANGE(""https://docs.google.com/spreadsheets/d/1-uDff_7J0KD5mKrp0Vvzr7lt3OU09vwQwhkpOPPYv2Y/edit?usp=sharing"",""งบพรบ!BD81"")"),0)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IFERROR(__xludf.DUMMYFUNCTION("IMPORTRANGE(""https://docs.google.com/spreadsheets/d/1ItG2mGa2ceCfYo0BwxsXqNm01IGEUdYcSSLTEv9YCik/edit?usp=sharing"",""เบิกจ่ายกองทุน!AJ81"")"),84420)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IFERROR(__xludf.DUMMYFUNCTION("IMPORTRANGE(""https://docs.google.com/spreadsheets/d/1ItG2mGa2ceCfYo0BwxsXqNm01IGEUdYcSSLTEv9YCik/edit?usp=sharing"",""เบิกจ่ายกองทุน!AK81"")"),84420)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IFERROR(__xludf.DUMMYFUNCTION("IMPORTRANGE(""https://docs.google.com/spreadsheets/d/1ItG2mGa2ceCfYo0BwxsXqNm01IGEUdYcSSLTEv9YCik/edit?usp=sharing"",""เบิกจ่ายกองทุน!AL81"")"),7200)</f>
        <v>7200</v>
      </c>
      <c r="T99" s="47">
        <f ca="1">IF(Q99&gt;0,S99*100/Q99,0)</f>
        <v>8.5287846481876333</v>
      </c>
      <c r="U99" s="47">
        <f ca="1">IF(R99&gt;0,S99*100/R99,0)</f>
        <v>8.5287846481876333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IFERROR(__xludf.DUMMYFUNCTION("IMPORTRANGE(""https://docs.google.com/spreadsheets/d/1-uDff_7J0KD5mKrp0Vvzr7lt3OU09vwQwhkpOPPYv2Y/edit?usp=sharing"",""งบพรบ!AZ81"")"),0)</f>
        <v>0</v>
      </c>
      <c r="M102" s="47">
        <f ca="1">IFERROR(__xludf.DUMMYFUNCTION("IMPORTRANGE(""https://docs.google.com/spreadsheets/d/1-uDff_7J0KD5mKrp0Vvzr7lt3OU09vwQwhkpOPPYv2Y/edit?usp=sharing"",""งบพรบ!BC81"")"),0)</f>
        <v>0</v>
      </c>
      <c r="N102" s="47">
        <f ca="1">IFERROR(__xludf.DUMMYFUNCTION("IMPORTRANGE(""https://docs.google.com/spreadsheets/d/1-uDff_7J0KD5mKrp0Vvzr7lt3OU09vwQwhkpOPPYv2Y/edit?usp=sharing"",""งบพรบ!BE81"")"),0)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IFERROR(__xludf.DUMMYFUNCTION("IMPORTRANGE(""https://docs.google.com/spreadsheets/d/1eHaY18a8A9IcSdp1K8H6x8fbOy06t2VsZHhMHf-1x7Y/edit?usp=sharing"",""แผน!N81"")"),30)</f>
        <v>30</v>
      </c>
      <c r="J108" s="167">
        <v>30</v>
      </c>
      <c r="K108" s="47">
        <f ca="1">IF(I108&gt;0,J108*100/I108,0)</f>
        <v>100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IFERROR(__xludf.DUMMYFUNCTION("IMPORTRANGE(""https://docs.google.com/spreadsheets/d/1eHaY18a8A9IcSdp1K8H6x8fbOy06t2VsZHhMHf-1x7Y/edit?usp=sharing"",""แผน!O81"")"),10)</f>
        <v>10</v>
      </c>
      <c r="J109" s="167">
        <v>10</v>
      </c>
      <c r="K109" s="47">
        <f ca="1">IF(I109&gt;0,J109*100/I109,0)</f>
        <v>100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IFERROR(__xludf.DUMMYFUNCTION("IMPORTRANGE(""https://docs.google.com/spreadsheets/d/1eHaY18a8A9IcSdp1K8H6x8fbOy06t2VsZHhMHf-1x7Y/edit?usp=sharing"",""แผน!N81"")"),30)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IFERROR(__xludf.DUMMYFUNCTION("IMPORTRANGE(""https://docs.google.com/spreadsheets/d/1eHaY18a8A9IcSdp1K8H6x8fbOy06t2VsZHhMHf-1x7Y/edit?usp=sharing"",""แผน!O81"")"),10)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15</v>
      </c>
      <c r="K116" s="35">
        <f ca="1">IF(I116&gt;0,J116*100/I116,0)</f>
        <v>100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191460</v>
      </c>
      <c r="R117" s="132">
        <f ca="1">R118+R119</f>
        <v>191460</v>
      </c>
      <c r="S117" s="132">
        <f ca="1">S118+S119</f>
        <v>105224</v>
      </c>
      <c r="T117" s="132">
        <f ca="1">IF(Q117&gt;0,S117*100/Q117,0)</f>
        <v>54.958738117622481</v>
      </c>
      <c r="U117" s="132">
        <f ca="1">IF(R117&gt;0,S117*100/R117,0)</f>
        <v>54.958738117622481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191460</v>
      </c>
      <c r="R119" s="47">
        <f ca="1">R122+R125</f>
        <v>191460</v>
      </c>
      <c r="S119" s="47">
        <f ca="1">S122+S125</f>
        <v>105224</v>
      </c>
      <c r="T119" s="47">
        <f ca="1">IF(Q119&gt;0,S119*100/Q119,0)</f>
        <v>54.958738117622481</v>
      </c>
      <c r="U119" s="47">
        <f ca="1">IF(R119&gt;0,S119*100/R119,0)</f>
        <v>54.958738117622481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191460</v>
      </c>
      <c r="S120" s="47">
        <f ca="1">S121+S122</f>
        <v>105224</v>
      </c>
      <c r="T120" s="47">
        <f ca="1">IF(Q120&gt;0,S120*100/Q120,0)</f>
        <v>54.958738117622481</v>
      </c>
      <c r="U120" s="47">
        <f ca="1">IF(R120&gt;0,S120*100/R120,0)</f>
        <v>54.958738117622481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IFERROR(__xludf.DUMMYFUNCTION("IMPORTRANGE(""https://docs.google.com/spreadsheets/d/1-uDff_7J0KD5mKrp0Vvzr7lt3OU09vwQwhkpOPPYv2Y/edit?usp=sharing"",""งบพรบ!BG81"")"),0)</f>
        <v>0</v>
      </c>
      <c r="M122" s="47">
        <f ca="1">IFERROR(__xludf.DUMMYFUNCTION("IMPORTRANGE(""https://docs.google.com/spreadsheets/d/1-uDff_7J0KD5mKrp0Vvzr7lt3OU09vwQwhkpOPPYv2Y/edit?usp=sharing"",""งบพรบ!BL81"")"),0)</f>
        <v>0</v>
      </c>
      <c r="N122" s="47">
        <f ca="1">IFERROR(__xludf.DUMMYFUNCTION("IMPORTRANGE(""https://docs.google.com/spreadsheets/d/1-uDff_7J0KD5mKrp0Vvzr7lt3OU09vwQwhkpOPPYv2Y/edit?usp=sharing"",""งบพรบ!BN81"")"),0)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IFERROR(__xludf.DUMMYFUNCTION("IMPORTRANGE(""https://docs.google.com/spreadsheets/d/1ItG2mGa2ceCfYo0BwxsXqNm01IGEUdYcSSLTEv9YCik/edit?usp=sharing"",""เบิกจ่ายกองทุน!U81"")"),191460)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IFERROR(__xludf.DUMMYFUNCTION("IMPORTRANGE(""https://docs.google.com/spreadsheets/d/1ItG2mGa2ceCfYo0BwxsXqNm01IGEUdYcSSLTEv9YCik/edit?usp=sharing"",""เบิกจ่ายกองทุน!V81"")"),191460)</f>
        <v>191460</v>
      </c>
      <c r="S122" s="47">
        <f ca="1">IFERROR(__xludf.DUMMYFUNCTION("IMPORTRANGE(""https://docs.google.com/spreadsheets/d/1ItG2mGa2ceCfYo0BwxsXqNm01IGEUdYcSSLTEv9YCik/edit?usp=sharing"",""เบิกจ่ายกองทุน!W81"")"),105224)</f>
        <v>105224</v>
      </c>
      <c r="T122" s="47">
        <f ca="1">IF(Q122&gt;0,S122*100/Q122,0)</f>
        <v>54.958738117622481</v>
      </c>
      <c r="U122" s="47">
        <f ca="1">IF(R122&gt;0,S122*100/R122,0)</f>
        <v>54.958738117622481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0</v>
      </c>
      <c r="R123" s="47">
        <f ca="1">R124+R125</f>
        <v>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IFERROR(__xludf.DUMMYFUNCTION("IMPORTRANGE(""https://docs.google.com/spreadsheets/d/1-uDff_7J0KD5mKrp0Vvzr7lt3OU09vwQwhkpOPPYv2Y/edit?usp=sharing"",""งบพรบ!BJ81"")"),0)</f>
        <v>0</v>
      </c>
      <c r="M125" s="47">
        <f ca="1">IFERROR(__xludf.DUMMYFUNCTION("IMPORTRANGE(""https://docs.google.com/spreadsheets/d/1-uDff_7J0KD5mKrp0Vvzr7lt3OU09vwQwhkpOPPYv2Y/edit?usp=sharing"",""งบพรบ!BM81"")"),0)</f>
        <v>0</v>
      </c>
      <c r="N125" s="47">
        <f ca="1">IFERROR(__xludf.DUMMYFUNCTION("IMPORTRANGE(""https://docs.google.com/spreadsheets/d/1-uDff_7J0KD5mKrp0Vvzr7lt3OU09vwQwhkpOPPYv2Y/edit?usp=sharing"",""งบพรบ!BO81"")"),0)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IFERROR(__xludf.DUMMYFUNCTION("IMPORTRANGE(""https://docs.google.com/spreadsheets/d/1ItG2mGa2ceCfYo0BwxsXqNm01IGEUdYcSSLTEv9YCik/edit?usp=sharing"",""เบิกจ่ายกองทุน!X81"")"),0)</f>
        <v>0</v>
      </c>
      <c r="R125" s="47">
        <f ca="1">IFERROR(__xludf.DUMMYFUNCTION("IMPORTRANGE(""https://docs.google.com/spreadsheets/d/1ItG2mGa2ceCfYo0BwxsXqNm01IGEUdYcSSLTEv9YCik/edit?usp=sharing"",""เบิกจ่ายกองทุน!Y81"")"),0)</f>
        <v>0</v>
      </c>
      <c r="S125" s="47">
        <f ca="1">IFERROR(__xludf.DUMMYFUNCTION("IMPORTRANGE(""https://docs.google.com/spreadsheets/d/1ItG2mGa2ceCfYo0BwxsXqNm01IGEUdYcSSLTEv9YCik/edit?usp=sharing"",""เบิกจ่ายกองทุน!Z81"")"),0)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IFERROR(__xludf.DUMMYFUNCTION("IMPORTRANGE(""https://docs.google.com/spreadsheets/d/1eHaY18a8A9IcSdp1K8H6x8fbOy06t2VsZHhMHf-1x7Y/edit?usp=sharing"",""แผน!FF81"")"),15)</f>
        <v>15</v>
      </c>
      <c r="J127" s="167">
        <v>15</v>
      </c>
      <c r="K127" s="47">
        <f ca="1">IF(I127&gt;0,J127*100/I127,0)</f>
        <v>100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IFERROR(__xludf.DUMMYFUNCTION("IMPORTRANGE(""https://docs.google.com/spreadsheets/d/1eHaY18a8A9IcSdp1K8H6x8fbOy06t2VsZHhMHf-1x7Y/edit?usp=sharing"",""แผน!FG81"")"),0)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IFERROR(__xludf.DUMMYFUNCTION("IMPORTRANGE(""https://docs.google.com/spreadsheets/d/1eHaY18a8A9IcSdp1K8H6x8fbOy06t2VsZHhMHf-1x7Y/edit?usp=sharing"",""แผน!FH81"")"),15)</f>
        <v>15</v>
      </c>
      <c r="J129" s="167">
        <v>15</v>
      </c>
      <c r="K129" s="47">
        <f ca="1">IF(I129&gt;0,J129*100/I129,0)</f>
        <v>100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IFERROR(__xludf.DUMMYFUNCTION("IMPORTRANGE(""https://docs.google.com/spreadsheets/d/1eHaY18a8A9IcSdp1K8H6x8fbOy06t2VsZHhMHf-1x7Y/edit?usp=sharing"",""แผน!FI81"")"),0)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hidden="1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hidden="1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hidden="1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0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hidden="1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hidden="1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0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hidden="1" x14ac:dyDescent="0.3">
      <c r="A139" s="128"/>
      <c r="B139" s="41"/>
      <c r="C139" s="129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0</v>
      </c>
      <c r="M139" s="132">
        <f ca="1">M140+M141</f>
        <v>0</v>
      </c>
      <c r="N139" s="132">
        <f ca="1">N140+N141</f>
        <v>0</v>
      </c>
      <c r="O139" s="132">
        <f ca="1">IF(L139&gt;0,N139*100/L139,0)</f>
        <v>0</v>
      </c>
      <c r="P139" s="132">
        <f ca="1">IF(M139&gt;0,N139*100/M139,0)</f>
        <v>0</v>
      </c>
      <c r="Q139" s="132">
        <f ca="1">Q140+Q141</f>
        <v>0</v>
      </c>
      <c r="R139" s="132">
        <f ca="1">R140+R141</f>
        <v>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0</v>
      </c>
      <c r="M141" s="47">
        <f ca="1">M144+M147</f>
        <v>0</v>
      </c>
      <c r="N141" s="47">
        <f ca="1">N144+N147</f>
        <v>0</v>
      </c>
      <c r="O141" s="47">
        <f ca="1">IF(L141&gt;0,N141*100/L141,0)</f>
        <v>0</v>
      </c>
      <c r="P141" s="47">
        <f ca="1">IF(M141&gt;0,N141*100/M141,0)</f>
        <v>0</v>
      </c>
      <c r="Q141" s="47">
        <f ca="1">Q144+Q147</f>
        <v>0</v>
      </c>
      <c r="R141" s="47">
        <f ca="1">R144+R147</f>
        <v>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hidden="1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0</v>
      </c>
      <c r="M142" s="47">
        <f ca="1">M143+M144</f>
        <v>0</v>
      </c>
      <c r="N142" s="47">
        <f ca="1">N143+N144</f>
        <v>0</v>
      </c>
      <c r="O142" s="47">
        <f ca="1">IF(L142&gt;0,N142*100/L142,0)</f>
        <v>0</v>
      </c>
      <c r="P142" s="47">
        <f ca="1">IF(M142&gt;0,N142*100/M142,0)</f>
        <v>0</v>
      </c>
      <c r="Q142" s="47">
        <f ca="1">Q143+Q144</f>
        <v>0</v>
      </c>
      <c r="R142" s="47">
        <f ca="1">R143+R144</f>
        <v>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IFERROR(__xludf.DUMMYFUNCTION("IMPORTRANGE(""https://docs.google.com/spreadsheets/d/1-uDff_7J0KD5mKrp0Vvzr7lt3OU09vwQwhkpOPPYv2Y/edit?usp=sharing"",""งบพรบ!BQ81"")"),0)</f>
        <v>0</v>
      </c>
      <c r="M144" s="47">
        <f ca="1">IFERROR(__xludf.DUMMYFUNCTION("IMPORTRANGE(""https://docs.google.com/spreadsheets/d/1-uDff_7J0KD5mKrp0Vvzr7lt3OU09vwQwhkpOPPYv2Y/edit?usp=sharing"",""งบพรบ!BV81"")"),0)</f>
        <v>0</v>
      </c>
      <c r="N144" s="47">
        <f ca="1">IFERROR(__xludf.DUMMYFUNCTION("IMPORTRANGE(""https://docs.google.com/spreadsheets/d/1-uDff_7J0KD5mKrp0Vvzr7lt3OU09vwQwhkpOPPYv2Y/edit?usp=sharing"",""งบพรบ!BX81"")"),0)</f>
        <v>0</v>
      </c>
      <c r="O144" s="47">
        <f ca="1">IF(L144&gt;0,N144*100/L144,0)</f>
        <v>0</v>
      </c>
      <c r="P144" s="47">
        <f ca="1">IF(M144&gt;0,N144*100/M144,0)</f>
        <v>0</v>
      </c>
      <c r="Q144" s="47">
        <f ca="1">IFERROR(__xludf.DUMMYFUNCTION("IMPORTRANGE(""https://docs.google.com/spreadsheets/d/1ItG2mGa2ceCfYo0BwxsXqNm01IGEUdYcSSLTEv9YCik/edit?usp=sharing"",""เบิกจ่ายกองทุน!CF81"")"),0)</f>
        <v>0</v>
      </c>
      <c r="R144" s="47">
        <f ca="1">IFERROR(__xludf.DUMMYFUNCTION("IMPORTRANGE(""https://docs.google.com/spreadsheets/d/1ItG2mGa2ceCfYo0BwxsXqNm01IGEUdYcSSLTEv9YCik/edit?usp=sharing"",""เบิกจ่ายกองทุน!CG81"")"),0)</f>
        <v>0</v>
      </c>
      <c r="S144" s="47">
        <f ca="1">IFERROR(__xludf.DUMMYFUNCTION("IMPORTRANGE(""https://docs.google.com/spreadsheets/d/1ItG2mGa2ceCfYo0BwxsXqNm01IGEUdYcSSLTEv9YCik/edit?usp=sharing"",""เบิกจ่ายกองทุน!CH81"")"),0)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hidden="1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IFERROR(__xludf.DUMMYFUNCTION("IMPORTRANGE(""https://docs.google.com/spreadsheets/d/1-uDff_7J0KD5mKrp0Vvzr7lt3OU09vwQwhkpOPPYv2Y/edit?usp=sharing"",""งบพรบ!BT81"")"),0)</f>
        <v>0</v>
      </c>
      <c r="M147" s="47">
        <f ca="1">IFERROR(__xludf.DUMMYFUNCTION("IMPORTRANGE(""https://docs.google.com/spreadsheets/d/1-uDff_7J0KD5mKrp0Vvzr7lt3OU09vwQwhkpOPPYv2Y/edit?usp=sharing"",""งบพรบ!BW81"")"),0)</f>
        <v>0</v>
      </c>
      <c r="N147" s="47">
        <f ca="1">IFERROR(__xludf.DUMMYFUNCTION("IMPORTRANGE(""https://docs.google.com/spreadsheets/d/1-uDff_7J0KD5mKrp0Vvzr7lt3OU09vwQwhkpOPPYv2Y/edit?usp=sharing"",""งบพรบ!BY81"")"),0)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IFERROR(__xludf.DUMMYFUNCTION("IMPORTRANGE(""https://docs.google.com/spreadsheets/d/1ItG2mGa2ceCfYo0BwxsXqNm01IGEUdYcSSLTEv9YCik/edit?usp=sharing"",""เบิกจ่ายกองทุน!CI81"")"),0)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IFERROR(__xludf.DUMMYFUNCTION("IMPORTRANGE(""https://docs.google.com/spreadsheets/d/1ItG2mGa2ceCfYo0BwxsXqNm01IGEUdYcSSLTEv9YCik/edit?usp=sharing"",""เบิกจ่ายกองทุน!CJ81"")"),0)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IFERROR(__xludf.DUMMYFUNCTION("IMPORTRANGE(""https://docs.google.com/spreadsheets/d/1ItG2mGa2ceCfYo0BwxsXqNm01IGEUdYcSSLTEv9YCik/edit?usp=sharing"",""เบิกจ่ายกองทุน!CK81"")"),0)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hidden="1" x14ac:dyDescent="0.3">
      <c r="A148" s="138"/>
      <c r="B148" s="139"/>
      <c r="C148" s="129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hidden="1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hidden="1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IFERROR(__xludf.DUMMYFUNCTION("IMPORTRANGE(""https://docs.google.com/spreadsheets/d/1eHaY18a8A9IcSdp1K8H6x8fbOy06t2VsZHhMHf-1x7Y/edit?usp=sharing"",""แผน!U81"")"),0)</f>
        <v>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hidden="1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IFERROR(__xludf.DUMMYFUNCTION("IMPORTRANGE(""https://docs.google.com/spreadsheets/d/1eHaY18a8A9IcSdp1K8H6x8fbOy06t2VsZHhMHf-1x7Y/edit?usp=sharing"",""แผน!V81"")"),0)</f>
        <v>0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hidden="1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IFERROR(__xludf.DUMMYFUNCTION("IMPORTRANGE(""https://docs.google.com/spreadsheets/d/1eHaY18a8A9IcSdp1K8H6x8fbOy06t2VsZHhMHf-1x7Y/edit?usp=sharing"",""แผน!W81"")"),0)</f>
        <v>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hidden="1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IFERROR(__xludf.DUMMYFUNCTION("IMPORTRANGE(""https://docs.google.com/spreadsheets/d/1eHaY18a8A9IcSdp1K8H6x8fbOy06t2VsZHhMHf-1x7Y/edit?usp=sharing"",""แผน!X81"")"),0)</f>
        <v>0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hidden="1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IFERROR(__xludf.DUMMYFUNCTION("IMPORTRANGE(""https://docs.google.com/spreadsheets/d/1eHaY18a8A9IcSdp1K8H6x8fbOy06t2VsZHhMHf-1x7Y/edit?usp=sharing"",""แผน!Y81"")"),0)</f>
        <v>0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x14ac:dyDescent="0.3">
      <c r="A157" s="128"/>
      <c r="B157" s="41"/>
      <c r="C157" s="386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12060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12060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12060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IFERROR(__xludf.DUMMYFUNCTION("IMPORTRANGE(""https://docs.google.com/spreadsheets/d/1-uDff_7J0KD5mKrp0Vvzr7lt3OU09vwQwhkpOPPYv2Y/edit?usp=sharing"",""งบพรบ!CA81"")"),0)</f>
        <v>0</v>
      </c>
      <c r="M162" s="47">
        <f ca="1">IFERROR(__xludf.DUMMYFUNCTION("IMPORTRANGE(""https://docs.google.com/spreadsheets/d/1-uDff_7J0KD5mKrp0Vvzr7lt3OU09vwQwhkpOPPYv2Y/edit?usp=sharing"",""งบพรบ!CF81"")"),12060)</f>
        <v>12060</v>
      </c>
      <c r="N162" s="47">
        <f ca="1">IFERROR(__xludf.DUMMYFUNCTION("IMPORTRANGE(""https://docs.google.com/spreadsheets/d/1-uDff_7J0KD5mKrp0Vvzr7lt3OU09vwQwhkpOPPYv2Y/edit?usp=sharing"",""งบพรบ!CH81"")"),0)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IFERROR(__xludf.DUMMYFUNCTION("IMPORTRANGE(""https://docs.google.com/spreadsheets/d/1ItG2mGa2ceCfYo0BwxsXqNm01IGEUdYcSSLTEv9YCik/edit?usp=sharing"",""เบิกจ่ายกองทุน!AM81"")"),0)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IFERROR(__xludf.DUMMYFUNCTION("IMPORTRANGE(""https://docs.google.com/spreadsheets/d/1ItG2mGa2ceCfYo0BwxsXqNm01IGEUdYcSSLTEv9YCik/edit?usp=sharing"",""เบิกจ่ายกองทุน!AN81"")"),0)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IFERROR(__xludf.DUMMYFUNCTION("IMPORTRANGE(""https://docs.google.com/spreadsheets/d/1ItG2mGa2ceCfYo0BwxsXqNm01IGEUdYcSSLTEv9YCik/edit?usp=sharing"",""เบิกจ่ายกองทุน!AO81"")"),0)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IFERROR(__xludf.DUMMYFUNCTION("IMPORTRANGE(""https://docs.google.com/spreadsheets/d/1-uDff_7J0KD5mKrp0Vvzr7lt3OU09vwQwhkpOPPYv2Y/edit?usp=sharing"",""งบพรบ!CD81"")"),0)</f>
        <v>0</v>
      </c>
      <c r="M165" s="47">
        <f ca="1">IFERROR(__xludf.DUMMYFUNCTION("IMPORTRANGE(""https://docs.google.com/spreadsheets/d/1-uDff_7J0KD5mKrp0Vvzr7lt3OU09vwQwhkpOPPYv2Y/edit?usp=sharing"",""งบพรบ!CG81"")"),0)</f>
        <v>0</v>
      </c>
      <c r="N165" s="47">
        <f ca="1">IFERROR(__xludf.DUMMYFUNCTION("IMPORTRANGE(""https://docs.google.com/spreadsheets/d/1-uDff_7J0KD5mKrp0Vvzr7lt3OU09vwQwhkpOPPYv2Y/edit?usp=sharing"",""งบพรบ!CI81"")"),0)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IFERROR(__xludf.DUMMYFUNCTION("IMPORTRANGE(""https://docs.google.com/spreadsheets/d/1eHaY18a8A9IcSdp1K8H6x8fbOy06t2VsZHhMHf-1x7Y/edit?usp=sharing"",""แผน!Z81"")"),0)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IFERROR(__xludf.DUMMYFUNCTION("IMPORTRANGE(""https://docs.google.com/spreadsheets/d/1eHaY18a8A9IcSdp1K8H6x8fbOy06t2VsZHhMHf-1x7Y/edit?usp=sharing"",""แผน!Z81"")"),0)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IFERROR(__xludf.DUMMYFUNCTION("IMPORTRANGE(""https://docs.google.com/spreadsheets/d/1eHaY18a8A9IcSdp1K8H6x8fbOy06t2VsZHhMHf-1x7Y/edit?usp=sharing"",""แผน!Z81"")"),0)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7</v>
      </c>
      <c r="J172" s="214">
        <f>J183+J184</f>
        <v>7</v>
      </c>
      <c r="K172" s="215">
        <f ca="1">IF(I172&gt;0,J172*100/I172,0)</f>
        <v>100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x14ac:dyDescent="0.3">
      <c r="A173" s="128"/>
      <c r="B173" s="41"/>
      <c r="C173" s="386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19590</v>
      </c>
      <c r="M173" s="132">
        <f ca="1">M174+M175</f>
        <v>36580</v>
      </c>
      <c r="N173" s="132">
        <f ca="1">N174+N175</f>
        <v>36580</v>
      </c>
      <c r="O173" s="132">
        <f ca="1">IF(L173&gt;0,N173*100/L173,0)</f>
        <v>186.72792240939253</v>
      </c>
      <c r="P173" s="132">
        <f ca="1">IF(M173&gt;0,N173*100/M173,0)</f>
        <v>100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19590</v>
      </c>
      <c r="M175" s="47">
        <f ca="1">M178+M181</f>
        <v>36580</v>
      </c>
      <c r="N175" s="47">
        <f ca="1">N178+N181</f>
        <v>36580</v>
      </c>
      <c r="O175" s="47">
        <f ca="1">IF(L175&gt;0,N175*100/L175,0)</f>
        <v>186.72792240939253</v>
      </c>
      <c r="P175" s="47">
        <f ca="1">IF(M175&gt;0,N175*100/M175,0)</f>
        <v>100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19590</v>
      </c>
      <c r="M176" s="47">
        <f ca="1">M177+M178</f>
        <v>36580</v>
      </c>
      <c r="N176" s="47">
        <f ca="1">N177+N178</f>
        <v>36580</v>
      </c>
      <c r="O176" s="47">
        <f ca="1">IF(L176&gt;0,N176*100/L176,0)</f>
        <v>186.72792240939253</v>
      </c>
      <c r="P176" s="47">
        <f ca="1">IF(M176&gt;0,N176*100/M176,0)</f>
        <v>100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IFERROR(__xludf.DUMMYFUNCTION("IMPORTRANGE(""https://docs.google.com/spreadsheets/d/1-uDff_7J0KD5mKrp0Vvzr7lt3OU09vwQwhkpOPPYv2Y/edit?usp=sharing"",""งบพรบ!CK81"")"),19590)</f>
        <v>19590</v>
      </c>
      <c r="M178" s="47">
        <f ca="1">IFERROR(__xludf.DUMMYFUNCTION("IMPORTRANGE(""https://docs.google.com/spreadsheets/d/1-uDff_7J0KD5mKrp0Vvzr7lt3OU09vwQwhkpOPPYv2Y/edit?usp=sharing"",""งบพรบ!CP81"")"),36580)</f>
        <v>36580</v>
      </c>
      <c r="N178" s="47">
        <f ca="1">IFERROR(__xludf.DUMMYFUNCTION("IMPORTRANGE(""https://docs.google.com/spreadsheets/d/1-uDff_7J0KD5mKrp0Vvzr7lt3OU09vwQwhkpOPPYv2Y/edit?usp=sharing"",""งบพรบ!CR81"")"),36580)</f>
        <v>36580</v>
      </c>
      <c r="O178" s="47">
        <f ca="1">IF(L178&gt;0,N178*100/L178,0)</f>
        <v>186.72792240939253</v>
      </c>
      <c r="P178" s="47">
        <f ca="1">IF(M178&gt;0,N178*100/M178,0)</f>
        <v>100</v>
      </c>
      <c r="Q178" s="47">
        <f ca="1">IFERROR(__xludf.DUMMYFUNCTION("IMPORTRANGE(""https://docs.google.com/spreadsheets/d/1ItG2mGa2ceCfYo0BwxsXqNm01IGEUdYcSSLTEv9YCik/edit?usp=sharing"",""เบิกจ่ายกองทุน!DG81"")"),0)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IFERROR(__xludf.DUMMYFUNCTION("IMPORTRANGE(""https://docs.google.com/spreadsheets/d/1ItG2mGa2ceCfYo0BwxsXqNm01IGEUdYcSSLTEv9YCik/edit?usp=sharing"",""เบิกจ่ายกองทุน!DH81"")"),0)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IFERROR(__xludf.DUMMYFUNCTION("IMPORTRANGE(""https://docs.google.com/spreadsheets/d/1ItG2mGa2ceCfYo0BwxsXqNm01IGEUdYcSSLTEv9YCik/edit?usp=sharing"",""เบิกจ่ายกองทุน!DI81"")"),0)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IFERROR(__xludf.DUMMYFUNCTION("IMPORTRANGE(""https://docs.google.com/spreadsheets/d/1-uDff_7J0KD5mKrp0Vvzr7lt3OU09vwQwhkpOPPYv2Y/edit?usp=sharing"",""งบพรบ!CN81"")"),0)</f>
        <v>0</v>
      </c>
      <c r="M181" s="47">
        <f ca="1">IFERROR(__xludf.DUMMYFUNCTION("IMPORTRANGE(""https://docs.google.com/spreadsheets/d/1-uDff_7J0KD5mKrp0Vvzr7lt3OU09vwQwhkpOPPYv2Y/edit?usp=sharing"",""งบพรบ!CQ81"")"),0)</f>
        <v>0</v>
      </c>
      <c r="N181" s="47">
        <f ca="1">IFERROR(__xludf.DUMMYFUNCTION("IMPORTRANGE(""https://docs.google.com/spreadsheets/d/1-uDff_7J0KD5mKrp0Vvzr7lt3OU09vwQwhkpOPPYv2Y/edit?usp=sharing"",""งบพรบ!CS81"")"),0)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x14ac:dyDescent="0.3">
      <c r="A182" s="138"/>
      <c r="B182" s="139"/>
      <c r="C182" s="386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IFERROR(__xludf.DUMMYFUNCTION("IMPORTRANGE(""https://docs.google.com/spreadsheets/d/1eHaY18a8A9IcSdp1K8H6x8fbOy06t2VsZHhMHf-1x7Y/edit?usp=sharing"",""แผน!AA81"")"),7)</f>
        <v>7</v>
      </c>
      <c r="J183" s="167">
        <v>7</v>
      </c>
      <c r="K183" s="47">
        <f ca="1">IF(I183&gt;0,J183*100/I183,0)</f>
        <v>100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105500</v>
      </c>
      <c r="M186" s="132">
        <f ca="1">M187+M188</f>
        <v>105500</v>
      </c>
      <c r="N186" s="132">
        <f ca="1">N187+N188</f>
        <v>92950.5</v>
      </c>
      <c r="O186" s="132">
        <f ca="1">IF(L186&gt;0,N186*100/L186,0)</f>
        <v>88.104739336492898</v>
      </c>
      <c r="P186" s="132">
        <f ca="1">IF(M186&gt;0,N186*100/M186,0)</f>
        <v>88.104739336492898</v>
      </c>
      <c r="Q186" s="132">
        <f ca="1">Q187+Q188</f>
        <v>28000</v>
      </c>
      <c r="R186" s="132">
        <f ca="1">R187+R188</f>
        <v>28000</v>
      </c>
      <c r="S186" s="132">
        <f ca="1">S187+S188</f>
        <v>28000</v>
      </c>
      <c r="T186" s="132">
        <f ca="1">IF(Q186&gt;0,S186*100/Q186,0)</f>
        <v>100</v>
      </c>
      <c r="U186" s="132">
        <f ca="1">IF(R186&gt;0,S186*100/R186,0)</f>
        <v>100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105500</v>
      </c>
      <c r="M188" s="47">
        <f ca="1">M191+M194</f>
        <v>105500</v>
      </c>
      <c r="N188" s="47">
        <f ca="1">N191+N194</f>
        <v>92950.5</v>
      </c>
      <c r="O188" s="47">
        <f ca="1">IF(L188&gt;0,N188*100/L188,0)</f>
        <v>88.104739336492898</v>
      </c>
      <c r="P188" s="47">
        <f ca="1">IF(M188&gt;0,N188*100/M188,0)</f>
        <v>88.104739336492898</v>
      </c>
      <c r="Q188" s="47">
        <f ca="1">Q191+Q194</f>
        <v>28000</v>
      </c>
      <c r="R188" s="47">
        <f ca="1">R191+R194</f>
        <v>28000</v>
      </c>
      <c r="S188" s="47">
        <f ca="1">S191+S194</f>
        <v>28000</v>
      </c>
      <c r="T188" s="47">
        <f ca="1">IF(Q188&gt;0,S188*100/Q188,0)</f>
        <v>100</v>
      </c>
      <c r="U188" s="47">
        <f ca="1">IF(R188&gt;0,S188*100/R188,0)</f>
        <v>100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105500</v>
      </c>
      <c r="M189" s="47">
        <f ca="1">M190+M191</f>
        <v>105500</v>
      </c>
      <c r="N189" s="47">
        <f ca="1">N190+N191</f>
        <v>92950.5</v>
      </c>
      <c r="O189" s="47">
        <f ca="1">IF(L189&gt;0,N189*100/L189,0)</f>
        <v>88.104739336492898</v>
      </c>
      <c r="P189" s="47">
        <f ca="1">IF(M189&gt;0,N189*100/M189,0)</f>
        <v>88.104739336492898</v>
      </c>
      <c r="Q189" s="47">
        <f ca="1">Q190+Q191</f>
        <v>28000</v>
      </c>
      <c r="R189" s="47">
        <f ca="1">R190+R191</f>
        <v>28000</v>
      </c>
      <c r="S189" s="47">
        <f ca="1">S190+S191</f>
        <v>28000</v>
      </c>
      <c r="T189" s="47">
        <f ca="1">IF(Q189&gt;0,S189*100/Q189,0)</f>
        <v>100</v>
      </c>
      <c r="U189" s="47">
        <f ca="1">IF(R189&gt;0,S189*100/R189,0)</f>
        <v>100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IFERROR(__xludf.DUMMYFUNCTION("IMPORTRANGE(""https://docs.google.com/spreadsheets/d/1-uDff_7J0KD5mKrp0Vvzr7lt3OU09vwQwhkpOPPYv2Y/edit?usp=sharing"",""งบพรบ!CU81"")"),105500)</f>
        <v>105500</v>
      </c>
      <c r="M191" s="47">
        <f ca="1">IFERROR(__xludf.DUMMYFUNCTION("IMPORTRANGE(""https://docs.google.com/spreadsheets/d/1-uDff_7J0KD5mKrp0Vvzr7lt3OU09vwQwhkpOPPYv2Y/edit?usp=sharing"",""งบพรบ!CZ81"")"),105500)</f>
        <v>105500</v>
      </c>
      <c r="N191" s="47">
        <f ca="1">IFERROR(__xludf.DUMMYFUNCTION("IMPORTRANGE(""https://docs.google.com/spreadsheets/d/1-uDff_7J0KD5mKrp0Vvzr7lt3OU09vwQwhkpOPPYv2Y/edit?usp=sharing"",""งบพรบ!DB81"")"),92950.5)</f>
        <v>92950.5</v>
      </c>
      <c r="O191" s="47">
        <f ca="1">IF(L191&gt;0,N191*100/L191,0)</f>
        <v>88.104739336492898</v>
      </c>
      <c r="P191" s="47">
        <f ca="1">IF(M191&gt;0,N191*100/M191,0)</f>
        <v>88.104739336492898</v>
      </c>
      <c r="Q191" s="47">
        <f ca="1">IFERROR(__xludf.DUMMYFUNCTION("IMPORTRANGE(""https://docs.google.com/spreadsheets/d/1ItG2mGa2ceCfYo0BwxsXqNm01IGEUdYcSSLTEv9YCik/edit?usp=sharing"",""เบิกจ่ายกองทุน!BQ81"")"),28000)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IFERROR(__xludf.DUMMYFUNCTION("IMPORTRANGE(""https://docs.google.com/spreadsheets/d/1ItG2mGa2ceCfYo0BwxsXqNm01IGEUdYcSSLTEv9YCik/edit?usp=sharing"",""เบิกจ่ายกองทุน!BR81"")"),28000)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IFERROR(__xludf.DUMMYFUNCTION("IMPORTRANGE(""https://docs.google.com/spreadsheets/d/1ItG2mGa2ceCfYo0BwxsXqNm01IGEUdYcSSLTEv9YCik/edit?usp=sharing"",""เบิกจ่ายกองทุน!BS81"")"),28000)</f>
        <v>28000</v>
      </c>
      <c r="T191" s="47">
        <f ca="1">IF(Q191&gt;0,S191*100/Q191,0)</f>
        <v>100</v>
      </c>
      <c r="U191" s="47">
        <f ca="1">IF(R191&gt;0,S191*100/R191,0)</f>
        <v>100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IFERROR(__xludf.DUMMYFUNCTION("IMPORTRANGE(""https://docs.google.com/spreadsheets/d/1-uDff_7J0KD5mKrp0Vvzr7lt3OU09vwQwhkpOPPYv2Y/edit?usp=sharing"",""งบพรบ!CX81"")"),0)</f>
        <v>0</v>
      </c>
      <c r="M194" s="47">
        <f ca="1">IFERROR(__xludf.DUMMYFUNCTION("IMPORTRANGE(""https://docs.google.com/spreadsheets/d/1-uDff_7J0KD5mKrp0Vvzr7lt3OU09vwQwhkpOPPYv2Y/edit?usp=sharing"",""งบพรบ!DA81"")"),0)</f>
        <v>0</v>
      </c>
      <c r="N194" s="47">
        <f ca="1">IFERROR(__xludf.DUMMYFUNCTION("IMPORTRANGE(""https://docs.google.com/spreadsheets/d/1-uDff_7J0KD5mKrp0Vvzr7lt3OU09vwQwhkpOPPYv2Y/edit?usp=sharing"",""งบพรบ!DC81"")"),0)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IFERROR(__xludf.DUMMYFUNCTION("IMPORTRANGE(""https://docs.google.com/spreadsheets/d/1ItG2mGa2ceCfYo0BwxsXqNm01IGEUdYcSSLTEv9YCik/edit?usp=sharing"",""เบิกจ่ายกองทุน!BT81"")"),0)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IFERROR(__xludf.DUMMYFUNCTION("IMPORTRANGE(""https://docs.google.com/spreadsheets/d/1ItG2mGa2ceCfYo0BwxsXqNm01IGEUdYcSSLTEv9YCik/edit?usp=sharing"",""เบิกจ่ายกองทุน!BU81"")"),0)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IFERROR(__xludf.DUMMYFUNCTION("IMPORTRANGE(""https://docs.google.com/spreadsheets/d/1ItG2mGa2ceCfYo0BwxsXqNm01IGEUdYcSSLTEv9YCik/edit?usp=sharing"",""เบิกจ่ายกองทุน!BV81"")"),0)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2</v>
      </c>
      <c r="K195" s="229">
        <f ca="1">IF(I195&gt;0,J195*100/I195,0)</f>
        <v>50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IFERROR(__xludf.DUMMYFUNCTION("IMPORTRANGE(""https://docs.google.com/spreadsheets/d/1eHaY18a8A9IcSdp1K8H6x8fbOy06t2VsZHhMHf-1x7Y/edit?usp=sharing"",""แผน!AB81"")"),6000)</f>
        <v>6000</v>
      </c>
      <c r="M196" s="46"/>
      <c r="N196" s="768">
        <v>1000</v>
      </c>
      <c r="O196" s="132">
        <f ca="1">IF(L196&gt;0,N196*100/L196,0)</f>
        <v>16.666666666666668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IFERROR(__xludf.DUMMYFUNCTION("IMPORTRANGE(""https://docs.google.com/spreadsheets/d/1eHaY18a8A9IcSdp1K8H6x8fbOy06t2VsZHhMHf-1x7Y/edit?usp=sharing"",""แผน!AE81"")"),4)</f>
        <v>4</v>
      </c>
      <c r="J198" s="167">
        <v>2</v>
      </c>
      <c r="K198" s="47">
        <f ca="1">IF(I198&gt;0,J198*100/I198,0)</f>
        <v>50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128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128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2</v>
      </c>
      <c r="K202" s="229">
        <f ca="1">IF(I202&gt;0,J202*100/I202,0)</f>
        <v>100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13000</v>
      </c>
      <c r="M203" s="46"/>
      <c r="N203" s="132">
        <f>N204+N205+N206+N207</f>
        <v>9000</v>
      </c>
      <c r="O203" s="132">
        <f ca="1">IF(L203&gt;0,N203*100/L203,0)</f>
        <v>69.230769230769226</v>
      </c>
      <c r="P203" s="132">
        <f>IF(M203&gt;0,N203*100/M203,0)</f>
        <v>0</v>
      </c>
      <c r="Q203" s="767">
        <f ca="1">Q204+Q205+Q206+Q207</f>
        <v>28000</v>
      </c>
      <c r="R203" s="177"/>
      <c r="S203" s="766">
        <f>S204+S205+S206+S207</f>
        <v>28000</v>
      </c>
      <c r="T203" s="766">
        <f ca="1">IF(Q203&gt;0,S203*100/Q203,0)</f>
        <v>100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IFERROR(__xludf.DUMMYFUNCTION("IMPORTRANGE(""https://docs.google.com/spreadsheets/d/1eHaY18a8A9IcSdp1K8H6x8fbOy06t2VsZHhMHf-1x7Y/edit?usp=sharing"",""แผน!AG81"")"),2000)</f>
        <v>2000</v>
      </c>
      <c r="M204" s="46"/>
      <c r="N204" s="742">
        <v>1000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IFERROR(__xludf.DUMMYFUNCTION("IMPORTRANGE(""https://docs.google.com/spreadsheets/d/1eHaY18a8A9IcSdp1K8H6x8fbOy06t2VsZHhMHf-1x7Y/edit?usp=sharing"",""แผน!AH81"")"),0)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IFERROR(__xludf.DUMMYFUNCTION("IMPORTRANGE(""https://docs.google.com/spreadsheets/d/1eHaY18a8A9IcSdp1K8H6x8fbOy06t2VsZHhMHf-1x7Y/edit?usp=sharing"",""แผน!AI81"")"),0)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IFERROR(__xludf.DUMMYFUNCTION("IMPORTRANGE(""https://docs.google.com/spreadsheets/d/1eHaY18a8A9IcSdp1K8H6x8fbOy06t2VsZHhMHf-1x7Y/edit?usp=sharing"",""แผน!LV81"")"),28000)</f>
        <v>28000</v>
      </c>
      <c r="R206" s="46"/>
      <c r="S206" s="742">
        <v>28000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IFERROR(__xludf.DUMMYFUNCTION("IMPORTRANGE(""https://docs.google.com/spreadsheets/d/1eHaY18a8A9IcSdp1K8H6x8fbOy06t2VsZHhMHf-1x7Y/edit?usp=sharing"",""แผน!AJ81"")"),11000)</f>
        <v>11000</v>
      </c>
      <c r="M207" s="46"/>
      <c r="N207" s="742">
        <v>8000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IFERROR(__xludf.DUMMYFUNCTION("IMPORTRANGE(""https://docs.google.com/spreadsheets/d/1eHaY18a8A9IcSdp1K8H6x8fbOy06t2VsZHhMHf-1x7Y/edit?usp=sharing"",""แผน!AK81"")"),2)</f>
        <v>2</v>
      </c>
      <c r="J209" s="167">
        <v>2</v>
      </c>
      <c r="K209" s="153">
        <f ca="1">IF(I209&gt;0,J209*100/I209,0)</f>
        <v>100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IFERROR(__xludf.DUMMYFUNCTION("IMPORTRANGE(""https://docs.google.com/spreadsheets/d/1eHaY18a8A9IcSdp1K8H6x8fbOy06t2VsZHhMHf-1x7Y/edit?usp=sharing"",""แผน!JX81"")"),2)</f>
        <v>2</v>
      </c>
      <c r="J211" s="167">
        <v>2</v>
      </c>
      <c r="K211" s="153">
        <f ca="1">IF(I211&gt;0,J211*100/I211,0)</f>
        <v>100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IFERROR(__xludf.DUMMYFUNCTION("IMPORTRANGE(""https://docs.google.com/spreadsheets/d/1eHaY18a8A9IcSdp1K8H6x8fbOy06t2VsZHhMHf-1x7Y/edit?usp=sharing"",""แผน!JY81"")"),1)</f>
        <v>1</v>
      </c>
      <c r="J212" s="167">
        <v>1</v>
      </c>
      <c r="K212" s="153">
        <f ca="1">IF(I212&gt;0,J212*100/I212,0)</f>
        <v>100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IFERROR(__xludf.DUMMYFUNCTION("IMPORTRANGE(""https://docs.google.com/spreadsheets/d/1eHaY18a8A9IcSdp1K8H6x8fbOy06t2VsZHhMHf-1x7Y/edit?usp=sharing"",""แผน!AM81"")"),0)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IFERROR(__xludf.DUMMYFUNCTION("IMPORTRANGE(""https://docs.google.com/spreadsheets/d/1eHaY18a8A9IcSdp1K8H6x8fbOy06t2VsZHhMHf-1x7Y/edit?usp=sharing"",""แผน!AN81"")"),0)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IFERROR(__xludf.DUMMYFUNCTION("IMPORTRANGE(""https://docs.google.com/spreadsheets/d/1eHaY18a8A9IcSdp1K8H6x8fbOy06t2VsZHhMHf-1x7Y/edit?usp=sharing"",""แผน!AO81"")"),0)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IFERROR(__xludf.DUMMYFUNCTION("IMPORTRANGE(""https://docs.google.com/spreadsheets/d/1eHaY18a8A9IcSdp1K8H6x8fbOy06t2VsZHhMHf-1x7Y/edit?usp=sharing"",""แผน!LY81"")"),0)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IFERROR(__xludf.DUMMYFUNCTION("IMPORTRANGE(""https://docs.google.com/spreadsheets/d/1eHaY18a8A9IcSdp1K8H6x8fbOy06t2VsZHhMHf-1x7Y/edit?usp=sharing"",""แผน!AP81"")"),0)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IFERROR(__xludf.DUMMYFUNCTION("IMPORTRANGE(""https://docs.google.com/spreadsheets/d/1eHaY18a8A9IcSdp1K8H6x8fbOy06t2VsZHhMHf-1x7Y/edit?usp=sharing"",""แผน!AP81"")"),0)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20000</v>
      </c>
      <c r="J221" s="228">
        <f>J229</f>
        <v>20000</v>
      </c>
      <c r="K221" s="229">
        <f ca="1">IF(I221&gt;0,J221*100/I221,0)</f>
        <v>100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IFERROR(__xludf.DUMMYFUNCTION("IMPORTRANGE(""https://docs.google.com/spreadsheets/d/1eHaY18a8A9IcSdp1K8H6x8fbOy06t2VsZHhMHf-1x7Y/edit?usp=sharing"",""แผน!AR81"")"),3000)</f>
        <v>3000</v>
      </c>
      <c r="M223" s="46"/>
      <c r="N223" s="742"/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IFERROR(__xludf.DUMMYFUNCTION("IMPORTRANGE(""https://docs.google.com/spreadsheets/d/1eHaY18a8A9IcSdp1K8H6x8fbOy06t2VsZHhMHf-1x7Y/edit?usp=sharing"",""แผน!AS81"")"),1500)</f>
        <v>1500</v>
      </c>
      <c r="M224" s="46"/>
      <c r="N224" s="742"/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IFERROR(__xludf.DUMMYFUNCTION("IMPORTRANGE(""https://docs.google.com/spreadsheets/d/1eHaY18a8A9IcSdp1K8H6x8fbOy06t2VsZHhMHf-1x7Y/edit?usp=sharing"",""แผน!AT81"")"),0)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IFERROR(__xludf.DUMMYFUNCTION("IMPORTRANGE(""https://docs.google.com/spreadsheets/d/1eHaY18a8A9IcSdp1K8H6x8fbOy06t2VsZHhMHf-1x7Y/edit?usp=sharing"",""แผน!AV81"")"),20000)</f>
        <v>20000</v>
      </c>
      <c r="J228" s="167">
        <v>20000</v>
      </c>
      <c r="K228" s="153">
        <f ca="1">IF(I228&gt;0,J228*100/I228,0)</f>
        <v>100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IFERROR(__xludf.DUMMYFUNCTION("IMPORTRANGE(""https://docs.google.com/spreadsheets/d/1eHaY18a8A9IcSdp1K8H6x8fbOy06t2VsZHhMHf-1x7Y/edit?usp=sharing"",""แผน!AV81"")"),20000)</f>
        <v>20000</v>
      </c>
      <c r="J229" s="167">
        <v>20000</v>
      </c>
      <c r="K229" s="153">
        <f ca="1">IF(I229&gt;0,J229*100/I229,0)</f>
        <v>100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IFERROR(__xludf.DUMMYFUNCTION("IMPORTRANGE(""https://docs.google.com/spreadsheets/d/1eHaY18a8A9IcSdp1K8H6x8fbOy06t2VsZHhMHf-1x7Y/edit?usp=sharing"",""แผน!AU81"")"),0)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IFERROR(__xludf.DUMMYFUNCTION("IMPORTRANGE(""https://docs.google.com/spreadsheets/d/1eHaY18a8A9IcSdp1K8H6x8fbOy06t2VsZHhMHf-1x7Y/edit?usp=sharing"",""แผน!AX81"")"),0)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IFERROR(__xludf.DUMMYFUNCTION("IMPORTRANGE(""https://docs.google.com/spreadsheets/d/1eHaY18a8A9IcSdp1K8H6x8fbOy06t2VsZHhMHf-1x7Y/edit?usp=sharing"",""แผน!AY81"")"),0)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IFERROR(__xludf.DUMMYFUNCTION("IMPORTRANGE(""https://docs.google.com/spreadsheets/d/1eHaY18a8A9IcSdp1K8H6x8fbOy06t2VsZHhMHf-1x7Y/edit?usp=sharing"",""แผน!AZ81"")"),0)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IFERROR(__xludf.DUMMYFUNCTION("IMPORTRANGE(""https://docs.google.com/spreadsheets/d/1eHaY18a8A9IcSdp1K8H6x8fbOy06t2VsZHhMHf-1x7Y/edit?usp=sharing"",""แผน!BA81"")"),0)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IFERROR(__xludf.DUMMYFUNCTION("IMPORTRANGE(""https://docs.google.com/spreadsheets/d/1eHaY18a8A9IcSdp1K8H6x8fbOy06t2VsZHhMHf-1x7Y/edit?usp=sharing"",""แผน!BG81"")"),0)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IFERROR(__xludf.DUMMYFUNCTION("IMPORTRANGE(""https://docs.google.com/spreadsheets/d/1eHaY18a8A9IcSdp1K8H6x8fbOy06t2VsZHhMHf-1x7Y/edit?usp=sharing"",""แผน!BB81"")"),0)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IFERROR(__xludf.DUMMYFUNCTION("IMPORTRANGE(""https://docs.google.com/spreadsheets/d/1eHaY18a8A9IcSdp1K8H6x8fbOy06t2VsZHhMHf-1x7Y/edit?usp=sharing"",""แผน!BC81"")"),0)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IFERROR(__xludf.DUMMYFUNCTION("IMPORTRANGE(""https://docs.google.com/spreadsheets/d/1eHaY18a8A9IcSdp1K8H6x8fbOy06t2VsZHhMHf-1x7Y/edit?usp=sharing"",""แผน!BD81"")"),0)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IFERROR(__xludf.DUMMYFUNCTION("IMPORTRANGE(""https://docs.google.com/spreadsheets/d/1eHaY18a8A9IcSdp1K8H6x8fbOy06t2VsZHhMHf-1x7Y/edit?usp=sharing"",""แผน!BE81"")"),0)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IFERROR(__xludf.DUMMYFUNCTION("IMPORTRANGE(""https://docs.google.com/spreadsheets/d/1eHaY18a8A9IcSdp1K8H6x8fbOy06t2VsZHhMHf-1x7Y/edit?usp=sharing"",""แผน!BH81"")"),0)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31"/>
      <c r="M264" s="730"/>
      <c r="N264" s="730"/>
      <c r="O264" s="730"/>
      <c r="P264" s="730"/>
      <c r="Q264" s="730"/>
      <c r="R264" s="730"/>
      <c r="S264" s="730"/>
      <c r="T264" s="730"/>
      <c r="U264" s="730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0</v>
      </c>
      <c r="K265" s="724">
        <f ca="1">IF(I265&gt;0,J265*100/I265,0)</f>
        <v>0</v>
      </c>
      <c r="L265" s="723"/>
      <c r="M265" s="722"/>
      <c r="N265" s="722"/>
      <c r="O265" s="722"/>
      <c r="P265" s="722"/>
      <c r="Q265" s="722"/>
      <c r="R265" s="722"/>
      <c r="S265" s="722"/>
      <c r="T265" s="722"/>
      <c r="U265" s="722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721">
        <f ca="1">L267+L268</f>
        <v>5000</v>
      </c>
      <c r="M266" s="421">
        <f ca="1">M267+M268</f>
        <v>5000</v>
      </c>
      <c r="N266" s="421">
        <f ca="1">N267+N268</f>
        <v>0</v>
      </c>
      <c r="O266" s="421">
        <f ca="1">IF(L266&gt;0,N266*100/L266,0)</f>
        <v>0</v>
      </c>
      <c r="P266" s="421">
        <f ca="1">IF(M266&gt;0,N266*100/M266,0)</f>
        <v>0</v>
      </c>
      <c r="Q266" s="421">
        <f ca="1">Q267+Q268</f>
        <v>50660</v>
      </c>
      <c r="R266" s="421">
        <f ca="1">R267+R268</f>
        <v>50660</v>
      </c>
      <c r="S266" s="421">
        <f ca="1">S267+S268</f>
        <v>1950</v>
      </c>
      <c r="T266" s="421">
        <f ca="1">IF(Q266&gt;0,S266*100/Q266,0)</f>
        <v>3.8491906829846032</v>
      </c>
      <c r="U266" s="421">
        <f ca="1">IF(R266&gt;0,S266*100/R266,0)</f>
        <v>3.8491906829846032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720">
        <f ca="1">L271+L274</f>
        <v>5000</v>
      </c>
      <c r="M268" s="331">
        <f ca="1">M271+M274</f>
        <v>5000</v>
      </c>
      <c r="N268" s="331">
        <f ca="1">N271+N274</f>
        <v>0</v>
      </c>
      <c r="O268" s="331">
        <f ca="1">IF(L268&gt;0,N268*100/L268,0)</f>
        <v>0</v>
      </c>
      <c r="P268" s="331">
        <f ca="1">IF(M268&gt;0,N268*100/M268,0)</f>
        <v>0</v>
      </c>
      <c r="Q268" s="331">
        <f ca="1">Q271+Q274</f>
        <v>50660</v>
      </c>
      <c r="R268" s="331">
        <f ca="1">R271+R274</f>
        <v>50660</v>
      </c>
      <c r="S268" s="331">
        <f ca="1">S271+S274</f>
        <v>1950</v>
      </c>
      <c r="T268" s="331">
        <f ca="1">IF(Q268&gt;0,S268*100/Q268,0)</f>
        <v>3.8491906829846032</v>
      </c>
      <c r="U268" s="331">
        <f ca="1">IF(R268&gt;0,S268*100/R268,0)</f>
        <v>3.8491906829846032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720">
        <f ca="1">L270+L271</f>
        <v>5000</v>
      </c>
      <c r="M269" s="331">
        <f ca="1">M270+M271</f>
        <v>5000</v>
      </c>
      <c r="N269" s="331">
        <f ca="1">N270+N271</f>
        <v>0</v>
      </c>
      <c r="O269" s="331">
        <f ca="1">IF(L269&gt;0,N269*100/L269,0)</f>
        <v>0</v>
      </c>
      <c r="P269" s="331">
        <f ca="1">IF(M269&gt;0,N269*100/M269,0)</f>
        <v>0</v>
      </c>
      <c r="Q269" s="331">
        <f ca="1">Q270+Q271</f>
        <v>50660</v>
      </c>
      <c r="R269" s="331">
        <f ca="1">R270+R271</f>
        <v>50660</v>
      </c>
      <c r="S269" s="331">
        <f ca="1">S270+S271</f>
        <v>1950</v>
      </c>
      <c r="T269" s="331">
        <f ca="1">IF(Q269&gt;0,S269*100/Q269,0)</f>
        <v>3.8491906829846032</v>
      </c>
      <c r="U269" s="331">
        <f ca="1">IF(R269&gt;0,S269*100/R269,0)</f>
        <v>3.8491906829846032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720">
        <f ca="1">IFERROR(__xludf.DUMMYFUNCTION("IMPORTRANGE(""https://docs.google.com/spreadsheets/d/1-uDff_7J0KD5mKrp0Vvzr7lt3OU09vwQwhkpOPPYv2Y/edit?usp=sharing"",""งบพรบ!DE81"")"),5000)</f>
        <v>5000</v>
      </c>
      <c r="M271" s="331">
        <f ca="1">IFERROR(__xludf.DUMMYFUNCTION("IMPORTRANGE(""https://docs.google.com/spreadsheets/d/1-uDff_7J0KD5mKrp0Vvzr7lt3OU09vwQwhkpOPPYv2Y/edit?usp=sharing"",""งบพรบ!DJ81"")"),5000)</f>
        <v>5000</v>
      </c>
      <c r="N271" s="331">
        <f ca="1">IFERROR(__xludf.DUMMYFUNCTION("IMPORTRANGE(""https://docs.google.com/spreadsheets/d/1-uDff_7J0KD5mKrp0Vvzr7lt3OU09vwQwhkpOPPYv2Y/edit?usp=sharing"",""งบพรบ!DL81"")"),0)</f>
        <v>0</v>
      </c>
      <c r="O271" s="331">
        <f ca="1">IF(L271&gt;0,N271*100/L271,0)</f>
        <v>0</v>
      </c>
      <c r="P271" s="331">
        <f ca="1">IF(M271&gt;0,N271*100/M271,0)</f>
        <v>0</v>
      </c>
      <c r="Q271" s="331">
        <f ca="1">IFERROR(__xludf.DUMMYFUNCTION("IMPORTRANGE(""https://docs.google.com/spreadsheets/d/1ItG2mGa2ceCfYo0BwxsXqNm01IGEUdYcSSLTEv9YCik/edit?usp=sharing"",""เบิกจ่ายกองทุน!AP81"")"),50660)</f>
        <v>50660</v>
      </c>
      <c r="R271" s="331">
        <f ca="1">IFERROR(__xludf.DUMMYFUNCTION("IMPORTRANGE(""https://docs.google.com/spreadsheets/d/1ItG2mGa2ceCfYo0BwxsXqNm01IGEUdYcSSLTEv9YCik/edit?usp=sharing"",""เบิกจ่ายกองทุน!AQ81"")"),50660)</f>
        <v>50660</v>
      </c>
      <c r="S271" s="331">
        <f ca="1">IFERROR(__xludf.DUMMYFUNCTION("IMPORTRANGE(""https://docs.google.com/spreadsheets/d/1ItG2mGa2ceCfYo0BwxsXqNm01IGEUdYcSSLTEv9YCik/edit?usp=sharing"",""เบิกจ่ายกองทุน!AR81"")"),1950)</f>
        <v>1950</v>
      </c>
      <c r="T271" s="331">
        <f ca="1">IF(Q271&gt;0,S271*100/Q271,0)</f>
        <v>3.8491906829846032</v>
      </c>
      <c r="U271" s="331">
        <f ca="1">IF(R271&gt;0,S271*100/R271,0)</f>
        <v>3.8491906829846032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720">
        <f ca="1">L273+L274</f>
        <v>0</v>
      </c>
      <c r="M272" s="331">
        <f ca="1">M273+M274</f>
        <v>0</v>
      </c>
      <c r="N272" s="331">
        <f ca="1">N273+N274</f>
        <v>0</v>
      </c>
      <c r="O272" s="331">
        <f ca="1">IF(L272&gt;0,N272*100/L272,0)</f>
        <v>0</v>
      </c>
      <c r="P272" s="331">
        <f ca="1">IF(M272&gt;0,N272*100/M272,0)</f>
        <v>0</v>
      </c>
      <c r="Q272" s="331">
        <f>Q273+Q274</f>
        <v>0</v>
      </c>
      <c r="R272" s="331">
        <f>R273+R274</f>
        <v>0</v>
      </c>
      <c r="S272" s="331">
        <f>S273+S274</f>
        <v>0</v>
      </c>
      <c r="T272" s="331">
        <f>IF(Q272&gt;0,S272*100/Q272,0)</f>
        <v>0</v>
      </c>
      <c r="U272" s="331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720">
        <f ca="1">IFERROR(__xludf.DUMMYFUNCTION("IMPORTRANGE(""https://docs.google.com/spreadsheets/d/1-uDff_7J0KD5mKrp0Vvzr7lt3OU09vwQwhkpOPPYv2Y/edit?usp=sharing"",""งบพรบ!DH81"")"),0)</f>
        <v>0</v>
      </c>
      <c r="M274" s="331">
        <f ca="1">IFERROR(__xludf.DUMMYFUNCTION("IMPORTRANGE(""https://docs.google.com/spreadsheets/d/1-uDff_7J0KD5mKrp0Vvzr7lt3OU09vwQwhkpOPPYv2Y/edit?usp=sharing"",""งบพรบ!DK81"")"),0)</f>
        <v>0</v>
      </c>
      <c r="N274" s="331">
        <f ca="1">IFERROR(__xludf.DUMMYFUNCTION("IMPORTRANGE(""https://docs.google.com/spreadsheets/d/1-uDff_7J0KD5mKrp0Vvzr7lt3OU09vwQwhkpOPPYv2Y/edit?usp=sharing"",""งบพรบ!DM81"")"),0)</f>
        <v>0</v>
      </c>
      <c r="O274" s="331">
        <f ca="1">IF(L274&gt;0,N274*100/L274,0)</f>
        <v>0</v>
      </c>
      <c r="P274" s="331">
        <f ca="1">IF(M274&gt;0,N274*100/M274,0)</f>
        <v>0</v>
      </c>
      <c r="Q274" s="331">
        <v>0</v>
      </c>
      <c r="R274" s="331">
        <v>0</v>
      </c>
      <c r="S274" s="331">
        <v>0</v>
      </c>
      <c r="T274" s="331">
        <f>IF(Q274&gt;0,S274*100/Q274,0)</f>
        <v>0</v>
      </c>
      <c r="U274" s="331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719"/>
      <c r="M275" s="429"/>
      <c r="N275" s="429"/>
      <c r="O275" s="429"/>
      <c r="P275" s="429"/>
      <c r="Q275" s="429"/>
      <c r="R275" s="429"/>
      <c r="S275" s="429"/>
      <c r="T275" s="429"/>
      <c r="U275" s="429"/>
    </row>
    <row r="276" spans="1:21" ht="18.75" x14ac:dyDescent="0.25">
      <c r="A276" s="718"/>
      <c r="B276" s="342"/>
      <c r="C276" s="342"/>
      <c r="D276" s="717" t="s">
        <v>115</v>
      </c>
      <c r="E276" s="388"/>
      <c r="F276" s="388"/>
      <c r="G276" s="390"/>
      <c r="H276" s="716" t="s">
        <v>35</v>
      </c>
      <c r="I276" s="392">
        <f ca="1">IFERROR(__xludf.DUMMYFUNCTION("IMPORTRANGE(""https://docs.google.com/spreadsheets/d/1eHaY18a8A9IcSdp1K8H6x8fbOy06t2VsZHhMHf-1x7Y/edit?usp=sharing"",""แผน!EC81"")"),22)</f>
        <v>22</v>
      </c>
      <c r="J276" s="175">
        <v>0</v>
      </c>
      <c r="K276" s="176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263"/>
      <c r="B277" s="264"/>
      <c r="C277" s="264"/>
      <c r="D277" s="715" t="s">
        <v>116</v>
      </c>
      <c r="E277" s="266"/>
      <c r="F277" s="266"/>
      <c r="G277" s="267"/>
      <c r="H277" s="714" t="s">
        <v>35</v>
      </c>
      <c r="I277" s="498">
        <v>0</v>
      </c>
      <c r="J277" s="498">
        <v>0</v>
      </c>
      <c r="K277" s="713">
        <v>0</v>
      </c>
      <c r="L277" s="712"/>
      <c r="M277" s="269"/>
      <c r="N277" s="269"/>
      <c r="O277" s="269"/>
      <c r="P277" s="269"/>
      <c r="Q277" s="269"/>
      <c r="R277" s="269"/>
      <c r="S277" s="269"/>
      <c r="T277" s="269"/>
      <c r="U277" s="269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IFERROR(__xludf.DUMMYFUNCTION("IMPORTRANGE(""https://docs.google.com/spreadsheets/d/1-uDff_7J0KD5mKrp0Vvzr7lt3OU09vwQwhkpOPPYv2Y/edit?usp=sharing"",""งบพรบ!DO81"")"),0)</f>
        <v>0</v>
      </c>
      <c r="M287" s="47">
        <f ca="1">IFERROR(__xludf.DUMMYFUNCTION("IMPORTRANGE(""https://docs.google.com/spreadsheets/d/1-uDff_7J0KD5mKrp0Vvzr7lt3OU09vwQwhkpOPPYv2Y/edit?usp=sharing"",""งบพรบ!DT81"")"),0)</f>
        <v>0</v>
      </c>
      <c r="N287" s="47">
        <f ca="1">IFERROR(__xludf.DUMMYFUNCTION("IMPORTRANGE(""https://docs.google.com/spreadsheets/d/1-uDff_7J0KD5mKrp0Vvzr7lt3OU09vwQwhkpOPPYv2Y/edit?usp=sharing"",""งบพรบ!DV81"")"),0)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IFERROR(__xludf.DUMMYFUNCTION("IMPORTRANGE(""https://docs.google.com/spreadsheets/d/1-uDff_7J0KD5mKrp0Vvzr7lt3OU09vwQwhkpOPPYv2Y/edit?usp=sharing"",""งบพรบ!DR81"")"),0)</f>
        <v>0</v>
      </c>
      <c r="M290" s="47">
        <f ca="1">IFERROR(__xludf.DUMMYFUNCTION("IMPORTRANGE(""https://docs.google.com/spreadsheets/d/1-uDff_7J0KD5mKrp0Vvzr7lt3OU09vwQwhkpOPPYv2Y/edit?usp=sharing"",""งบพรบ!DU81"")"),0)</f>
        <v>0</v>
      </c>
      <c r="N290" s="47">
        <f ca="1">IFERROR(__xludf.DUMMYFUNCTION("IMPORTRANGE(""https://docs.google.com/spreadsheets/d/1-uDff_7J0KD5mKrp0Vvzr7lt3OU09vwQwhkpOPPYv2Y/edit?usp=sharing"",""งบพรบ!DW81"")"),0)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IFERROR(__xludf.DUMMYFUNCTION("IMPORTRANGE(""https://docs.google.com/spreadsheets/d/1eHaY18a8A9IcSdp1K8H6x8fbOy06t2VsZHhMHf-1x7Y/edit?usp=sharing"",""แผน!EE81"")"),0)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IFERROR(__xludf.DUMMYFUNCTION("IMPORTRANGE(""https://docs.google.com/spreadsheets/d/1eHaY18a8A9IcSdp1K8H6x8fbOy06t2VsZHhMHf-1x7Y/edit?usp=sharing"",""แผน!ED81"")"),0)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IFERROR(__xludf.DUMMYFUNCTION("IMPORTRANGE(""https://docs.google.com/spreadsheets/d/1eHaY18a8A9IcSdp1K8H6x8fbOy06t2VsZHhMHf-1x7Y/edit?usp=sharing"",""แผน!ED81"")"),0)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IFERROR(__xludf.DUMMYFUNCTION("IMPORTRANGE(""https://docs.google.com/spreadsheets/d/1eHaY18a8A9IcSdp1K8H6x8fbOy06t2VsZHhMHf-1x7Y/edit?usp=sharing"",""แผน!ED81"")"),0)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25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0</v>
      </c>
      <c r="M303" s="132">
        <f ca="1">M304+M305</f>
        <v>0</v>
      </c>
      <c r="N303" s="132">
        <f ca="1">N304+N305</f>
        <v>0</v>
      </c>
      <c r="O303" s="132">
        <f ca="1">IF(L303&gt;0,N303*100/L303,0)</f>
        <v>0</v>
      </c>
      <c r="P303" s="132">
        <f ca="1">IF(M303&gt;0,N303*100/M303,0)</f>
        <v>0</v>
      </c>
      <c r="Q303" s="132">
        <f ca="1">Q304+Q305</f>
        <v>226234.22</v>
      </c>
      <c r="R303" s="132">
        <f ca="1">R304+R305</f>
        <v>226234</v>
      </c>
      <c r="S303" s="132">
        <f ca="1">S304+S305</f>
        <v>2000</v>
      </c>
      <c r="T303" s="132">
        <f ca="1">IF(Q303&gt;0,S303*100/Q303,0)</f>
        <v>0.88403955864855455</v>
      </c>
      <c r="U303" s="132">
        <f ca="1">IF(R303&gt;0,S303*100/R303,0)</f>
        <v>0.8840404183279259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0</v>
      </c>
      <c r="M305" s="47">
        <f ca="1">M308+M311</f>
        <v>0</v>
      </c>
      <c r="N305" s="47">
        <f ca="1">N308+N311</f>
        <v>0</v>
      </c>
      <c r="O305" s="47">
        <f ca="1">IF(L305&gt;0,N305*100/L305,0)</f>
        <v>0</v>
      </c>
      <c r="P305" s="47">
        <f ca="1">IF(M305&gt;0,N305*100/M305,0)</f>
        <v>0</v>
      </c>
      <c r="Q305" s="47">
        <f ca="1">Q308+Q311</f>
        <v>226234.22</v>
      </c>
      <c r="R305" s="47">
        <f ca="1">R308+R311</f>
        <v>226234</v>
      </c>
      <c r="S305" s="47">
        <f ca="1">S308+S311</f>
        <v>2000</v>
      </c>
      <c r="T305" s="47">
        <f ca="1">IF(Q305&gt;0,S305*100/Q305,0)</f>
        <v>0.88403955864855455</v>
      </c>
      <c r="U305" s="47">
        <f ca="1">IF(R305&gt;0,S305*100/R305,0)</f>
        <v>0.8840404183279259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0</v>
      </c>
      <c r="M306" s="47">
        <f ca="1">M307+M308</f>
        <v>0</v>
      </c>
      <c r="N306" s="47">
        <f ca="1">N307+N308</f>
        <v>0</v>
      </c>
      <c r="O306" s="47">
        <f ca="1">IF(L306&gt;0,N306*100/L306,0)</f>
        <v>0</v>
      </c>
      <c r="P306" s="47">
        <f ca="1">IF(M306&gt;0,N306*100/M306,0)</f>
        <v>0</v>
      </c>
      <c r="Q306" s="47">
        <f ca="1">Q307+Q308</f>
        <v>226234.22</v>
      </c>
      <c r="R306" s="47">
        <f ca="1">R307+R308</f>
        <v>226234</v>
      </c>
      <c r="S306" s="47">
        <f ca="1">S307+S308</f>
        <v>2000</v>
      </c>
      <c r="T306" s="47">
        <f ca="1">IF(Q306&gt;0,S306*100/Q306,0)</f>
        <v>0.88403955864855455</v>
      </c>
      <c r="U306" s="47">
        <f ca="1">IF(R306&gt;0,S306*100/R306,0)</f>
        <v>0.8840404183279259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IFERROR(__xludf.DUMMYFUNCTION("IMPORTRANGE(""https://docs.google.com/spreadsheets/d/1-uDff_7J0KD5mKrp0Vvzr7lt3OU09vwQwhkpOPPYv2Y/edit?usp=sharing"",""งบพรบ!DY81"")"),0)</f>
        <v>0</v>
      </c>
      <c r="M308" s="47">
        <f ca="1">IFERROR(__xludf.DUMMYFUNCTION("IMPORTRANGE(""https://docs.google.com/spreadsheets/d/1-uDff_7J0KD5mKrp0Vvzr7lt3OU09vwQwhkpOPPYv2Y/edit?usp=sharing"",""งบพรบ!ED81"")"),0)</f>
        <v>0</v>
      </c>
      <c r="N308" s="47">
        <f ca="1">IFERROR(__xludf.DUMMYFUNCTION("IMPORTRANGE(""https://docs.google.com/spreadsheets/d/1-uDff_7J0KD5mKrp0Vvzr7lt3OU09vwQwhkpOPPYv2Y/edit?usp=sharing"",""งบพรบ!EF81"")"),0)</f>
        <v>0</v>
      </c>
      <c r="O308" s="47">
        <f ca="1">IF(L308&gt;0,N308*100/L308,0)</f>
        <v>0</v>
      </c>
      <c r="P308" s="47">
        <f ca="1">IF(M308&gt;0,N308*100/M308,0)</f>
        <v>0</v>
      </c>
      <c r="Q308" s="47">
        <f ca="1">IFERROR(__xludf.DUMMYFUNCTION("IMPORTRANGE(""https://docs.google.com/spreadsheets/d/1ItG2mGa2ceCfYo0BwxsXqNm01IGEUdYcSSLTEv9YCik/edit?usp=sharing"",""เบิกจ่ายกองทุน!BB81"")"),226234.22)</f>
        <v>226234.22</v>
      </c>
      <c r="R308" s="47">
        <f ca="1">IFERROR(__xludf.DUMMYFUNCTION("IMPORTRANGE(""https://docs.google.com/spreadsheets/d/1ItG2mGa2ceCfYo0BwxsXqNm01IGEUdYcSSLTEv9YCik/edit?usp=sharing"",""เบิกจ่ายกองทุน!BC81"")"),226234)</f>
        <v>226234</v>
      </c>
      <c r="S308" s="47">
        <f ca="1">IFERROR(__xludf.DUMMYFUNCTION("IMPORTRANGE(""https://docs.google.com/spreadsheets/d/1ItG2mGa2ceCfYo0BwxsXqNm01IGEUdYcSSLTEv9YCik/edit?usp=sharing"",""เบิกจ่ายกองทุน!BD81"")"),2000)</f>
        <v>2000</v>
      </c>
      <c r="T308" s="47">
        <f ca="1">IF(Q308&gt;0,S308*100/Q308,0)</f>
        <v>0.88403955864855455</v>
      </c>
      <c r="U308" s="47">
        <f ca="1">IF(R308&gt;0,S308*100/R308,0)</f>
        <v>0.8840404183279259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IFERROR(__xludf.DUMMYFUNCTION("IMPORTRANGE(""https://docs.google.com/spreadsheets/d/1-uDff_7J0KD5mKrp0Vvzr7lt3OU09vwQwhkpOPPYv2Y/edit?usp=sharing"",""งบพรบ!EB81"")"),0)</f>
        <v>0</v>
      </c>
      <c r="M311" s="47">
        <f ca="1">IFERROR(__xludf.DUMMYFUNCTION("IMPORTRANGE(""https://docs.google.com/spreadsheets/d/1-uDff_7J0KD5mKrp0Vvzr7lt3OU09vwQwhkpOPPYv2Y/edit?usp=sharing"",""งบพรบ!EE81"")"),0)</f>
        <v>0</v>
      </c>
      <c r="N311" s="47">
        <f ca="1">IFERROR(__xludf.DUMMYFUNCTION("IMPORTRANGE(""https://docs.google.com/spreadsheets/d/1-uDff_7J0KD5mKrp0Vvzr7lt3OU09vwQwhkpOPPYv2Y/edit?usp=sharing"",""งบพรบ!EG81"")"),0)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IFERROR(__xludf.DUMMYFUNCTION("IMPORTRANGE(""https://docs.google.com/spreadsheets/d/1eHaY18a8A9IcSdp1K8H6x8fbOy06t2VsZHhMHf-1x7Y/edit?usp=sharing"",""แผน!EF81"")"),25)</f>
        <v>25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IFERROR(__xludf.DUMMYFUNCTION("IMPORTRANGE(""https://docs.google.com/spreadsheets/d/1-uDff_7J0KD5mKrp0Vvzr7lt3OU09vwQwhkpOPPYv2Y/edit?usp=sharing"",""งบพรบ!EI81"")"),0)</f>
        <v>0</v>
      </c>
      <c r="M325" s="47">
        <f ca="1">IFERROR(__xludf.DUMMYFUNCTION("IMPORTRANGE(""https://docs.google.com/spreadsheets/d/1-uDff_7J0KD5mKrp0Vvzr7lt3OU09vwQwhkpOPPYv2Y/edit?usp=sharing"",""งบพรบ!EN81"")"),0)</f>
        <v>0</v>
      </c>
      <c r="N325" s="47">
        <f ca="1">IFERROR(__xludf.DUMMYFUNCTION("IMPORTRANGE(""https://docs.google.com/spreadsheets/d/1-uDff_7J0KD5mKrp0Vvzr7lt3OU09vwQwhkpOPPYv2Y/edit?usp=sharing"",""งบพรบ!EP81"")"),0)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IFERROR(__xludf.DUMMYFUNCTION("IMPORTRANGE(""https://docs.google.com/spreadsheets/d/1-uDff_7J0KD5mKrp0Vvzr7lt3OU09vwQwhkpOPPYv2Y/edit?usp=sharing"",""งบพรบ!EL81"")"),0)</f>
        <v>0</v>
      </c>
      <c r="M328" s="47">
        <f ca="1">IFERROR(__xludf.DUMMYFUNCTION("IMPORTRANGE(""https://docs.google.com/spreadsheets/d/1-uDff_7J0KD5mKrp0Vvzr7lt3OU09vwQwhkpOPPYv2Y/edit?usp=sharing"",""งบพรบ!EO81"")"),0)</f>
        <v>0</v>
      </c>
      <c r="N328" s="47">
        <f ca="1">IFERROR(__xludf.DUMMYFUNCTION("IMPORTRANGE(""https://docs.google.com/spreadsheets/d/1-uDff_7J0KD5mKrp0Vvzr7lt3OU09vwQwhkpOPPYv2Y/edit?usp=sharing"",""งบพรบ!EQ81"")"),0)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IFERROR(__xludf.DUMMYFUNCTION("IMPORTRANGE(""https://docs.google.com/spreadsheets/d/1eHaY18a8A9IcSdp1K8H6x8fbOy06t2VsZHhMHf-1x7Y/edit?usp=sharing"",""แผน!EJ81"")"),0)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540</v>
      </c>
      <c r="J332" s="697">
        <f ca="1">J344+J347+J348+J349+J353</f>
        <v>1136</v>
      </c>
      <c r="K332" s="696">
        <f ca="1">IF(I332&gt;0,J332*100/I332,0)</f>
        <v>210.37037037037038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178000</v>
      </c>
      <c r="M333" s="132">
        <f ca="1">M334+M335</f>
        <v>178000</v>
      </c>
      <c r="N333" s="132">
        <f ca="1">N334+N335</f>
        <v>37518.15</v>
      </c>
      <c r="O333" s="132">
        <f ca="1">IF(L333&gt;0,N333*100/L333,0)</f>
        <v>21.07761235955056</v>
      </c>
      <c r="P333" s="132">
        <f ca="1">IF(M333&gt;0,N333*100/M333,0)</f>
        <v>21.07761235955056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178000</v>
      </c>
      <c r="M335" s="47">
        <f ca="1">M338+M341</f>
        <v>178000</v>
      </c>
      <c r="N335" s="47">
        <f ca="1">N338+N341</f>
        <v>37518.15</v>
      </c>
      <c r="O335" s="47">
        <f ca="1">IF(L335&gt;0,N335*100/L335,0)</f>
        <v>21.07761235955056</v>
      </c>
      <c r="P335" s="47">
        <f ca="1">IF(M335&gt;0,N335*100/M335,0)</f>
        <v>21.07761235955056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178000</v>
      </c>
      <c r="M336" s="47">
        <f ca="1">M337+M338</f>
        <v>178000</v>
      </c>
      <c r="N336" s="47">
        <f ca="1">N337+N338</f>
        <v>37518.15</v>
      </c>
      <c r="O336" s="47">
        <f ca="1">IF(L336&gt;0,N336*100/L336,0)</f>
        <v>21.07761235955056</v>
      </c>
      <c r="P336" s="47">
        <f ca="1">IF(M336&gt;0,N336*100/M336,0)</f>
        <v>21.07761235955056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IFERROR(__xludf.DUMMYFUNCTION("IMPORTRANGE(""https://docs.google.com/spreadsheets/d/1-uDff_7J0KD5mKrp0Vvzr7lt3OU09vwQwhkpOPPYv2Y/edit?usp=sharing"",""งบพรบ!ES81"")"),178000)</f>
        <v>178000</v>
      </c>
      <c r="M338" s="47">
        <f ca="1">IFERROR(__xludf.DUMMYFUNCTION("IMPORTRANGE(""https://docs.google.com/spreadsheets/d/1-uDff_7J0KD5mKrp0Vvzr7lt3OU09vwQwhkpOPPYv2Y/edit?usp=sharing"",""งบพรบ!EX81"")"),178000)</f>
        <v>178000</v>
      </c>
      <c r="N338" s="47">
        <f ca="1">IFERROR(__xludf.DUMMYFUNCTION("IMPORTRANGE(""https://docs.google.com/spreadsheets/d/1-uDff_7J0KD5mKrp0Vvzr7lt3OU09vwQwhkpOPPYv2Y/edit?usp=sharing"",""งบพรบ!EZ81"")"),37518.15)</f>
        <v>37518.15</v>
      </c>
      <c r="O338" s="47">
        <f ca="1">IF(L338&gt;0,N338*100/L338,0)</f>
        <v>21.07761235955056</v>
      </c>
      <c r="P338" s="47">
        <f ca="1">IF(M338&gt;0,N338*100/M338,0)</f>
        <v>21.07761235955056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IFERROR(__xludf.DUMMYFUNCTION("IMPORTRANGE(""https://docs.google.com/spreadsheets/d/1-uDff_7J0KD5mKrp0Vvzr7lt3OU09vwQwhkpOPPYv2Y/edit?usp=sharing"",""งบพรบ!EV81"")"),0)</f>
        <v>0</v>
      </c>
      <c r="M341" s="47">
        <f ca="1">IFERROR(__xludf.DUMMYFUNCTION("IMPORTRANGE(""https://docs.google.com/spreadsheets/d/1-uDff_7J0KD5mKrp0Vvzr7lt3OU09vwQwhkpOPPYv2Y/edit?usp=sharing"",""งบพรบ!EY81"")"),0)</f>
        <v>0</v>
      </c>
      <c r="N341" s="47">
        <f ca="1">IFERROR(__xludf.DUMMYFUNCTION("IMPORTRANGE(""https://docs.google.com/spreadsheets/d/1-uDff_7J0KD5mKrp0Vvzr7lt3OU09vwQwhkpOPPYv2Y/edit?usp=sharing"",""งบพรบ!FA81"")"),0)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618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IFERROR(__xludf.DUMMYFUNCTION("IMPORTRANGE(""https://docs.google.com/spreadsheets/d/1eHaY18a8A9IcSdp1K8H6x8fbOy06t2VsZHhMHf-1x7Y/edit?usp=sharing"",""แผน!EK81"")"),540)</f>
        <v>540</v>
      </c>
      <c r="J344" s="152">
        <f ca="1">IFERROR(__xludf.DUMMYFUNCTION("IMPORTRANGE(""https://docs.google.com/spreadsheets/d/1awYsYK3VOup2i3Pq_Yjnu8DRu_mYwSBnCR2QPthd0rU/edit?usp=sharing"",""ศูนย์ยกเว้นโฉนด!D81"")"),609)</f>
        <v>609</v>
      </c>
      <c r="K344" s="47">
        <f ca="1">IF(I344&gt;0,J344*100/I344,0)</f>
        <v>112.77777777777777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IFERROR(__xludf.DUMMYFUNCTION("IMPORTRANGE(""https://docs.google.com/spreadsheets/d/1eHaY18a8A9IcSdp1K8H6x8fbOy06t2VsZHhMHf-1x7Y/edit?usp=sharing"",""แผน!EL81"")"),3)</f>
        <v>3</v>
      </c>
      <c r="J346" s="152">
        <f ca="1">IFERROR(__xludf.DUMMYFUNCTION("IMPORTRANGE(""https://docs.google.com/spreadsheets/d/1awYsYK3VOup2i3Pq_Yjnu8DRu_mYwSBnCR2QPthd0rU/edit?usp=sharing"",""ศูนย์รวม!E81"")"),3)</f>
        <v>3</v>
      </c>
      <c r="K346" s="47">
        <f ca="1">IF(I346&gt;0,J346*100/I346,0)</f>
        <v>100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IFERROR(__xludf.DUMMYFUNCTION("IMPORTRANGE(""https://docs.google.com/spreadsheets/d/1awYsYK3VOup2i3Pq_Yjnu8DRu_mYwSBnCR2QPthd0rU/edit?usp=sharing"",""ศูนย์ยกเว้นโฉนด!F81"")"),9)</f>
        <v>9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IFERROR(__xludf.DUMMYFUNCTION("IMPORTRANGE(""https://docs.google.com/spreadsheets/d/1awYsYK3VOup2i3Pq_Yjnu8DRu_mYwSBnCR2QPthd0rU/edit?usp=sharing"",""ศูนย์ยกเว้นโฉนด!G81"")"),0)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IFERROR(__xludf.DUMMYFUNCTION("IMPORTRANGE(""https://docs.google.com/spreadsheets/d/1awYsYK3VOup2i3Pq_Yjnu8DRu_mYwSBnCR2QPthd0rU/edit?usp=sharing"",""ศูนย์ยกเว้นโฉนด!H81"")"),0)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958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IFERROR(__xludf.DUMMYFUNCTION("IMPORTRANGE(""https://docs.google.com/spreadsheets/d/1awYsYK3VOup2i3Pq_Yjnu8DRu_mYwSBnCR2QPthd0rU/edit?usp=sharing"",""โฉนดM3!G81"")"),440)</f>
        <v>440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IFERROR(__xludf.DUMMYFUNCTION("IMPORTRANGE(""https://docs.google.com/spreadsheets/d/1awYsYK3VOup2i3Pq_Yjnu8DRu_mYwSBnCR2QPthd0rU/edit?usp=sharing"",""โฉนดM3!H81"")"),518)</f>
        <v>518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658660</v>
      </c>
      <c r="M356" s="132">
        <f ca="1">M357+M358</f>
        <v>658660</v>
      </c>
      <c r="N356" s="132">
        <f ca="1">N357+N358</f>
        <v>330282.67</v>
      </c>
      <c r="O356" s="132">
        <f ca="1">IF(L356&gt;0,N356*100/L356,0)</f>
        <v>50.144637597546534</v>
      </c>
      <c r="P356" s="132">
        <f ca="1">IF(M356&gt;0,N356*100/M356,0)</f>
        <v>50.144637597546534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658660</v>
      </c>
      <c r="M358" s="47">
        <f ca="1">M361+M364</f>
        <v>658660</v>
      </c>
      <c r="N358" s="47">
        <f ca="1">N361+N364</f>
        <v>330282.67</v>
      </c>
      <c r="O358" s="47">
        <f ca="1">IF(L358&gt;0,N358*100/L358,0)</f>
        <v>50.144637597546534</v>
      </c>
      <c r="P358" s="47">
        <f ca="1">IF(M358&gt;0,N358*100/M358,0)</f>
        <v>50.144637597546534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658660</v>
      </c>
      <c r="M359" s="47">
        <f ca="1">M360+M361</f>
        <v>658660</v>
      </c>
      <c r="N359" s="47">
        <f ca="1">N360+N361</f>
        <v>330282.67</v>
      </c>
      <c r="O359" s="47">
        <f ca="1">IF(L359&gt;0,N359*100/L359,0)</f>
        <v>50.144637597546534</v>
      </c>
      <c r="P359" s="47">
        <f ca="1">IF(M359&gt;0,N359*100/M359,0)</f>
        <v>50.144637597546534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IFERROR(__xludf.DUMMYFUNCTION("IMPORTRANGE(""https://docs.google.com/spreadsheets/d/1-uDff_7J0KD5mKrp0Vvzr7lt3OU09vwQwhkpOPPYv2Y/edit?usp=sharing"",""งบพรบ!FC81"")"),658660)</f>
        <v>658660</v>
      </c>
      <c r="M361" s="47">
        <f ca="1">IFERROR(__xludf.DUMMYFUNCTION("IMPORTRANGE(""https://docs.google.com/spreadsheets/d/1-uDff_7J0KD5mKrp0Vvzr7lt3OU09vwQwhkpOPPYv2Y/edit?usp=sharing"",""งบพรบ!FH81"")"),658660)</f>
        <v>658660</v>
      </c>
      <c r="N361" s="47">
        <f ca="1">IFERROR(__xludf.DUMMYFUNCTION("IMPORTRANGE(""https://docs.google.com/spreadsheets/d/1-uDff_7J0KD5mKrp0Vvzr7lt3OU09vwQwhkpOPPYv2Y/edit?usp=sharing"",""งบพรบ!FJ81"")"),330282.67)</f>
        <v>330282.67</v>
      </c>
      <c r="O361" s="47">
        <f ca="1">IF(L361&gt;0,N361*100/L361,0)</f>
        <v>50.144637597546534</v>
      </c>
      <c r="P361" s="47">
        <f ca="1">IF(M361&gt;0,N361*100/M361,0)</f>
        <v>50.144637597546534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IFERROR(__xludf.DUMMYFUNCTION("IMPORTRANGE(""https://docs.google.com/spreadsheets/d/1-uDff_7J0KD5mKrp0Vvzr7lt3OU09vwQwhkpOPPYv2Y/edit?usp=sharing"",""งบพรบ!FF81"")"),0)</f>
        <v>0</v>
      </c>
      <c r="M364" s="47">
        <f ca="1">IFERROR(__xludf.DUMMYFUNCTION("IMPORTRANGE(""https://docs.google.com/spreadsheets/d/1-uDff_7J0KD5mKrp0Vvzr7lt3OU09vwQwhkpOPPYv2Y/edit?usp=sharing"",""งบพรบ!FI81"")"),0)</f>
        <v>0</v>
      </c>
      <c r="N364" s="47">
        <f ca="1">IFERROR(__xludf.DUMMYFUNCTION("IMPORTRANGE(""https://docs.google.com/spreadsheets/d/1-uDff_7J0KD5mKrp0Vvzr7lt3OU09vwQwhkpOPPYv2Y/edit?usp=sharing"",""งบพรบ!FK81"")"),0)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60</v>
      </c>
      <c r="J365" s="228">
        <f ca="1">J371</f>
        <v>38</v>
      </c>
      <c r="K365" s="229">
        <f ca="1">IF(I365&gt;0,J365*100/I365,0)</f>
        <v>63.333333333333336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IFERROR(__xludf.DUMMYFUNCTION("IMPORTRANGE(""https://docs.google.com/spreadsheets/d/1tdoBKaGub7dwA3U6UFTqxio9LNnvDCQjHKmttSEBsFQ/edit?usp=sharing"",""จัดที่ดิน!AB81"")"),15)</f>
        <v>15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IFERROR(__xludf.DUMMYFUNCTION("IMPORTRANGE(""https://docs.google.com/spreadsheets/d/1eHaY18a8A9IcSdp1K8H6x8fbOy06t2VsZHhMHf-1x7Y/edit?usp=sharing"",""แผน!EW81"")"),115)</f>
        <v>115</v>
      </c>
      <c r="J368" s="685">
        <f ca="1">IFERROR(__xludf.DUMMYFUNCTION("IMPORTRANGE(""https://docs.google.com/spreadsheets/d/1tdoBKaGub7dwA3U6UFTqxio9LNnvDCQjHKmttSEBsFQ/edit?usp=sharing"",""จัดที่ดิน!AC81"")"),132.28)</f>
        <v>132.28</v>
      </c>
      <c r="K368" s="47">
        <f ca="1">IF(I368&gt;0,J368*100/I368,0)</f>
        <v>115.02608695652174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IFERROR(__xludf.DUMMYFUNCTION("IMPORTRANGE(""https://docs.google.com/spreadsheets/d/1eHaY18a8A9IcSdp1K8H6x8fbOy06t2VsZHhMHf-1x7Y/edit?usp=sharing"",""แผน!EX81"")"),60)</f>
        <v>60</v>
      </c>
      <c r="J369" s="152">
        <f ca="1">IFERROR(__xludf.DUMMYFUNCTION("IMPORTRANGE(""https://docs.google.com/spreadsheets/d/1tdoBKaGub7dwA3U6UFTqxio9LNnvDCQjHKmttSEBsFQ/edit?usp=sharing"",""จัดที่ดิน!AD81"")"),38)</f>
        <v>38</v>
      </c>
      <c r="K369" s="47">
        <f ca="1">IF(I369&gt;0,J369*100/I369,0)</f>
        <v>63.333333333333336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IFERROR(__xludf.DUMMYFUNCTION("IMPORTRANGE(""https://docs.google.com/spreadsheets/d/1tdoBKaGub7dwA3U6UFTqxio9LNnvDCQjHKmttSEBsFQ/edit?usp=sharing"",""จัดที่ดิน!AE81"")"),403.5)</f>
        <v>403.5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IFERROR(__xludf.DUMMYFUNCTION("IMPORTRANGE(""https://docs.google.com/spreadsheets/d/1eHaY18a8A9IcSdp1K8H6x8fbOy06t2VsZHhMHf-1x7Y/edit?usp=sharing"",""แผน!EY81"")"),60)</f>
        <v>60</v>
      </c>
      <c r="J371" s="152">
        <f ca="1">IFERROR(__xludf.DUMMYFUNCTION("IMPORTRANGE(""https://docs.google.com/spreadsheets/d/1tdoBKaGub7dwA3U6UFTqxio9LNnvDCQjHKmttSEBsFQ/edit?usp=sharing"",""จัดที่ดิน!AF81"")"),38)</f>
        <v>38</v>
      </c>
      <c r="K371" s="47">
        <f ca="1">IF(I371&gt;0,J371*100/I371,0)</f>
        <v>63.333333333333336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IFERROR(__xludf.DUMMYFUNCTION("IMPORTRANGE(""https://docs.google.com/spreadsheets/d/1tdoBKaGub7dwA3U6UFTqxio9LNnvDCQjHKmttSEBsFQ/edit?usp=sharing"",""จัดที่ดิน!AG81"")"),403.5)</f>
        <v>403.5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I386+I388</f>
        <v>800</v>
      </c>
      <c r="J374" s="677">
        <f ca="1">J386+J388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x14ac:dyDescent="0.3">
      <c r="A375" s="128"/>
      <c r="B375" s="159"/>
      <c r="C375" s="386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45100</v>
      </c>
      <c r="M375" s="132">
        <f ca="1">M376+M377</f>
        <v>45100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50000</v>
      </c>
      <c r="R375" s="132">
        <f ca="1">R376+R377</f>
        <v>41812.5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45100</v>
      </c>
      <c r="M377" s="47">
        <f ca="1">M380+M383</f>
        <v>45100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50000</v>
      </c>
      <c r="R377" s="47">
        <f ca="1">R380+R383</f>
        <v>41812.5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45100</v>
      </c>
      <c r="M378" s="47">
        <f ca="1">M379+M380</f>
        <v>45100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50000</v>
      </c>
      <c r="R378" s="47">
        <f ca="1">R379+R380</f>
        <v>41812.5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IFERROR(__xludf.DUMMYFUNCTION("IMPORTRANGE(""https://docs.google.com/spreadsheets/d/1-uDff_7J0KD5mKrp0Vvzr7lt3OU09vwQwhkpOPPYv2Y/edit?usp=sharing"",""งบพรบ!IE81"")"),45100)</f>
        <v>45100</v>
      </c>
      <c r="M380" s="47">
        <f ca="1">IFERROR(__xludf.DUMMYFUNCTION("IMPORTRANGE(""https://docs.google.com/spreadsheets/d/1-uDff_7J0KD5mKrp0Vvzr7lt3OU09vwQwhkpOPPYv2Y/edit?usp=sharing"",""งบพรบ!IJ81"")"),45100)</f>
        <v>45100</v>
      </c>
      <c r="N380" s="47">
        <f ca="1">IFERROR(__xludf.DUMMYFUNCTION("IMPORTRANGE(""https://docs.google.com/spreadsheets/d/1-uDff_7J0KD5mKrp0Vvzr7lt3OU09vwQwhkpOPPYv2Y/edit?usp=sharing"",""งบพรบ!IL81"")"),0)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IFERROR(__xludf.DUMMYFUNCTION("IMPORTRANGE(""https://docs.google.com/spreadsheets/d/1ItG2mGa2ceCfYo0BwxsXqNm01IGEUdYcSSLTEv9YCik/edit?usp=sharing"",""เบิกจ่ายกองทุน!BW81"")"),50000)</f>
        <v>50000</v>
      </c>
      <c r="R380" s="47">
        <f ca="1">IFERROR(__xludf.DUMMYFUNCTION("IMPORTRANGE(""https://docs.google.com/spreadsheets/d/1ItG2mGa2ceCfYo0BwxsXqNm01IGEUdYcSSLTEv9YCik/edit?usp=sharing"",""เบิกจ่ายกองทุน!BX81"")"),41812.5)</f>
        <v>41812.5</v>
      </c>
      <c r="S380" s="47">
        <f ca="1">IFERROR(__xludf.DUMMYFUNCTION("IMPORTRANGE(""https://docs.google.com/spreadsheets/d/1ItG2mGa2ceCfYo0BwxsXqNm01IGEUdYcSSLTEv9YCik/edit?usp=sharing"",""เบิกจ่ายกองทุน!BY81"")"),0)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IFERROR(__xludf.DUMMYFUNCTION("IMPORTRANGE(""https://docs.google.com/spreadsheets/d/1-uDff_7J0KD5mKrp0Vvzr7lt3OU09vwQwhkpOPPYv2Y/edit?usp=sharing"",""งบพรบ!IH81"")"),0)</f>
        <v>0</v>
      </c>
      <c r="M383" s="47">
        <f ca="1">IFERROR(__xludf.DUMMYFUNCTION("IMPORTRANGE(""https://docs.google.com/spreadsheets/d/1-uDff_7J0KD5mKrp0Vvzr7lt3OU09vwQwhkpOPPYv2Y/edit?usp=sharing"",""งบพรบ!IK81"")"),0)</f>
        <v>0</v>
      </c>
      <c r="N383" s="47">
        <f ca="1">IFERROR(__xludf.DUMMYFUNCTION("IMPORTRANGE(""https://docs.google.com/spreadsheets/d/1-uDff_7J0KD5mKrp0Vvzr7lt3OU09vwQwhkpOPPYv2Y/edit?usp=sharing"",""งบพรบ!IM81"")"),0)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x14ac:dyDescent="0.3">
      <c r="A384" s="138"/>
      <c r="B384" s="139"/>
      <c r="C384" s="386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v>0</v>
      </c>
      <c r="J385" s="152">
        <f ca="1">IFERROR(__xludf.DUMMYFUNCTION("IMPORTRANGE(""https://docs.google.com/spreadsheets/d/1w5rwWK1o49a35cNtocGL0gxDwhFSTZUQu90BiH9_zqM/edit?usp=sharing"",""RTK!H81"")"),0)</f>
        <v>0</v>
      </c>
      <c r="K385" s="47">
        <f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IFERROR(__xludf.DUMMYFUNCTION("IMPORTRANGE(""https://docs.google.com/spreadsheets/d/1w5rwWK1o49a35cNtocGL0gxDwhFSTZUQu90BiH9_zqM/edit?usp=sharing"",""RTK!G81"")"),800)</f>
        <v>800</v>
      </c>
      <c r="J386" s="152">
        <f ca="1">IFERROR(__xludf.DUMMYFUNCTION("IMPORTRANGE(""https://docs.google.com/spreadsheets/d/1w5rwWK1o49a35cNtocGL0gxDwhFSTZUQu90BiH9_zqM/edit?usp=sharing"",""RTK!I81"")"),0)</f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617"/>
      <c r="B387" s="326"/>
      <c r="C387" s="326"/>
      <c r="D387" s="326"/>
      <c r="E387" s="327" t="s">
        <v>155</v>
      </c>
      <c r="F387" s="326"/>
      <c r="G387" s="328"/>
      <c r="H387" s="329" t="s">
        <v>34</v>
      </c>
      <c r="I387" s="330">
        <v>0</v>
      </c>
      <c r="J387" s="330">
        <f ca="1">IFERROR(__xludf.DUMMYFUNCTION("IMPORTRANGE(""https://docs.google.com/spreadsheets/d/1w5rwWK1o49a35cNtocGL0gxDwhFSTZUQu90BiH9_zqM/edit?usp=sharing"",""RTK!L81"")"),0)</f>
        <v>0</v>
      </c>
      <c r="K387" s="331">
        <f>IF(I387&gt;0,J387*100/I387,0)</f>
        <v>0</v>
      </c>
      <c r="L387" s="553"/>
      <c r="M387" s="332"/>
      <c r="N387" s="332"/>
      <c r="O387" s="332"/>
      <c r="P387" s="332"/>
      <c r="Q387" s="332"/>
      <c r="R387" s="332"/>
      <c r="S387" s="332"/>
      <c r="T387" s="332"/>
      <c r="U387" s="332"/>
    </row>
    <row r="388" spans="1:21" ht="18.75" hidden="1" x14ac:dyDescent="0.25">
      <c r="A388" s="617"/>
      <c r="B388" s="326"/>
      <c r="C388" s="326"/>
      <c r="D388" s="326"/>
      <c r="E388" s="326"/>
      <c r="F388" s="326"/>
      <c r="G388" s="328"/>
      <c r="H388" s="329" t="s">
        <v>46</v>
      </c>
      <c r="I388" s="330">
        <f ca="1">IFERROR(__xludf.DUMMYFUNCTION("IMPORTRANGE(""https://docs.google.com/spreadsheets/d/1w5rwWK1o49a35cNtocGL0gxDwhFSTZUQu90BiH9_zqM/edit?usp=sharing"",""RTK!K81"")"),0)</f>
        <v>0</v>
      </c>
      <c r="J388" s="330">
        <f ca="1">IFERROR(__xludf.DUMMYFUNCTION("IMPORTRANGE(""https://docs.google.com/spreadsheets/d/1w5rwWK1o49a35cNtocGL0gxDwhFSTZUQu90BiH9_zqM/edit?usp=sharing"",""RTK!M81"")"),0)</f>
        <v>0</v>
      </c>
      <c r="K388" s="331">
        <f ca="1">IF(I388&gt;0,J388*100/I388,0)</f>
        <v>0</v>
      </c>
      <c r="L388" s="553"/>
      <c r="M388" s="332"/>
      <c r="N388" s="332"/>
      <c r="O388" s="332"/>
      <c r="P388" s="332"/>
      <c r="Q388" s="332"/>
      <c r="R388" s="332"/>
      <c r="S388" s="332"/>
      <c r="T388" s="332"/>
      <c r="U388" s="332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/>
      <c r="J389" s="246"/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/>
      <c r="J390" s="335"/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IFERROR(__xludf.DUMMYFUNCTION("IMPORTRANGE(""https://docs.google.com/spreadsheets/d/1ItG2mGa2ceCfYo0BwxsXqNm01IGEUdYcSSLTEv9YCik/edit?usp=sharing"",""เบิกจ่ายกองทุน!CL81"")"),0)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IFERROR(__xludf.DUMMYFUNCTION("IMPORTRANGE(""https://docs.google.com/spreadsheets/d/1ItG2mGa2ceCfYo0BwxsXqNm01IGEUdYcSSLTEv9YCik/edit?usp=sharing"",""เบิกจ่ายกองทุน!CM81"")"),0)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IFERROR(__xludf.DUMMYFUNCTION("IMPORTRANGE(""https://docs.google.com/spreadsheets/d/1ItG2mGa2ceCfYo0BwxsXqNm01IGEUdYcSSLTEv9YCik/edit?usp=sharing"",""เบิกจ่ายกองทุน!CN81"")"),0)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21550</v>
      </c>
      <c r="M413" s="132">
        <f ca="1">M414+M415</f>
        <v>21550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15200</v>
      </c>
      <c r="R413" s="132">
        <f ca="1">R414+R415</f>
        <v>15200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21550</v>
      </c>
      <c r="M415" s="47">
        <f ca="1">M418+M421</f>
        <v>21550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15200</v>
      </c>
      <c r="R415" s="47">
        <f ca="1">R418+R421</f>
        <v>15200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21550</v>
      </c>
      <c r="M416" s="47">
        <f ca="1">M417+M418</f>
        <v>21550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15200</v>
      </c>
      <c r="R416" s="47">
        <f ca="1">R417+R418</f>
        <v>15200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IFERROR(__xludf.DUMMYFUNCTION("IMPORTRANGE(""https://docs.google.com/spreadsheets/d/1-uDff_7J0KD5mKrp0Vvzr7lt3OU09vwQwhkpOPPYv2Y/edit?usp=sharing"",""งบพรบ!IO81"")"),21550)</f>
        <v>21550</v>
      </c>
      <c r="M418" s="47">
        <f ca="1">IFERROR(__xludf.DUMMYFUNCTION("IMPORTRANGE(""https://docs.google.com/spreadsheets/d/1-uDff_7J0KD5mKrp0Vvzr7lt3OU09vwQwhkpOPPYv2Y/edit?usp=sharing"",""งบพรบ!IT81"")"),21550)</f>
        <v>21550</v>
      </c>
      <c r="N418" s="47">
        <f ca="1">IFERROR(__xludf.DUMMYFUNCTION("IMPORTRANGE(""https://docs.google.com/spreadsheets/d/1-uDff_7J0KD5mKrp0Vvzr7lt3OU09vwQwhkpOPPYv2Y/edit?usp=sharing"",""งบพรบ!IV81"")"),0)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IFERROR(__xludf.DUMMYFUNCTION("IMPORTRANGE(""https://docs.google.com/spreadsheets/d/1ItG2mGa2ceCfYo0BwxsXqNm01IGEUdYcSSLTEv9YCik/edit?usp=sharing"",""เบิกจ่ายกองทุน!BZ81"")"),15200)</f>
        <v>15200</v>
      </c>
      <c r="R418" s="47">
        <f ca="1">IFERROR(__xludf.DUMMYFUNCTION("IMPORTRANGE(""https://docs.google.com/spreadsheets/d/1ItG2mGa2ceCfYo0BwxsXqNm01IGEUdYcSSLTEv9YCik/edit?usp=sharing"",""เบิกจ่ายกองทุน!CA81"")"),15200)</f>
        <v>15200</v>
      </c>
      <c r="S418" s="47">
        <f ca="1">IFERROR(__xludf.DUMMYFUNCTION("IMPORTRANGE(""https://docs.google.com/spreadsheets/d/1ItG2mGa2ceCfYo0BwxsXqNm01IGEUdYcSSLTEv9YCik/edit?usp=sharing"",""เบิกจ่ายกองทุน!CB81"")"),0)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IFERROR(__xludf.DUMMYFUNCTION("IMPORTRANGE(""https://docs.google.com/spreadsheets/d/1-uDff_7J0KD5mKrp0Vvzr7lt3OU09vwQwhkpOPPYv2Y/edit?usp=sharing"",""งบพรบ!IR81"")"),0)</f>
        <v>0</v>
      </c>
      <c r="M421" s="47">
        <f ca="1">IFERROR(__xludf.DUMMYFUNCTION("IMPORTRANGE(""https://docs.google.com/spreadsheets/d/1-uDff_7J0KD5mKrp0Vvzr7lt3OU09vwQwhkpOPPYv2Y/edit?usp=sharing"",""งบพรบ!IU81"")"),0)</f>
        <v>0</v>
      </c>
      <c r="N421" s="47">
        <f ca="1">IFERROR(__xludf.DUMMYFUNCTION("IMPORTRANGE(""https://docs.google.com/spreadsheets/d/1-uDff_7J0KD5mKrp0Vvzr7lt3OU09vwQwhkpOPPYv2Y/edit?usp=sharing"",""งบพรบ!IW81"")"),0)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IFERROR(__xludf.DUMMYFUNCTION("IMPORTRANGE(""https://docs.google.com/spreadsheets/d/1eHaY18a8A9IcSdp1K8H6x8fbOy06t2VsZHhMHf-1x7Y/edit?usp=sharing"",""แผน!HJ81"")"),0)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IFERROR(__xludf.DUMMYFUNCTION("IMPORTRANGE(""https://docs.google.com/spreadsheets/d/1eHaY18a8A9IcSdp1K8H6x8fbOy06t2VsZHhMHf-1x7Y/edit?usp=sharing"",""แผน!HK81"")"),0)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IFERROR(__xludf.DUMMYFUNCTION("IMPORTRANGE(""https://docs.google.com/spreadsheets/d/1eHaY18a8A9IcSdp1K8H6x8fbOy06t2VsZHhMHf-1x7Y/edit?usp=sharing"",""แผน!HJ81"")"),0)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IFERROR(__xludf.DUMMYFUNCTION("IMPORTRANGE(""https://docs.google.com/spreadsheets/d/1eHaY18a8A9IcSdp1K8H6x8fbOy06t2VsZHhMHf-1x7Y/edit?usp=sharing"",""แผน!HK81"")"),0)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IFERROR(__xludf.DUMMYFUNCTION("IMPORTRANGE(""https://docs.google.com/spreadsheets/d/1eHaY18a8A9IcSdp1K8H6x8fbOy06t2VsZHhMHf-1x7Y/edit?usp=sharing"",""แผน!HJ81"")"),0)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IFERROR(__xludf.DUMMYFUNCTION("IMPORTRANGE(""https://docs.google.com/spreadsheets/d/1eHaY18a8A9IcSdp1K8H6x8fbOy06t2VsZHhMHf-1x7Y/edit?usp=sharing"",""แผน!HK81"")"),0)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25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IFERROR(__xludf.DUMMYFUNCTION("IMPORTRANGE(""https://docs.google.com/spreadsheets/d/1eHaY18a8A9IcSdp1K8H6x8fbOy06t2VsZHhMHf-1x7Y/edit?usp=sharing"",""แผน!HL81"")"),25)</f>
        <v>25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IFERROR(__xludf.DUMMYFUNCTION("IMPORTRANGE(""https://docs.google.com/spreadsheets/d/1eHaY18a8A9IcSdp1K8H6x8fbOy06t2VsZHhMHf-1x7Y/edit?usp=sharing"",""แผน!HM81"")"),0)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IFERROR(__xludf.DUMMYFUNCTION("IMPORTRANGE(""https://docs.google.com/spreadsheets/d/1-uDff_7J0KD5mKrp0Vvzr7lt3OU09vwQwhkpOPPYv2Y/edit?usp=sharing"",""งบพรบ!HU81"")"),0)</f>
        <v>0</v>
      </c>
      <c r="M498" s="47">
        <f ca="1">IFERROR(__xludf.DUMMYFUNCTION("IMPORTRANGE(""https://docs.google.com/spreadsheets/d/1-uDff_7J0KD5mKrp0Vvzr7lt3OU09vwQwhkpOPPYv2Y/edit?usp=sharing"",""งบพรบ!HZ81"")"),0)</f>
        <v>0</v>
      </c>
      <c r="N498" s="47">
        <f ca="1">IFERROR(__xludf.DUMMYFUNCTION("IMPORTRANGE(""https://docs.google.com/spreadsheets/d/1-uDff_7J0KD5mKrp0Vvzr7lt3OU09vwQwhkpOPPYv2Y/edit?usp=sharing"",""งบพรบ!IB81"")"),0)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IFERROR(__xludf.DUMMYFUNCTION("IMPORTRANGE(""https://docs.google.com/spreadsheets/d/1ItG2mGa2ceCfYo0BwxsXqNm01IGEUdYcSSLTEv9YCik/edit?usp=sharing"",""เบิกจ่ายกองทุน!AD81"")"),0)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IFERROR(__xludf.DUMMYFUNCTION("IMPORTRANGE(""https://docs.google.com/spreadsheets/d/1ItG2mGa2ceCfYo0BwxsXqNm01IGEUdYcSSLTEv9YCik/edit?usp=sharing"",""เบิกจ่ายกองทุน!AE81"")"),0)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IFERROR(__xludf.DUMMYFUNCTION("IMPORTRANGE(""https://docs.google.com/spreadsheets/d/1ItG2mGa2ceCfYo0BwxsXqNm01IGEUdYcSSLTEv9YCik/edit?usp=sharing"",""เบิกจ่ายกองทุน!AF81"")"),0)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IFERROR(__xludf.DUMMYFUNCTION("IMPORTRANGE(""https://docs.google.com/spreadsheets/d/1-uDff_7J0KD5mKrp0Vvzr7lt3OU09vwQwhkpOPPYv2Y/edit?usp=sharing"",""งบพรบ!HX81"")"),0)</f>
        <v>0</v>
      </c>
      <c r="M501" s="47">
        <f ca="1">IFERROR(__xludf.DUMMYFUNCTION("IMPORTRANGE(""https://docs.google.com/spreadsheets/d/1-uDff_7J0KD5mKrp0Vvzr7lt3OU09vwQwhkpOPPYv2Y/edit?usp=sharing"",""งบพรบ!IA81"")"),0)</f>
        <v>0</v>
      </c>
      <c r="N501" s="47">
        <f ca="1">IFERROR(__xludf.DUMMYFUNCTION("IMPORTRANGE(""https://docs.google.com/spreadsheets/d/1-uDff_7J0KD5mKrp0Vvzr7lt3OU09vwQwhkpOPPYv2Y/edit?usp=sharing"",""งบพรบ!IC81"")"),0)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IFERROR(__xludf.DUMMYFUNCTION("IMPORTRANGE(""https://docs.google.com/spreadsheets/d/1eHaY18a8A9IcSdp1K8H6x8fbOy06t2VsZHhMHf-1x7Y/edit?usp=sharing"",""แผน!GX81"")"),0)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IFERROR(__xludf.DUMMYFUNCTION("IMPORTRANGE(""https://docs.google.com/spreadsheets/d/1eHaY18a8A9IcSdp1K8H6x8fbOy06t2VsZHhMHf-1x7Y/edit?usp=sharing"",""แผน!GY81"")"),0)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IFERROR(__xludf.DUMMYFUNCTION("IMPORTRANGE(""https://docs.google.com/spreadsheets/d/1eHaY18a8A9IcSdp1K8H6x8fbOy06t2VsZHhMHf-1x7Y/edit?usp=sharing"",""แผน!GZ81"")"),0)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IFERROR(__xludf.DUMMYFUNCTION("IMPORTRANGE(""https://docs.google.com/spreadsheets/d/1eHaY18a8A9IcSdp1K8H6x8fbOy06t2VsZHhMHf-1x7Y/edit?usp=sharing"",""แผน!HA81"")"),0)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IFERROR(__xludf.DUMMYFUNCTION("IMPORTRANGE(""https://docs.google.com/spreadsheets/d/1eHaY18a8A9IcSdp1K8H6x8fbOy06t2VsZHhMHf-1x7Y/edit?usp=sharing"",""แผน!HB81"")"),0)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IFERROR(__xludf.DUMMYFUNCTION("IMPORTRANGE(""https://docs.google.com/spreadsheets/d/1eHaY18a8A9IcSdp1K8H6x8fbOy06t2VsZHhMHf-1x7Y/edit?usp=sharing"",""แผน!HC81"")"),0)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hidden="1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6"/>
      <c r="M510" s="835"/>
      <c r="N510" s="835"/>
      <c r="O510" s="835"/>
      <c r="P510" s="835"/>
      <c r="Q510" s="835"/>
      <c r="R510" s="835"/>
      <c r="S510" s="835"/>
      <c r="T510" s="835"/>
      <c r="U510" s="835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IFERROR(__xludf.DUMMYFUNCTION("IMPORTRANGE(""https://docs.google.com/spreadsheets/d/1-uDff_7J0KD5mKrp0Vvzr7lt3OU09vwQwhkpOPPYv2Y/edit?usp=sharing"",""งบพรบ!FM81"")"),0)</f>
        <v>0</v>
      </c>
      <c r="M518" s="47">
        <f ca="1">IFERROR(__xludf.DUMMYFUNCTION("IMPORTRANGE(""https://docs.google.com/spreadsheets/d/1-uDff_7J0KD5mKrp0Vvzr7lt3OU09vwQwhkpOPPYv2Y/edit?usp=sharing"",""งบพรบ!FR81"")"),0)</f>
        <v>0</v>
      </c>
      <c r="N518" s="47">
        <f ca="1">IFERROR(__xludf.DUMMYFUNCTION("IMPORTRANGE(""https://docs.google.com/spreadsheets/d/1-uDff_7J0KD5mKrp0Vvzr7lt3OU09vwQwhkpOPPYv2Y/edit?usp=sharing"",""งบพรบ!FT81"")"),0)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IFERROR(__xludf.DUMMYFUNCTION("IMPORTRANGE(""https://docs.google.com/spreadsheets/d/1-uDff_7J0KD5mKrp0Vvzr7lt3OU09vwQwhkpOPPYv2Y/edit?usp=sharing"",""งบพรบ!FP81"")"),0)</f>
        <v>0</v>
      </c>
      <c r="M521" s="47">
        <f ca="1">IFERROR(__xludf.DUMMYFUNCTION("IMPORTRANGE(""https://docs.google.com/spreadsheets/d/1-uDff_7J0KD5mKrp0Vvzr7lt3OU09vwQwhkpOPPYv2Y/edit?usp=sharing"",""งบพรบ!FS81"")"),0)</f>
        <v>0</v>
      </c>
      <c r="N521" s="47">
        <f ca="1">IFERROR(__xludf.DUMMYFUNCTION("IMPORTRANGE(""https://docs.google.com/spreadsheets/d/1-uDff_7J0KD5mKrp0Vvzr7lt3OU09vwQwhkpOPPYv2Y/edit?usp=sharing"",""งบพรบ!FU81"")"),0)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IFERROR(__xludf.DUMMYFUNCTION("IMPORTRANGE(""https://docs.google.com/spreadsheets/d/1-uDff_7J0KD5mKrp0Vvzr7lt3OU09vwQwhkpOPPYv2Y/edit?usp=sharing"",""งบพรบ!FW81"")"),0)</f>
        <v>0</v>
      </c>
      <c r="M539" s="47">
        <f ca="1">IFERROR(__xludf.DUMMYFUNCTION("IMPORTRANGE(""https://docs.google.com/spreadsheets/d/1-uDff_7J0KD5mKrp0Vvzr7lt3OU09vwQwhkpOPPYv2Y/edit?usp=sharing"",""งบพรบ!GB81"")"),0)</f>
        <v>0</v>
      </c>
      <c r="N539" s="47">
        <f ca="1">IFERROR(__xludf.DUMMYFUNCTION("IMPORTRANGE(""https://docs.google.com/spreadsheets/d/1-uDff_7J0KD5mKrp0Vvzr7lt3OU09vwQwhkpOPPYv2Y/edit?usp=sharing"",""งบพรบ!GD81"")"),0)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IFERROR(__xludf.DUMMYFUNCTION("IMPORTRANGE(""https://docs.google.com/spreadsheets/d/1-uDff_7J0KD5mKrp0Vvzr7lt3OU09vwQwhkpOPPYv2Y/edit?usp=sharing"",""งบพรบ!FZ81"")"),0)</f>
        <v>0</v>
      </c>
      <c r="M542" s="47">
        <f ca="1">IFERROR(__xludf.DUMMYFUNCTION("IMPORTRANGE(""https://docs.google.com/spreadsheets/d/1-uDff_7J0KD5mKrp0Vvzr7lt3OU09vwQwhkpOPPYv2Y/edit?usp=sharing"",""งบพรบ!GC81"")"),0)</f>
        <v>0</v>
      </c>
      <c r="N542" s="47">
        <f ca="1">IFERROR(__xludf.DUMMYFUNCTION("IMPORTRANGE(""https://docs.google.com/spreadsheets/d/1-uDff_7J0KD5mKrp0Vvzr7lt3OU09vwQwhkpOPPYv2Y/edit?usp=sharing"",""งบพรบ!GE81"")"),0)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IFERROR(__xludf.DUMMYFUNCTION("IMPORTRANGE(""https://docs.google.com/spreadsheets/d/1-uDff_7J0KD5mKrp0Vvzr7lt3OU09vwQwhkpOPPYv2Y/edit?usp=sharing"",""งบพรบ!GG81"")"),0)</f>
        <v>0</v>
      </c>
      <c r="M560" s="47">
        <f ca="1">IFERROR(__xludf.DUMMYFUNCTION("IMPORTRANGE(""https://docs.google.com/spreadsheets/d/1-uDff_7J0KD5mKrp0Vvzr7lt3OU09vwQwhkpOPPYv2Y/edit?usp=sharing"",""งบพรบ!GL81"")"),0)</f>
        <v>0</v>
      </c>
      <c r="N560" s="47">
        <f ca="1">IFERROR(__xludf.DUMMYFUNCTION("IMPORTRANGE(""https://docs.google.com/spreadsheets/d/1-uDff_7J0KD5mKrp0Vvzr7lt3OU09vwQwhkpOPPYv2Y/edit?usp=sharing"",""งบพรบ!GN81"")"),0)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IFERROR(__xludf.DUMMYFUNCTION("IMPORTRANGE(""https://docs.google.com/spreadsheets/d/1-uDff_7J0KD5mKrp0Vvzr7lt3OU09vwQwhkpOPPYv2Y/edit?usp=sharing"",""งบพรบ!GJ81"")"),0)</f>
        <v>0</v>
      </c>
      <c r="M563" s="47">
        <f ca="1">IFERROR(__xludf.DUMMYFUNCTION("IMPORTRANGE(""https://docs.google.com/spreadsheets/d/1-uDff_7J0KD5mKrp0Vvzr7lt3OU09vwQwhkpOPPYv2Y/edit?usp=sharing"",""งบพรบ!GM81"")"),0)</f>
        <v>0</v>
      </c>
      <c r="N563" s="47">
        <f ca="1">IFERROR(__xludf.DUMMYFUNCTION("IMPORTRANGE(""https://docs.google.com/spreadsheets/d/1-uDff_7J0KD5mKrp0Vvzr7lt3OU09vwQwhkpOPPYv2Y/edit?usp=sharing"",""งบพรบ!GO81"")"),0)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hidden="1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593">
        <f>I587</f>
        <v>0</v>
      </c>
      <c r="J575" s="593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hidden="1" x14ac:dyDescent="0.3">
      <c r="A576" s="128"/>
      <c r="B576" s="41"/>
      <c r="C576" s="129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0</v>
      </c>
      <c r="M576" s="132">
        <f ca="1">M577+M578</f>
        <v>0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0</v>
      </c>
      <c r="M578" s="47">
        <f ca="1">M581+M584</f>
        <v>0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hidden="1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0</v>
      </c>
      <c r="M579" s="47">
        <f ca="1">M580+M581</f>
        <v>0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IFERROR(__xludf.DUMMYFUNCTION("IMPORTRANGE(""https://docs.google.com/spreadsheets/d/1-uDff_7J0KD5mKrp0Vvzr7lt3OU09vwQwhkpOPPYv2Y/edit?usp=sharing"",""งบพรบ!GQ81"")"),0)</f>
        <v>0</v>
      </c>
      <c r="M581" s="47">
        <f ca="1">IFERROR(__xludf.DUMMYFUNCTION("IMPORTRANGE(""https://docs.google.com/spreadsheets/d/1-uDff_7J0KD5mKrp0Vvzr7lt3OU09vwQwhkpOPPYv2Y/edit?usp=sharing"",""งบพรบ!GV81"")"),0)</f>
        <v>0</v>
      </c>
      <c r="N581" s="47">
        <f ca="1">IFERROR(__xludf.DUMMYFUNCTION("IMPORTRANGE(""https://docs.google.com/spreadsheets/d/1-uDff_7J0KD5mKrp0Vvzr7lt3OU09vwQwhkpOPPYv2Y/edit?usp=sharing"",""งบพรบ!GX81"")"),0)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hidden="1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IFERROR(__xludf.DUMMYFUNCTION("IMPORTRANGE(""https://docs.google.com/spreadsheets/d/1-uDff_7J0KD5mKrp0Vvzr7lt3OU09vwQwhkpOPPYv2Y/edit?usp=sharing"",""งบพรบ!GT81"")"),0)</f>
        <v>0</v>
      </c>
      <c r="M584" s="47">
        <f ca="1">IFERROR(__xludf.DUMMYFUNCTION("IMPORTRANGE(""https://docs.google.com/spreadsheets/d/1-uDff_7J0KD5mKrp0Vvzr7lt3OU09vwQwhkpOPPYv2Y/edit?usp=sharing"",""งบพรบ!GW81"")"),0)</f>
        <v>0</v>
      </c>
      <c r="N584" s="47">
        <f ca="1">IFERROR(__xludf.DUMMYFUNCTION("IMPORTRANGE(""https://docs.google.com/spreadsheets/d/1-uDff_7J0KD5mKrp0Vvzr7lt3OU09vwQwhkpOPPYv2Y/edit?usp=sharing"",""งบพรบ!GY81"")"),0)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hidden="1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2.75" hidden="1" x14ac:dyDescent="0.2">
      <c r="A586" s="241"/>
      <c r="B586" s="243"/>
      <c r="C586" s="242"/>
      <c r="D586" s="243"/>
      <c r="E586" s="242"/>
      <c r="F586" s="243"/>
      <c r="G586" s="244"/>
      <c r="H586" s="244"/>
      <c r="I586" s="246"/>
      <c r="J586" s="246"/>
      <c r="K586" s="247"/>
      <c r="L586" s="590"/>
      <c r="M586" s="247"/>
      <c r="N586" s="247"/>
      <c r="O586" s="247"/>
      <c r="P586" s="247"/>
      <c r="Q586" s="247"/>
      <c r="R586" s="247"/>
      <c r="S586" s="247"/>
      <c r="T586" s="247"/>
      <c r="U586" s="247"/>
    </row>
    <row r="587" spans="1:21" ht="12.75" hidden="1" x14ac:dyDescent="0.2">
      <c r="A587" s="241"/>
      <c r="B587" s="243"/>
      <c r="C587" s="242"/>
      <c r="D587" s="243"/>
      <c r="E587" s="242"/>
      <c r="F587" s="243"/>
      <c r="G587" s="244"/>
      <c r="H587" s="244"/>
      <c r="I587" s="246"/>
      <c r="J587" s="246"/>
      <c r="K587" s="247"/>
      <c r="L587" s="590"/>
      <c r="M587" s="247"/>
      <c r="N587" s="247"/>
      <c r="O587" s="247"/>
      <c r="P587" s="247"/>
      <c r="Q587" s="247"/>
      <c r="R587" s="247"/>
      <c r="S587" s="247"/>
      <c r="T587" s="247"/>
      <c r="U587" s="247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IFERROR(__xludf.DUMMYFUNCTION("IMPORTRANGE(""https://docs.google.com/spreadsheets/d/1-uDff_7J0KD5mKrp0Vvzr7lt3OU09vwQwhkpOPPYv2Y/edit?usp=sharing"",""งบพรบ!HK81"")"),0)</f>
        <v>0</v>
      </c>
      <c r="M604" s="47">
        <f ca="1">IFERROR(__xludf.DUMMYFUNCTION("IMPORTRANGE(""https://docs.google.com/spreadsheets/d/1-uDff_7J0KD5mKrp0Vvzr7lt3OU09vwQwhkpOPPYv2Y/edit?usp=sharing"",""งบพรบ!HP81"")"),0)</f>
        <v>0</v>
      </c>
      <c r="N604" s="47">
        <f ca="1">IFERROR(__xludf.DUMMYFUNCTION("IMPORTRANGE(""https://docs.google.com/spreadsheets/d/1-uDff_7J0KD5mKrp0Vvzr7lt3OU09vwQwhkpOPPYv2Y/edit?usp=sharing"",""งบพรบ!HR81"")"),0)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IFERROR(__xludf.DUMMYFUNCTION("IMPORTRANGE(""https://docs.google.com/spreadsheets/d/1ItG2mGa2ceCfYo0BwxsXqNm01IGEUdYcSSLTEv9YCik/edit?usp=sharing"",""เบิกจ่ายกองทุน!AV81"")"),0)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IFERROR(__xludf.DUMMYFUNCTION("IMPORTRANGE(""https://docs.google.com/spreadsheets/d/1ItG2mGa2ceCfYo0BwxsXqNm01IGEUdYcSSLTEv9YCik/edit?usp=sharing"",""เบิกจ่ายกองทุน!AW81"")"),0)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IFERROR(__xludf.DUMMYFUNCTION("IMPORTRANGE(""https://docs.google.com/spreadsheets/d/1ItG2mGa2ceCfYo0BwxsXqNm01IGEUdYcSSLTEv9YCik/edit?usp=sharing"",""เบิกจ่ายกองทุน!AX81"")"),0)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IFERROR(__xludf.DUMMYFUNCTION("IMPORTRANGE(""https://docs.google.com/spreadsheets/d/1-uDff_7J0KD5mKrp0Vvzr7lt3OU09vwQwhkpOPPYv2Y/edit?usp=sharing"",""งบพรบ!HN81"")"),0)</f>
        <v>0</v>
      </c>
      <c r="M607" s="47">
        <f ca="1">IFERROR(__xludf.DUMMYFUNCTION("IMPORTRANGE(""https://docs.google.com/spreadsheets/d/1-uDff_7J0KD5mKrp0Vvzr7lt3OU09vwQwhkpOPPYv2Y/edit?usp=sharing"",""งบพรบ!HQ81"")"),0)</f>
        <v>0</v>
      </c>
      <c r="N607" s="47">
        <f ca="1">IFERROR(__xludf.DUMMYFUNCTION("IMPORTRANGE(""https://docs.google.com/spreadsheets/d/1-uDff_7J0KD5mKrp0Vvzr7lt3OU09vwQwhkpOPPYv2Y/edit?usp=sharing"",""งบพรบ!HS81"")"),0)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IFERROR(__xludf.DUMMYFUNCTION("IMPORTRANGE(""https://docs.google.com/spreadsheets/d/1ItG2mGa2ceCfYo0BwxsXqNm01IGEUdYcSSLTEv9YCik/edit?usp=sharing"",""เบิกจ่ายกองทุน!AY81"")"),0)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IFERROR(__xludf.DUMMYFUNCTION("IMPORTRANGE(""https://docs.google.com/spreadsheets/d/1ItG2mGa2ceCfYo0BwxsXqNm01IGEUdYcSSLTEv9YCik/edit?usp=sharing"",""เบิกจ่ายกองทุน!AZ81"")"),0)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IFERROR(__xludf.DUMMYFUNCTION("IMPORTRANGE(""https://docs.google.com/spreadsheets/d/1ItG2mGa2ceCfYo0BwxsXqNm01IGEUdYcSSLTEv9YCik/edit?usp=sharing"",""เบิกจ่ายกองทุน!BA81"")"),0)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7300</v>
      </c>
      <c r="R616" s="132">
        <f ca="1">R617+R618</f>
        <v>7300</v>
      </c>
      <c r="S616" s="132">
        <f ca="1">S617+S618</f>
        <v>600</v>
      </c>
      <c r="T616" s="132">
        <f ca="1">IF(Q616&gt;0,S616*100/Q616,0)</f>
        <v>8.2191780821917817</v>
      </c>
      <c r="U616" s="132">
        <f ca="1">IF(R616&gt;0,S616*100/R616,0)</f>
        <v>8.2191780821917817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7300</v>
      </c>
      <c r="R618" s="47">
        <f ca="1">R621+R624</f>
        <v>7300</v>
      </c>
      <c r="S618" s="47">
        <f ca="1">S621+S624</f>
        <v>600</v>
      </c>
      <c r="T618" s="47">
        <f ca="1">IF(Q618&gt;0,S618*100/Q618,0)</f>
        <v>8.2191780821917817</v>
      </c>
      <c r="U618" s="47">
        <f ca="1">IF(R618&gt;0,S618*100/R618,0)</f>
        <v>8.2191780821917817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7300</v>
      </c>
      <c r="R619" s="47">
        <f ca="1">R620+R621</f>
        <v>7300</v>
      </c>
      <c r="S619" s="47">
        <f ca="1">S620+S621</f>
        <v>600</v>
      </c>
      <c r="T619" s="47">
        <f ca="1">IF(Q619&gt;0,S619*100/Q619,0)</f>
        <v>8.2191780821917817</v>
      </c>
      <c r="U619" s="47">
        <f ca="1">IF(R619&gt;0,S619*100/R619,0)</f>
        <v>8.2191780821917817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IFERROR(__xludf.DUMMYFUNCTION("IMPORTRANGE(""https://docs.google.com/spreadsheets/d/1ItG2mGa2ceCfYo0BwxsXqNm01IGEUdYcSSLTEv9YCik/edit?usp=sharing"",""เบิกจ่ายกองทุน!F81"")"),7300)</f>
        <v>7300</v>
      </c>
      <c r="R621" s="47">
        <f ca="1">IFERROR(__xludf.DUMMYFUNCTION("IMPORTRANGE(""https://docs.google.com/spreadsheets/d/1ItG2mGa2ceCfYo0BwxsXqNm01IGEUdYcSSLTEv9YCik/edit?usp=sharing"",""เบิกจ่ายกองทุน!G81"")"),7300)</f>
        <v>7300</v>
      </c>
      <c r="S621" s="47">
        <f ca="1">IFERROR(__xludf.DUMMYFUNCTION("IMPORTRANGE(""https://docs.google.com/spreadsheets/d/1ItG2mGa2ceCfYo0BwxsXqNm01IGEUdYcSSLTEv9YCik/edit?usp=sharing"",""เบิกจ่ายกองทุน!H81"")"),600)</f>
        <v>600</v>
      </c>
      <c r="T621" s="47">
        <f ca="1">IF(Q621&gt;0,S621*100/Q621,0)</f>
        <v>8.2191780821917817</v>
      </c>
      <c r="U621" s="47">
        <f ca="1">IF(R621&gt;0,S621*100/R621,0)</f>
        <v>8.2191780821917817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IFERROR(__xludf.DUMMYFUNCTION("IMPORTRANGE(""https://docs.google.com/spreadsheets/d/1eHaY18a8A9IcSdp1K8H6x8fbOy06t2VsZHhMHf-1x7Y/edit?usp=sharing"",""แผน!ID81"")"),50)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IFERROR(__xludf.DUMMYFUNCTION("IMPORTRANGE(""https://docs.google.com/spreadsheets/d/1eHaY18a8A9IcSdp1K8H6x8fbOy06t2VsZHhMHf-1x7Y/edit?usp=sharing"",""แผน!IC81"")"),1)</f>
        <v>1</v>
      </c>
      <c r="J627" s="167">
        <v>1</v>
      </c>
      <c r="K627" s="47">
        <f ca="1">IF(I627&gt;0,(J627*100)/I627,0)</f>
        <v>100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IFERROR(__xludf.DUMMYFUNCTION("IMPORTRANGE(""https://docs.google.com/spreadsheets/d/1eHaY18a8A9IcSdp1K8H6x8fbOy06t2VsZHhMHf-1x7Y/edit?usp=sharing"",""แผน!IC81"")"),1)</f>
        <v>1</v>
      </c>
      <c r="J628" s="167">
        <v>1</v>
      </c>
      <c r="K628" s="47">
        <f ca="1">IF(I628&gt;0,(J628*100)/I628,0)</f>
        <v>100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IFERROR(__xludf.DUMMYFUNCTION("IMPORTRANGE(""https://docs.google.com/spreadsheets/d/1eHaY18a8A9IcSdp1K8H6x8fbOy06t2VsZHhMHf-1x7Y/edit?usp=sharing"",""แผน!IE81"")"),0)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IFERROR(__xludf.DUMMYFUNCTION("IMPORTRANGE(""https://docs.google.com/spreadsheets/d/1ItG2mGa2ceCfYo0BwxsXqNm01IGEUdYcSSLTEv9YCik/edit?usp=sharing"",""เบิกจ่ายกองทุน!I81"")"),0)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IFERROR(__xludf.DUMMYFUNCTION("IMPORTRANGE(""https://docs.google.com/spreadsheets/d/1ItG2mGa2ceCfYo0BwxsXqNm01IGEUdYcSSLTEv9YCik/edit?usp=sharing"",""เบิกจ่ายกองทุน!J81"")"),0)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IFERROR(__xludf.DUMMYFUNCTION("IMPORTRANGE(""https://docs.google.com/spreadsheets/d/1ItG2mGa2ceCfYo0BwxsXqNm01IGEUdYcSSLTEv9YCik/edit?usp=sharing"",""เบิกจ่ายกองทุน!K81"")"),0)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IFERROR(__xludf.DUMMYFUNCTION("IMPORTRANGE(""https://docs.google.com/spreadsheets/d/1eHaY18a8A9IcSdp1K8H6x8fbOy06t2VsZHhMHf-1x7Y/edit?usp=sharing"",""แผน!IF81"")"),0)</f>
        <v>0</v>
      </c>
      <c r="J652" s="152">
        <f ca="1">IFERROR(__xludf.DUMMYFUNCTION("IMPORTRANGE(""https://docs.google.com/spreadsheets/d/1tdoBKaGub7dwA3U6UFTqxio9LNnvDCQjHKmttSEBsFQ/edit?usp=sharing"",""จัดที่ดิน!AU81"")"),0)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IFERROR(__xludf.DUMMYFUNCTION("IMPORTRANGE(""https://docs.google.com/spreadsheets/d/1eHaY18a8A9IcSdp1K8H6x8fbOy06t2VsZHhMHf-1x7Y/edit?usp=sharing"",""แผน!IG81"")"),0)</f>
        <v>0</v>
      </c>
      <c r="J653" s="152">
        <f ca="1">IFERROR(__xludf.DUMMYFUNCTION("IMPORTRANGE(""https://docs.google.com/spreadsheets/d/1tdoBKaGub7dwA3U6UFTqxio9LNnvDCQjHKmttSEBsFQ/edit?usp=sharing"",""จัดที่ดิน!AW81"")"),0)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IFERROR(__xludf.DUMMYFUNCTION("IMPORTRANGE(""https://docs.google.com/spreadsheets/d/1eHaY18a8A9IcSdp1K8H6x8fbOy06t2VsZHhMHf-1x7Y/edit?usp=sharing"",""แผน!IH81"")"),0)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IFERROR(__xludf.DUMMYFUNCTION("IMPORTRANGE(""https://docs.google.com/spreadsheets/d/1eHaY18a8A9IcSdp1K8H6x8fbOy06t2VsZHhMHf-1x7Y/edit?usp=sharing"",""แผน!II81"")"),0)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IFERROR(__xludf.DUMMYFUNCTION("IMPORTRANGE(""https://docs.google.com/spreadsheets/d/1eHaY18a8A9IcSdp1K8H6x8fbOy06t2VsZHhMHf-1x7Y/edit?usp=sharing"",""แผน!IJ81"")"),0)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IFERROR(__xludf.DUMMYFUNCTION("IMPORTRANGE(""https://docs.google.com/spreadsheets/d/1eHaY18a8A9IcSdp1K8H6x8fbOy06t2VsZHhMHf-1x7Y/edit?usp=sharing"",""แผน!IK81"")"),0)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IFERROR(__xludf.DUMMYFUNCTION("IMPORTRANGE(""https://docs.google.com/spreadsheets/d/1tdoBKaGub7dwA3U6UFTqxio9LNnvDCQjHKmttSEBsFQ/edit?usp=sharing"",""จัดที่ดิน!AY81"")"),0)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IFERROR(__xludf.DUMMYFUNCTION("IMPORTRANGE(""https://docs.google.com/spreadsheets/d/1tdoBKaGub7dwA3U6UFTqxio9LNnvDCQjHKmttSEBsFQ/edit?usp=sharing"",""จัดที่ดิน!AZ81"")"),0)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IFERROR(__xludf.DUMMYFUNCTION("IMPORTRANGE(""https://docs.google.com/spreadsheets/d/1eHaY18a8A9IcSdp1K8H6x8fbOy06t2VsZHhMHf-1x7Y/edit?usp=sharing"",""แผน!IL81"")"),0)</f>
        <v>0</v>
      </c>
      <c r="J673" s="152">
        <f ca="1">IFERROR(__xludf.DUMMYFUNCTION("IMPORTRANGE(""https://docs.google.com/spreadsheets/d/1tdoBKaGub7dwA3U6UFTqxio9LNnvDCQjHKmttSEBsFQ/edit?usp=sharing"",""จัดที่ดิน!BA81"")"),0)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IFERROR(__xludf.DUMMYFUNCTION("IMPORTRANGE(""https://docs.google.com/spreadsheets/d/1eHaY18a8A9IcSdp1K8H6x8fbOy06t2VsZHhMHf-1x7Y/edit?usp=sharing"",""แผน!IM81"")"),0)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IFERROR(__xludf.DUMMYFUNCTION("IMPORTRANGE(""https://docs.google.com/spreadsheets/d/1eHaY18a8A9IcSdp1K8H6x8fbOy06t2VsZHhMHf-1x7Y/edit?usp=sharing"",""แผน!IN81"")"),0)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IFERROR(__xludf.DUMMYFUNCTION("IMPORTRANGE(""https://docs.google.com/spreadsheets/d/1eHaY18a8A9IcSdp1K8H6x8fbOy06t2VsZHhMHf-1x7Y/edit?usp=sharing"",""แผน!IO81"")"),0)</f>
        <v>0</v>
      </c>
      <c r="J676" s="152">
        <f ca="1">IFERROR(__xludf.DUMMYFUNCTION("IMPORTRANGE(""https://docs.google.com/spreadsheets/d/1tdoBKaGub7dwA3U6UFTqxio9LNnvDCQjHKmttSEBsFQ/edit?usp=sharing"",""จัดที่ดิน!BF81"")"),0)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IFERROR(__xludf.DUMMYFUNCTION("IMPORTRANGE(""https://docs.google.com/spreadsheets/d/1tdoBKaGub7dwA3U6UFTqxio9LNnvDCQjHKmttSEBsFQ/edit?usp=sharing"",""จัดที่ดิน!BG81"")"),0)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IFERROR(__xludf.DUMMYFUNCTION("IMPORTRANGE(""https://docs.google.com/spreadsheets/d/1eHaY18a8A9IcSdp1K8H6x8fbOy06t2VsZHhMHf-1x7Y/edit?usp=sharing"",""แผน!IP81"")"),0)</f>
        <v>0</v>
      </c>
      <c r="J678" s="152">
        <f ca="1">IFERROR(__xludf.DUMMYFUNCTION("IMPORTRANGE(""https://docs.google.com/spreadsheets/d/1tdoBKaGub7dwA3U6UFTqxio9LNnvDCQjHKmttSEBsFQ/edit?usp=sharing"",""จัดที่ดิน!BH81"")"),0)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IFERROR(__xludf.DUMMYFUNCTION("IMPORTRANGE(""https://docs.google.com/spreadsheets/d/1eHaY18a8A9IcSdp1K8H6x8fbOy06t2VsZHhMHf-1x7Y/edit?usp=sharing"",""แผน!IQ81"")"),0)</f>
        <v>0</v>
      </c>
      <c r="J679" s="152">
        <f ca="1">IFERROR(__xludf.DUMMYFUNCTION("IMPORTRANGE(""https://docs.google.com/spreadsheets/d/1tdoBKaGub7dwA3U6UFTqxio9LNnvDCQjHKmttSEBsFQ/edit?usp=sharing"",""จัดที่ดิน!BK81"")"),0)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IFERROR(__xludf.DUMMYFUNCTION("IMPORTRANGE(""https://docs.google.com/spreadsheets/d/1tdoBKaGub7dwA3U6UFTqxio9LNnvDCQjHKmttSEBsFQ/edit?usp=sharing"",""จัดที่ดิน!BL81"")"),0)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IFERROR(__xludf.DUMMYFUNCTION("IMPORTRANGE(""https://docs.google.com/spreadsheets/d/1eHaY18a8A9IcSdp1K8H6x8fbOy06t2VsZHhMHf-1x7Y/edit?usp=sharing"",""แผน!IR81"")"),0)</f>
        <v>0</v>
      </c>
      <c r="J681" s="152">
        <f ca="1">IFERROR(__xludf.DUMMYFUNCTION("IMPORTRANGE(""https://docs.google.com/spreadsheets/d/1tdoBKaGub7dwA3U6UFTqxio9LNnvDCQjHKmttSEBsFQ/edit?usp=sharing"",""จัดที่ดิน!BM81"")"),0)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IFERROR(__xludf.DUMMYFUNCTION("IMPORTRANGE(""https://docs.google.com/spreadsheets/d/1eHaY18a8A9IcSdp1K8H6x8fbOy06t2VsZHhMHf-1x7Y/edit?usp=sharing"",""แผน!IS81"")"),0)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hidden="1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hidden="1" x14ac:dyDescent="0.3">
      <c r="A690" s="128"/>
      <c r="B690" s="159"/>
      <c r="C690" s="188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0</v>
      </c>
      <c r="R690" s="132">
        <f ca="1">R691+R692</f>
        <v>0</v>
      </c>
      <c r="S690" s="132">
        <f ca="1">S691+S692</f>
        <v>0</v>
      </c>
      <c r="T690" s="132">
        <f ca="1">IF(Q690&gt;0,S690*100/Q690,0)</f>
        <v>0</v>
      </c>
      <c r="U690" s="132">
        <f ca="1">IF(R690&gt;0,S690*100/R690,0)</f>
        <v>0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0</v>
      </c>
      <c r="R692" s="47">
        <f ca="1">R695+R698</f>
        <v>0</v>
      </c>
      <c r="S692" s="47">
        <f ca="1">S695+S698</f>
        <v>0</v>
      </c>
      <c r="T692" s="47">
        <f ca="1">IF(Q692&gt;0,S692*100/Q692,0)</f>
        <v>0</v>
      </c>
      <c r="U692" s="47">
        <f ca="1">IF(R692&gt;0,S692*100/R692,0)</f>
        <v>0</v>
      </c>
    </row>
    <row r="693" spans="1:21" ht="18.75" hidden="1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0</v>
      </c>
      <c r="R693" s="47">
        <f ca="1">R694+R695</f>
        <v>0</v>
      </c>
      <c r="S693" s="47">
        <f ca="1">S694+S695</f>
        <v>0</v>
      </c>
      <c r="T693" s="47">
        <f ca="1">IF(Q693&gt;0,S693*100/Q693,0)</f>
        <v>0</v>
      </c>
      <c r="U693" s="47">
        <f ca="1">IF(R693&gt;0,S693*100/R693,0)</f>
        <v>0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IFERROR(__xludf.DUMMYFUNCTION("IMPORTRANGE(""https://docs.google.com/spreadsheets/d/1ItG2mGa2ceCfYo0BwxsXqNm01IGEUdYcSSLTEv9YCik/edit?usp=sharing"",""เบิกจ่ายกองทุน!L81"")"),0)</f>
        <v>0</v>
      </c>
      <c r="R695" s="47">
        <f ca="1">IFERROR(__xludf.DUMMYFUNCTION("IMPORTRANGE(""https://docs.google.com/spreadsheets/d/1ItG2mGa2ceCfYo0BwxsXqNm01IGEUdYcSSLTEv9YCik/edit?usp=sharing"",""เบิกจ่ายกองทุน!M81"")"),0)</f>
        <v>0</v>
      </c>
      <c r="S695" s="47">
        <f ca="1">IFERROR(__xludf.DUMMYFUNCTION("IMPORTRANGE(""https://docs.google.com/spreadsheets/d/1ItG2mGa2ceCfYo0BwxsXqNm01IGEUdYcSSLTEv9YCik/edit?usp=sharing"",""เบิกจ่ายกองทุน!N81"")"),0)</f>
        <v>0</v>
      </c>
      <c r="T695" s="47">
        <f ca="1">IF(Q695&gt;0,S695*100/Q695,0)</f>
        <v>0</v>
      </c>
      <c r="U695" s="47">
        <f ca="1">IF(R695&gt;0,S695*100/R695,0)</f>
        <v>0</v>
      </c>
    </row>
    <row r="696" spans="1:21" ht="18.75" hidden="1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hidden="1" x14ac:dyDescent="0.3">
      <c r="A699" s="138"/>
      <c r="B699" s="139"/>
      <c r="C699" s="188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hidden="1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IFERROR(__xludf.DUMMYFUNCTION("IMPORTRANGE(""https://docs.google.com/spreadsheets/d/1eHaY18a8A9IcSdp1K8H6x8fbOy06t2VsZHhMHf-1x7Y/edit?usp=sharing"",""แผน!LC81"")"),0)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hidden="1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0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hidden="1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hidden="1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IFERROR(__xludf.DUMMYFUNCTION("IMPORTRANGE(""https://docs.google.com/spreadsheets/d/1eHaY18a8A9IcSdp1K8H6x8fbOy06t2VsZHhMHf-1x7Y/edit?usp=sharing"",""แผน!LJ81"")"),0)</f>
        <v>0</v>
      </c>
      <c r="J703" s="152">
        <f ca="1">IFERROR(__xludf.DUMMYFUNCTION("IMPORTRANGE(""https://docs.google.com/spreadsheets/d/1tdoBKaGub7dwA3U6UFTqxio9LNnvDCQjHKmttSEBsFQ/edit?usp=sharing"",""จัดที่ดิน!AP81"")"),0)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hidden="1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IFERROR(__xludf.DUMMYFUNCTION("IMPORTRANGE(""https://docs.google.com/spreadsheets/d/1tdoBKaGub7dwA3U6UFTqxio9LNnvDCQjHKmttSEBsFQ/edit?usp=sharing"",""จัดที่ดิน!AQ81"")"),0)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hidden="1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IFERROR(__xludf.DUMMYFUNCTION("IMPORTRANGE(""https://docs.google.com/spreadsheets/d/1eHaY18a8A9IcSdp1K8H6x8fbOy06t2VsZHhMHf-1x7Y/edit?usp=sharing"",""แผน!LK81"")"),0)</f>
        <v>0</v>
      </c>
      <c r="J705" s="152">
        <f ca="1">IFERROR(__xludf.DUMMYFUNCTION("IMPORTRANGE(""https://docs.google.com/spreadsheets/d/1tdoBKaGub7dwA3U6UFTqxio9LNnvDCQjHKmttSEBsFQ/edit?usp=sharing"",""จัดที่ดิน!AR81"")"),0)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hidden="1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IFERROR(__xludf.DUMMYFUNCTION("IMPORTRANGE(""https://docs.google.com/spreadsheets/d/1tdoBKaGub7dwA3U6UFTqxio9LNnvDCQjHKmttSEBsFQ/edit?usp=sharing"",""จัดที่ดิน!AS81"")"),0)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hidden="1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IFERROR(__xludf.DUMMYFUNCTION("IMPORTRANGE(""https://docs.google.com/spreadsheets/d/1eHaY18a8A9IcSdp1K8H6x8fbOy06t2VsZHhMHf-1x7Y/edit?usp=sharing"",""แผน!LJ81"")"),0)</f>
        <v>0</v>
      </c>
      <c r="J707" s="152">
        <f ca="1">IFERROR(__xludf.DUMMYFUNCTION("IMPORTRANGE(""https://docs.google.com/spreadsheets/d/1tdoBKaGub7dwA3U6UFTqxio9LNnvDCQjHKmttSEBsFQ/edit?usp=sharing"",""จัดที่ดิน!BN81"")"),0)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hidden="1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IFERROR(__xludf.DUMMYFUNCTION("IMPORTRANGE(""https://docs.google.com/spreadsheets/d/1tdoBKaGub7dwA3U6UFTqxio9LNnvDCQjHKmttSEBsFQ/edit?usp=sharing"",""จัดที่ดิน!BO81"")"),0)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hidden="1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IFERROR(__xludf.DUMMYFUNCTION("IMPORTRANGE(""https://docs.google.com/spreadsheets/d/1eHaY18a8A9IcSdp1K8H6x8fbOy06t2VsZHhMHf-1x7Y/edit?usp=sharing"",""แผน!LK81"")"),0)</f>
        <v>0</v>
      </c>
      <c r="J709" s="152">
        <f ca="1">IFERROR(__xludf.DUMMYFUNCTION("IMPORTRANGE(""https://docs.google.com/spreadsheets/d/1tdoBKaGub7dwA3U6UFTqxio9LNnvDCQjHKmttSEBsFQ/edit?usp=sharing"",""จัดที่ดิน!BP81"")"),0)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hidden="1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IFERROR(__xludf.DUMMYFUNCTION("IMPORTRANGE(""https://docs.google.com/spreadsheets/d/1tdoBKaGub7dwA3U6UFTqxio9LNnvDCQjHKmttSEBsFQ/edit?usp=sharing"",""จัดที่ดิน!BQ81"")"),0)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IFERROR(__xludf.DUMMYFUNCTION("IMPORTRANGE(""https://docs.google.com/spreadsheets/d/1eHaY18a8A9IcSdp1K8H6x8fbOy06t2VsZHhMHf-1x7Y/edit?usp=sharing"",""แผน!GA81"")"),16)</f>
        <v>16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IFERROR(__xludf.DUMMYFUNCTION("IMPORTRANGE(""https://docs.google.com/spreadsheets/d/1eHaY18a8A9IcSdp1K8H6x8fbOy06t2VsZHhMHf-1x7Y/edit?usp=sharing"",""แผน!FZ81"")"),150)</f>
        <v>150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143438</v>
      </c>
      <c r="R728" s="132">
        <f ca="1">R729+R730</f>
        <v>143438</v>
      </c>
      <c r="S728" s="132">
        <f ca="1">S729+S730</f>
        <v>13010</v>
      </c>
      <c r="T728" s="132">
        <f ca="1">IF(Q728&gt;0,S728*100/Q728,0)</f>
        <v>9.0701208884674909</v>
      </c>
      <c r="U728" s="132">
        <f ca="1">IF(R728&gt;0,S728*100/R728,0)</f>
        <v>9.0701208884674909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143438</v>
      </c>
      <c r="R730" s="47">
        <f ca="1">R733+R736</f>
        <v>143438</v>
      </c>
      <c r="S730" s="47">
        <f ca="1">S733+S736</f>
        <v>13010</v>
      </c>
      <c r="T730" s="47">
        <f ca="1">IF(Q730&gt;0,S730*100/Q730,0)</f>
        <v>9.0701208884674909</v>
      </c>
      <c r="U730" s="47">
        <f ca="1">IF(R730&gt;0,S730*100/R730,0)</f>
        <v>9.0701208884674909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143438</v>
      </c>
      <c r="R731" s="47">
        <f ca="1">R732+R733</f>
        <v>143438</v>
      </c>
      <c r="S731" s="47">
        <f ca="1">S732+S733</f>
        <v>13010</v>
      </c>
      <c r="T731" s="47">
        <f ca="1">IF(Q731&gt;0,S731*100/Q731,0)</f>
        <v>9.0701208884674909</v>
      </c>
      <c r="U731" s="47">
        <f ca="1">IF(R731&gt;0,S731*100/R731,0)</f>
        <v>9.0701208884674909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IFERROR(__xludf.DUMMYFUNCTION("IMPORTRANGE(""https://docs.google.com/spreadsheets/d/1ItG2mGa2ceCfYo0BwxsXqNm01IGEUdYcSSLTEv9YCik/edit?usp=sharing"",""เบิกจ่ายกองทุน!O81"")"),143438)</f>
        <v>143438</v>
      </c>
      <c r="R733" s="47">
        <f ca="1">IFERROR(__xludf.DUMMYFUNCTION("IMPORTRANGE(""https://docs.google.com/spreadsheets/d/1ItG2mGa2ceCfYo0BwxsXqNm01IGEUdYcSSLTEv9YCik/edit?usp=sharing"",""เบิกจ่ายกองทุน!P81"")"),143438)</f>
        <v>143438</v>
      </c>
      <c r="S733" s="47">
        <f ca="1">IFERROR(__xludf.DUMMYFUNCTION("IMPORTRANGE(""https://docs.google.com/spreadsheets/d/1ItG2mGa2ceCfYo0BwxsXqNm01IGEUdYcSSLTEv9YCik/edit?usp=sharing"",""เบิกจ่ายกองทุน!Q81"")"),13010)</f>
        <v>13010</v>
      </c>
      <c r="T733" s="47">
        <f ca="1">IF(Q733&gt;0,S733*100/Q733,0)</f>
        <v>9.0701208884674909</v>
      </c>
      <c r="U733" s="47">
        <f ca="1">IF(R733&gt;0,S733*100/R733,0)</f>
        <v>9.0701208884674909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138"/>
      <c r="B740" s="139"/>
      <c r="C740" s="139"/>
      <c r="D740" s="139"/>
      <c r="E740" s="139"/>
      <c r="F740" s="472" t="s">
        <v>274</v>
      </c>
      <c r="G740" s="143"/>
      <c r="H740" s="133" t="s">
        <v>46</v>
      </c>
      <c r="I740" s="152">
        <f ca="1">IFERROR(__xludf.DUMMYFUNCTION("IMPORTRANGE(""https://docs.google.com/spreadsheets/d/1eHaY18a8A9IcSdp1K8H6x8fbOy06t2VsZHhMHf-1x7Y/edit?usp=sharing"",""แผน!GB81"")"),120)</f>
        <v>120</v>
      </c>
      <c r="J740" s="167">
        <v>0</v>
      </c>
      <c r="K740" s="47">
        <f ca="1">IF(I740&gt;0,J740*100/I740,0)</f>
        <v>0</v>
      </c>
      <c r="L740" s="546"/>
      <c r="M740" s="46"/>
      <c r="N740" s="46"/>
      <c r="O740" s="46"/>
      <c r="P740" s="46"/>
      <c r="Q740" s="46"/>
      <c r="R740" s="46"/>
      <c r="S740" s="46"/>
      <c r="T740" s="46"/>
      <c r="U740" s="46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IFERROR(__xludf.DUMMYFUNCTION("IMPORTRANGE(""https://docs.google.com/spreadsheets/d/1eHaY18a8A9IcSdp1K8H6x8fbOy06t2VsZHhMHf-1x7Y/edit?usp=sharing"",""แผน!GC81"")"),12)</f>
        <v>12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IFERROR(__xludf.DUMMYFUNCTION("IMPORTRANGE(""https://docs.google.com/spreadsheets/d/1eHaY18a8A9IcSdp1K8H6x8fbOy06t2VsZHhMHf-1x7Y/edit?usp=sharing"",""แผน!GD81"")"),30)</f>
        <v>30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IFERROR(__xludf.DUMMYFUNCTION("IMPORTRANGE(""https://docs.google.com/spreadsheets/d/1eHaY18a8A9IcSdp1K8H6x8fbOy06t2VsZHhMHf-1x7Y/edit?usp=sharing"",""แผน!GE81"")"),3)</f>
        <v>3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IFERROR(__xludf.DUMMYFUNCTION("IMPORTRANGE(""https://docs.google.com/spreadsheets/d/1eHaY18a8A9IcSdp1K8H6x8fbOy06t2VsZHhMHf-1x7Y/edit?usp=sharing"",""แผน!GF81"")"),1)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IFERROR(__xludf.DUMMYFUNCTION("IMPORTRANGE(""https://docs.google.com/spreadsheets/d/1eHaY18a8A9IcSdp1K8H6x8fbOy06t2VsZHhMHf-1x7Y/edit?usp=sharing"",""แผน!GB81"")"),120)</f>
        <v>120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IFERROR(__xludf.DUMMYFUNCTION("IMPORTRANGE(""https://docs.google.com/spreadsheets/d/1eHaY18a8A9IcSdp1K8H6x8fbOy06t2VsZHhMHf-1x7Y/edit?usp=sharing"",""แผน!GD81"")"),30)</f>
        <v>30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20</v>
      </c>
      <c r="J758" s="483">
        <f>J772</f>
        <v>20</v>
      </c>
      <c r="K758" s="484">
        <f ca="1">IF(I758&gt;0,J758*100/I758,0)</f>
        <v>100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60</v>
      </c>
      <c r="J759" s="483">
        <f>J774</f>
        <v>60</v>
      </c>
      <c r="K759" s="484">
        <f ca="1">IF(I759&gt;0,J759*100/I759,0)</f>
        <v>100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160660</v>
      </c>
      <c r="R760" s="132">
        <f ca="1">R761+R762</f>
        <v>160660</v>
      </c>
      <c r="S760" s="132">
        <f ca="1">S761+S762</f>
        <v>73735</v>
      </c>
      <c r="T760" s="132">
        <f ca="1">IF(Q760&gt;0,S760*100/Q760,0)</f>
        <v>45.895057886219348</v>
      </c>
      <c r="U760" s="132">
        <f ca="1">IF(R760&gt;0,S760*100/R760,0)</f>
        <v>45.895057886219348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160660</v>
      </c>
      <c r="R762" s="47">
        <f ca="1">R765+R768</f>
        <v>160660</v>
      </c>
      <c r="S762" s="47">
        <f ca="1">S765+S768</f>
        <v>73735</v>
      </c>
      <c r="T762" s="47">
        <f ca="1">IF(Q762&gt;0,S762*100/Q762,0)</f>
        <v>45.895057886219348</v>
      </c>
      <c r="U762" s="47">
        <f ca="1">IF(R762&gt;0,S762*100/R762,0)</f>
        <v>45.895057886219348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160660</v>
      </c>
      <c r="R763" s="47">
        <f ca="1">R764+R765</f>
        <v>160660</v>
      </c>
      <c r="S763" s="47">
        <f ca="1">S764+S765</f>
        <v>73735</v>
      </c>
      <c r="T763" s="47">
        <f ca="1">IF(Q763&gt;0,S763*100/Q763,0)</f>
        <v>45.895057886219348</v>
      </c>
      <c r="U763" s="47">
        <f ca="1">IF(R763&gt;0,S763*100/R763,0)</f>
        <v>45.895057886219348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IFERROR(__xludf.DUMMYFUNCTION("IMPORTRANGE(""https://docs.google.com/spreadsheets/d/1ItG2mGa2ceCfYo0BwxsXqNm01IGEUdYcSSLTEv9YCik/edit?usp=sharing"",""เบิกจ่ายกองทุน!AA81"")"),160660)</f>
        <v>160660</v>
      </c>
      <c r="R765" s="47">
        <f ca="1">IFERROR(__xludf.DUMMYFUNCTION("IMPORTRANGE(""https://docs.google.com/spreadsheets/d/1ItG2mGa2ceCfYo0BwxsXqNm01IGEUdYcSSLTEv9YCik/edit?usp=sharing"",""เบิกจ่ายกองทุน!AB81"")"),160660)</f>
        <v>160660</v>
      </c>
      <c r="S765" s="47">
        <f ca="1">IFERROR(__xludf.DUMMYFUNCTION("IMPORTRANGE(""https://docs.google.com/spreadsheets/d/1ItG2mGa2ceCfYo0BwxsXqNm01IGEUdYcSSLTEv9YCik/edit?usp=sharing"",""เบิกจ่ายกองทุน!AC81"")"),73735)</f>
        <v>73735</v>
      </c>
      <c r="T765" s="47">
        <f ca="1">IF(Q765&gt;0,S765*100/Q765,0)</f>
        <v>45.895057886219348</v>
      </c>
      <c r="U765" s="47">
        <f ca="1">IF(R765&gt;0,S765*100/R765,0)</f>
        <v>45.895057886219348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IFERROR(__xludf.DUMMYFUNCTION("IMPORTRANGE(""https://docs.google.com/spreadsheets/d/1eHaY18a8A9IcSdp1K8H6x8fbOy06t2VsZHhMHf-1x7Y/edit?usp=sharing"",""แผน!FI81"")"),0)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IFERROR(__xludf.DUMMYFUNCTION("IMPORTRANGE(""https://docs.google.com/spreadsheets/d/1eHaY18a8A9IcSdp1K8H6x8fbOy06t2VsZHhMHf-1x7Y/edit?usp=sharing"",""แผน!FQ81"")"),20)</f>
        <v>20</v>
      </c>
      <c r="J772" s="167">
        <v>20</v>
      </c>
      <c r="K772" s="47">
        <f ca="1">IF(I772&gt;0,J772*100/I772,0)</f>
        <v>100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IFERROR(__xludf.DUMMYFUNCTION("IMPORTRANGE(""https://docs.google.com/spreadsheets/d/1eHaY18a8A9IcSdp1K8H6x8fbOy06t2VsZHhMHf-1x7Y/edit?usp=sharing"",""แผน!FR81"")"),60)</f>
        <v>60</v>
      </c>
      <c r="J774" s="167">
        <v>60</v>
      </c>
      <c r="K774" s="47">
        <f ca="1">IF(I774&gt;0,J774*100/I774,0)</f>
        <v>100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IFERROR(__xludf.DUMMYFUNCTION("IMPORTRANGE(""https://docs.google.com/spreadsheets/d/1eHaY18a8A9IcSdp1K8H6x8fbOy06t2VsZHhMHf-1x7Y/edit?usp=sharing"",""แผน!FS81"")"),60)</f>
        <v>60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IFERROR(__xludf.DUMMYFUNCTION("IMPORTRANGE(""https://docs.google.com/spreadsheets/d/1eHaY18a8A9IcSdp1K8H6x8fbOy06t2VsZHhMHf-1x7Y/edit?usp=sharing"",""แผน!FT81"")"),20)</f>
        <v>20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IFERROR(__xludf.DUMMYFUNCTION("IMPORTRANGE(""https://docs.google.com/spreadsheets/d/10OvvATaaLtwErnr3qtWFcTmtbfpFEt5Bsqel9sXx0uE/edit?usp=sharing"",""งานกองทุน!D81"")"),631714.82)</f>
        <v>631714.81999999995</v>
      </c>
      <c r="J778" s="152">
        <f ca="1">IFERROR(__xludf.DUMMYFUNCTION("IMPORTRANGE(""https://docs.google.com/spreadsheets/d/10OvvATaaLtwErnr3qtWFcTmtbfpFEt5Bsqel9sXx0uE/edit?usp=sharing"",""งานกองทุน!F81"")"),497377.62)</f>
        <v>497377.62</v>
      </c>
      <c r="K778" s="47">
        <f ca="1">IF(I778&gt;0,J778*100/I778,0)</f>
        <v>78.734518211872896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IFERROR(__xludf.DUMMYFUNCTION("IMPORTRANGE(""https://docs.google.com/spreadsheets/d/10OvvATaaLtwErnr3qtWFcTmtbfpFEt5Bsqel9sXx0uE/edit?usp=sharing"",""งานกองทุน!C81"")"),48)</f>
        <v>48</v>
      </c>
      <c r="J779" s="152">
        <f ca="1">IFERROR(__xludf.DUMMYFUNCTION("IMPORTRANGE(""https://docs.google.com/spreadsheets/d/10OvvATaaLtwErnr3qtWFcTmtbfpFEt5Bsqel9sXx0uE/edit?usp=sharing"",""งานกองทุน!E81"")"),41)</f>
        <v>41</v>
      </c>
      <c r="K779" s="47">
        <f ca="1">IF(I779&gt;0,J779*100/I779,0)</f>
        <v>85.416666666666671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IFERROR(__xludf.DUMMYFUNCTION("IMPORTRANGE(""https://docs.google.com/spreadsheets/d/10OvvATaaLtwErnr3qtWFcTmtbfpFEt5Bsqel9sXx0uE/edit?usp=sharing"",""งานกองทุน!I81"")"),241988.76)</f>
        <v>241988.76</v>
      </c>
      <c r="J780" s="152">
        <f ca="1">IFERROR(__xludf.DUMMYFUNCTION("IMPORTRANGE(""https://docs.google.com/spreadsheets/d/10OvvATaaLtwErnr3qtWFcTmtbfpFEt5Bsqel9sXx0uE/edit?usp=sharing"",""งานกองทุน!K81"")"),6422.2)</f>
        <v>6422.2</v>
      </c>
      <c r="K780" s="47">
        <f ca="1">IF(I780&gt;0,J780*100/I780,0)</f>
        <v>2.6539249178350266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IFERROR(__xludf.DUMMYFUNCTION("IMPORTRANGE(""https://docs.google.com/spreadsheets/d/10OvvATaaLtwErnr3qtWFcTmtbfpFEt5Bsqel9sXx0uE/edit?usp=sharing"",""งานกองทุน!H81"")"),10)</f>
        <v>10</v>
      </c>
      <c r="J781" s="152">
        <f ca="1">IFERROR(__xludf.DUMMYFUNCTION("IMPORTRANGE(""https://docs.google.com/spreadsheets/d/10OvvATaaLtwErnr3qtWFcTmtbfpFEt5Bsqel9sXx0uE/edit?usp=sharing"",""งานกองทุน!J81"")"),5)</f>
        <v>5</v>
      </c>
      <c r="K781" s="47">
        <f ca="1">IF(I781&gt;0,J781*100/I781,0)</f>
        <v>50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IFERROR(__xludf.DUMMYFUNCTION("IMPORTRANGE(""https://docs.google.com/spreadsheets/d/10OvvATaaLtwErnr3qtWFcTmtbfpFEt5Bsqel9sXx0uE/edit?usp=sharing"",""งานกองทุน!N81"")"),32084.12)</f>
        <v>32084.12</v>
      </c>
      <c r="J782" s="152">
        <f ca="1">IFERROR(__xludf.DUMMYFUNCTION("IMPORTRANGE(""https://docs.google.com/spreadsheets/d/10OvvATaaLtwErnr3qtWFcTmtbfpFEt5Bsqel9sXx0uE/edit?usp=sharing"",""งานกองทุน!P81"")"),12655.46)</f>
        <v>12655.46</v>
      </c>
      <c r="K782" s="47">
        <f ca="1">IF(I782&gt;0,J782*100/I782,0)</f>
        <v>39.444622448737881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IFERROR(__xludf.DUMMYFUNCTION("IMPORTRANGE(""https://docs.google.com/spreadsheets/d/10OvvATaaLtwErnr3qtWFcTmtbfpFEt5Bsqel9sXx0uE/edit?usp=sharing"",""งานกองทุน!M81"")"),51)</f>
        <v>51</v>
      </c>
      <c r="J783" s="152">
        <f ca="1">IFERROR(__xludf.DUMMYFUNCTION("IMPORTRANGE(""https://docs.google.com/spreadsheets/d/10OvvATaaLtwErnr3qtWFcTmtbfpFEt5Bsqel9sXx0uE/edit?usp=sharing"",""งานกองทุน!O81"")"),29)</f>
        <v>29</v>
      </c>
      <c r="K783" s="47">
        <f ca="1">IF(I783&gt;0,J783*100/I783,0)</f>
        <v>56.862745098039213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IFERROR(__xludf.DUMMYFUNCTION("IMPORTRANGE(""https://docs.google.com/spreadsheets/d/10OvvATaaLtwErnr3qtWFcTmtbfpFEt5Bsqel9sXx0uE/edit?usp=sharing"",""งานกองทุน!S81"")"),756000)</f>
        <v>756000</v>
      </c>
      <c r="J784" s="152">
        <f ca="1">IFERROR(__xludf.DUMMYFUNCTION("IMPORTRANGE(""https://docs.google.com/spreadsheets/d/10OvvATaaLtwErnr3qtWFcTmtbfpFEt5Bsqel9sXx0uE/edit?usp=sharing"",""งานกองทุน!U81"")"),800000)</f>
        <v>800000</v>
      </c>
      <c r="K784" s="47">
        <f ca="1">IF(I784&gt;0,J784*100/I784,0)</f>
        <v>105.82010582010582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IFERROR(__xludf.DUMMYFUNCTION("IMPORTRANGE(""https://docs.google.com/spreadsheets/d/10OvvATaaLtwErnr3qtWFcTmtbfpFEt5Bsqel9sXx0uE/edit?usp=sharing"",""งานกองทุน!R81"")"),27)</f>
        <v>27</v>
      </c>
      <c r="J785" s="197">
        <f ca="1">IFERROR(__xludf.DUMMYFUNCTION("IMPORTRANGE(""https://docs.google.com/spreadsheets/d/10OvvATaaLtwErnr3qtWFcTmtbfpFEt5Bsqel9sXx0uE/edit?usp=sharing"",""งานกองทุน!T81"")"),20)</f>
        <v>20</v>
      </c>
      <c r="K785" s="111">
        <f ca="1">IF(I785&gt;0,J785*100/I785,0)</f>
        <v>74.074074074074076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30" fitToHeight="0" orientation="portrait" r:id="rId1"/>
  <headerFooter>
    <oddFooter>&amp;Cหน้า &amp;P/&amp;N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005C9-9C41-4E88-9BB5-6B34FB82DD9F}">
  <sheetPr>
    <outlinePr summaryBelow="0" summaryRight="0"/>
    <pageSetUpPr fitToPage="1"/>
  </sheetPr>
  <dimension ref="A1:U789"/>
  <sheetViews>
    <sheetView view="pageBreakPreview" zoomScale="60" zoomScaleNormal="100" workbookViewId="0">
      <pane xSplit="8" ySplit="6" topLeftCell="I7" activePane="bottomRight" state="frozen"/>
      <selection activeCell="A4" sqref="A4:G6"/>
      <selection pane="topRight" activeCell="A4" sqref="A4:G6"/>
      <selection pane="bottomLeft" activeCell="A4" sqref="A4:G6"/>
      <selection pane="bottomRight" activeCell="A4" sqref="A4:G6"/>
    </sheetView>
  </sheetViews>
  <sheetFormatPr defaultColWidth="12.5703125" defaultRowHeight="15.75" customHeight="1" x14ac:dyDescent="0.2"/>
  <cols>
    <col min="1" max="6" width="3.28515625" customWidth="1"/>
    <col min="7" max="7" width="61.42578125" customWidth="1"/>
    <col min="8" max="8" width="9.42578125" customWidth="1"/>
    <col min="9" max="10" width="16.85546875" bestFit="1" customWidth="1"/>
    <col min="11" max="11" width="12.5703125" bestFit="1" customWidth="1"/>
    <col min="12" max="14" width="21.28515625" bestFit="1" customWidth="1"/>
    <col min="15" max="15" width="19.28515625" bestFit="1" customWidth="1"/>
    <col min="16" max="16" width="20.85546875" bestFit="1" customWidth="1"/>
    <col min="17" max="18" width="21.28515625" bestFit="1" customWidth="1"/>
    <col min="19" max="19" width="18.7109375" bestFit="1" customWidth="1"/>
    <col min="20" max="20" width="19.28515625" bestFit="1" customWidth="1"/>
    <col min="21" max="21" width="20.85546875" bestFit="1" customWidth="1"/>
  </cols>
  <sheetData>
    <row r="1" spans="1:21" ht="19.5" x14ac:dyDescent="0.3">
      <c r="A1" s="825" t="s">
        <v>0</v>
      </c>
      <c r="B1" s="825"/>
      <c r="C1" s="825"/>
      <c r="D1" s="825"/>
      <c r="E1" s="825"/>
      <c r="F1" s="825"/>
      <c r="G1" s="825"/>
      <c r="H1" s="825"/>
      <c r="I1" s="825"/>
      <c r="J1" s="825"/>
      <c r="K1" s="825"/>
      <c r="L1" s="825"/>
      <c r="M1" s="825"/>
      <c r="N1" s="825"/>
      <c r="O1" s="825"/>
      <c r="P1" s="825"/>
      <c r="Q1" s="825"/>
      <c r="R1" s="825"/>
      <c r="S1" s="825"/>
      <c r="T1" s="825"/>
      <c r="U1" s="825"/>
    </row>
    <row r="2" spans="1:21" ht="19.5" x14ac:dyDescent="0.3">
      <c r="A2" s="825" t="s">
        <v>322</v>
      </c>
      <c r="B2" s="825"/>
      <c r="C2" s="825"/>
      <c r="D2" s="825"/>
      <c r="E2" s="825"/>
      <c r="F2" s="825"/>
      <c r="G2" s="825"/>
      <c r="H2" s="825"/>
      <c r="I2" s="825"/>
      <c r="J2" s="825"/>
      <c r="K2" s="825"/>
      <c r="L2" s="825"/>
      <c r="M2" s="825"/>
      <c r="N2" s="825"/>
      <c r="O2" s="825"/>
      <c r="P2" s="825"/>
      <c r="Q2" s="825"/>
      <c r="R2" s="825"/>
      <c r="S2" s="825"/>
      <c r="T2" s="825"/>
      <c r="U2" s="825"/>
    </row>
    <row r="3" spans="1:21" ht="19.5" x14ac:dyDescent="0.3">
      <c r="A3" s="906" t="s">
        <v>332</v>
      </c>
      <c r="B3" s="906"/>
      <c r="C3" s="906"/>
      <c r="D3" s="906"/>
      <c r="E3" s="906"/>
      <c r="F3" s="906"/>
      <c r="G3" s="906"/>
      <c r="H3" s="906"/>
      <c r="I3" s="906"/>
      <c r="J3" s="906"/>
      <c r="K3" s="906"/>
      <c r="L3" s="906"/>
      <c r="M3" s="906"/>
      <c r="N3" s="906"/>
      <c r="O3" s="906"/>
      <c r="P3" s="906"/>
      <c r="Q3" s="906"/>
      <c r="R3" s="906"/>
      <c r="S3" s="906"/>
      <c r="T3" s="906"/>
      <c r="U3" s="906"/>
    </row>
    <row r="4" spans="1:21" ht="19.5" x14ac:dyDescent="0.3">
      <c r="A4" s="824" t="s">
        <v>4</v>
      </c>
      <c r="B4" s="821"/>
      <c r="C4" s="821"/>
      <c r="D4" s="821"/>
      <c r="E4" s="821"/>
      <c r="F4" s="821"/>
      <c r="G4" s="820"/>
      <c r="H4" s="823" t="s">
        <v>5</v>
      </c>
      <c r="I4" s="822" t="s">
        <v>6</v>
      </c>
      <c r="J4" s="821"/>
      <c r="K4" s="820"/>
      <c r="L4" s="819" t="s">
        <v>2</v>
      </c>
      <c r="M4" s="524"/>
      <c r="N4" s="524"/>
      <c r="O4" s="524"/>
      <c r="P4" s="525"/>
      <c r="Q4" s="526" t="s">
        <v>3</v>
      </c>
      <c r="R4" s="524"/>
      <c r="S4" s="524"/>
      <c r="T4" s="524"/>
      <c r="U4" s="525"/>
    </row>
    <row r="5" spans="1:21" ht="19.5" x14ac:dyDescent="0.3">
      <c r="A5" s="818"/>
      <c r="B5" s="522"/>
      <c r="C5" s="522"/>
      <c r="D5" s="522"/>
      <c r="E5" s="522"/>
      <c r="F5" s="522"/>
      <c r="G5" s="535"/>
      <c r="H5" s="817"/>
      <c r="I5" s="536"/>
      <c r="J5" s="518"/>
      <c r="K5" s="519"/>
      <c r="L5" s="816" t="s">
        <v>7</v>
      </c>
      <c r="M5" s="519"/>
      <c r="N5" s="517" t="s">
        <v>8</v>
      </c>
      <c r="O5" s="518"/>
      <c r="P5" s="519"/>
      <c r="Q5" s="520" t="s">
        <v>7</v>
      </c>
      <c r="R5" s="519"/>
      <c r="S5" s="517" t="s">
        <v>8</v>
      </c>
      <c r="T5" s="518"/>
      <c r="U5" s="519"/>
    </row>
    <row r="6" spans="1:21" ht="19.5" x14ac:dyDescent="0.3">
      <c r="A6" s="536"/>
      <c r="B6" s="518"/>
      <c r="C6" s="518"/>
      <c r="D6" s="518"/>
      <c r="E6" s="518"/>
      <c r="F6" s="518"/>
      <c r="G6" s="519"/>
      <c r="H6" s="815"/>
      <c r="I6" s="813" t="s">
        <v>9</v>
      </c>
      <c r="J6" s="814" t="s">
        <v>10</v>
      </c>
      <c r="K6" s="813" t="s">
        <v>11</v>
      </c>
      <c r="L6" s="812" t="s">
        <v>12</v>
      </c>
      <c r="M6" s="10" t="s">
        <v>13</v>
      </c>
      <c r="N6" s="11" t="s">
        <v>14</v>
      </c>
      <c r="O6" s="12" t="s">
        <v>15</v>
      </c>
      <c r="P6" s="13" t="s">
        <v>16</v>
      </c>
      <c r="Q6" s="9" t="s">
        <v>12</v>
      </c>
      <c r="R6" s="10" t="s">
        <v>13</v>
      </c>
      <c r="S6" s="11" t="s">
        <v>14</v>
      </c>
      <c r="T6" s="12" t="s">
        <v>15</v>
      </c>
      <c r="U6" s="13" t="s">
        <v>16</v>
      </c>
    </row>
    <row r="7" spans="1:21" ht="12.75" hidden="1" x14ac:dyDescent="0.2">
      <c r="A7" s="804"/>
      <c r="B7" s="518"/>
      <c r="C7" s="518"/>
      <c r="D7" s="518"/>
      <c r="E7" s="518"/>
      <c r="F7" s="518"/>
      <c r="G7" s="519"/>
      <c r="H7" s="15"/>
      <c r="I7" s="16"/>
      <c r="J7" s="16"/>
      <c r="K7" s="17"/>
      <c r="L7" s="709"/>
      <c r="M7" s="17"/>
      <c r="N7" s="17"/>
      <c r="O7" s="17"/>
      <c r="P7" s="17"/>
      <c r="Q7" s="17"/>
      <c r="R7" s="17"/>
      <c r="S7" s="17"/>
      <c r="T7" s="17"/>
      <c r="U7" s="17"/>
    </row>
    <row r="8" spans="1:21" ht="12.75" hidden="1" x14ac:dyDescent="0.2">
      <c r="A8" s="18"/>
      <c r="B8" s="19"/>
      <c r="C8" s="19"/>
      <c r="D8" s="19"/>
      <c r="E8" s="19"/>
      <c r="F8" s="19"/>
      <c r="G8" s="20"/>
      <c r="H8" s="20"/>
      <c r="I8" s="21"/>
      <c r="J8" s="21"/>
      <c r="K8" s="22"/>
      <c r="L8" s="700"/>
      <c r="M8" s="22"/>
      <c r="N8" s="22"/>
      <c r="O8" s="22"/>
      <c r="P8" s="22"/>
      <c r="Q8" s="22"/>
      <c r="R8" s="22"/>
      <c r="S8" s="22"/>
      <c r="T8" s="22"/>
      <c r="U8" s="22"/>
    </row>
    <row r="9" spans="1:21" ht="12.75" hidden="1" x14ac:dyDescent="0.2">
      <c r="A9" s="18"/>
      <c r="B9" s="19"/>
      <c r="C9" s="19"/>
      <c r="D9" s="19"/>
      <c r="E9" s="19"/>
      <c r="F9" s="19"/>
      <c r="G9" s="20"/>
      <c r="H9" s="20"/>
      <c r="I9" s="21"/>
      <c r="J9" s="21"/>
      <c r="K9" s="22"/>
      <c r="L9" s="700"/>
      <c r="M9" s="22"/>
      <c r="N9" s="22"/>
      <c r="O9" s="22"/>
      <c r="P9" s="22"/>
      <c r="Q9" s="22"/>
      <c r="R9" s="22"/>
      <c r="S9" s="22"/>
      <c r="T9" s="22"/>
      <c r="U9" s="22"/>
    </row>
    <row r="10" spans="1:21" ht="12.75" hidden="1" x14ac:dyDescent="0.2">
      <c r="A10" s="18"/>
      <c r="B10" s="19"/>
      <c r="C10" s="19"/>
      <c r="D10" s="19"/>
      <c r="E10" s="19"/>
      <c r="F10" s="19"/>
      <c r="G10" s="20"/>
      <c r="H10" s="20"/>
      <c r="I10" s="21"/>
      <c r="J10" s="21"/>
      <c r="K10" s="22"/>
      <c r="L10" s="700"/>
      <c r="M10" s="22"/>
      <c r="N10" s="22"/>
      <c r="O10" s="22"/>
      <c r="P10" s="22"/>
      <c r="Q10" s="22"/>
      <c r="R10" s="22"/>
      <c r="S10" s="22"/>
      <c r="T10" s="22"/>
      <c r="U10" s="22"/>
    </row>
    <row r="11" spans="1:21" ht="12.75" hidden="1" x14ac:dyDescent="0.2">
      <c r="A11" s="18"/>
      <c r="B11" s="19"/>
      <c r="C11" s="19"/>
      <c r="D11" s="19"/>
      <c r="E11" s="19"/>
      <c r="F11" s="19"/>
      <c r="G11" s="20"/>
      <c r="H11" s="20"/>
      <c r="I11" s="21"/>
      <c r="J11" s="21"/>
      <c r="K11" s="22"/>
      <c r="L11" s="700"/>
      <c r="M11" s="22"/>
      <c r="N11" s="22"/>
      <c r="O11" s="22"/>
      <c r="P11" s="22"/>
      <c r="Q11" s="22"/>
      <c r="R11" s="22"/>
      <c r="S11" s="22"/>
      <c r="T11" s="22"/>
      <c r="U11" s="22"/>
    </row>
    <row r="12" spans="1:21" ht="12.75" hidden="1" x14ac:dyDescent="0.2">
      <c r="A12" s="18"/>
      <c r="B12" s="19"/>
      <c r="C12" s="19"/>
      <c r="D12" s="19"/>
      <c r="E12" s="19"/>
      <c r="F12" s="19"/>
      <c r="G12" s="20"/>
      <c r="H12" s="20"/>
      <c r="I12" s="21"/>
      <c r="J12" s="21"/>
      <c r="K12" s="22"/>
      <c r="L12" s="700"/>
      <c r="M12" s="22"/>
      <c r="N12" s="22"/>
      <c r="O12" s="22"/>
      <c r="P12" s="22"/>
      <c r="Q12" s="22"/>
      <c r="R12" s="22"/>
      <c r="S12" s="22"/>
      <c r="T12" s="22"/>
      <c r="U12" s="22"/>
    </row>
    <row r="13" spans="1:21" ht="12.75" hidden="1" x14ac:dyDescent="0.2">
      <c r="A13" s="18"/>
      <c r="B13" s="19"/>
      <c r="C13" s="19"/>
      <c r="D13" s="19"/>
      <c r="E13" s="19"/>
      <c r="F13" s="19"/>
      <c r="G13" s="20"/>
      <c r="H13" s="20"/>
      <c r="I13" s="21"/>
      <c r="J13" s="21"/>
      <c r="K13" s="22"/>
      <c r="L13" s="700"/>
      <c r="M13" s="22"/>
      <c r="N13" s="22"/>
      <c r="O13" s="22"/>
      <c r="P13" s="22"/>
      <c r="Q13" s="22"/>
      <c r="R13" s="22"/>
      <c r="S13" s="22"/>
      <c r="T13" s="22"/>
      <c r="U13" s="22"/>
    </row>
    <row r="14" spans="1:21" ht="12.75" hidden="1" x14ac:dyDescent="0.2">
      <c r="A14" s="18"/>
      <c r="B14" s="19"/>
      <c r="C14" s="19"/>
      <c r="D14" s="19"/>
      <c r="E14" s="19"/>
      <c r="F14" s="19"/>
      <c r="G14" s="20"/>
      <c r="H14" s="20"/>
      <c r="I14" s="21"/>
      <c r="J14" s="21"/>
      <c r="K14" s="22"/>
      <c r="L14" s="700"/>
      <c r="M14" s="22"/>
      <c r="N14" s="22"/>
      <c r="O14" s="22"/>
      <c r="P14" s="22"/>
      <c r="Q14" s="22"/>
      <c r="R14" s="22"/>
      <c r="S14" s="22"/>
      <c r="T14" s="22"/>
      <c r="U14" s="22"/>
    </row>
    <row r="15" spans="1:21" ht="12.75" hidden="1" x14ac:dyDescent="0.2">
      <c r="A15" s="18"/>
      <c r="B15" s="19"/>
      <c r="C15" s="19"/>
      <c r="D15" s="19"/>
      <c r="E15" s="19"/>
      <c r="F15" s="19"/>
      <c r="G15" s="20"/>
      <c r="H15" s="20"/>
      <c r="I15" s="21"/>
      <c r="J15" s="21"/>
      <c r="K15" s="22"/>
      <c r="L15" s="700"/>
      <c r="M15" s="22"/>
      <c r="N15" s="22"/>
      <c r="O15" s="22"/>
      <c r="P15" s="22"/>
      <c r="Q15" s="22"/>
      <c r="R15" s="22"/>
      <c r="S15" s="22"/>
      <c r="T15" s="22"/>
      <c r="U15" s="22"/>
    </row>
    <row r="16" spans="1:21" ht="12.75" hidden="1" x14ac:dyDescent="0.2">
      <c r="A16" s="14"/>
      <c r="B16" s="23"/>
      <c r="C16" s="23"/>
      <c r="D16" s="23"/>
      <c r="E16" s="23"/>
      <c r="F16" s="23"/>
      <c r="G16" s="15"/>
      <c r="H16" s="15"/>
      <c r="I16" s="16"/>
      <c r="J16" s="16"/>
      <c r="K16" s="17"/>
      <c r="L16" s="709"/>
      <c r="M16" s="17"/>
      <c r="N16" s="17"/>
      <c r="O16" s="17"/>
      <c r="P16" s="17"/>
      <c r="Q16" s="17"/>
      <c r="R16" s="17"/>
      <c r="S16" s="17"/>
      <c r="T16" s="17"/>
      <c r="U16" s="17"/>
    </row>
    <row r="17" spans="1:21" ht="19.5" x14ac:dyDescent="0.3">
      <c r="A17" s="538" t="s">
        <v>17</v>
      </c>
      <c r="B17" s="518"/>
      <c r="C17" s="518"/>
      <c r="D17" s="518"/>
      <c r="E17" s="518"/>
      <c r="F17" s="518"/>
      <c r="G17" s="519"/>
      <c r="H17" s="24"/>
      <c r="I17" s="25"/>
      <c r="J17" s="25"/>
      <c r="K17" s="26"/>
      <c r="L17" s="811"/>
      <c r="M17" s="26"/>
      <c r="N17" s="26"/>
      <c r="O17" s="26"/>
      <c r="P17" s="26"/>
      <c r="Q17" s="26"/>
      <c r="R17" s="26"/>
      <c r="S17" s="26"/>
      <c r="T17" s="26"/>
      <c r="U17" s="26"/>
    </row>
    <row r="18" spans="1:21" ht="19.5" x14ac:dyDescent="0.3">
      <c r="A18" s="27"/>
      <c r="B18" s="28"/>
      <c r="C18" s="810" t="s">
        <v>18</v>
      </c>
      <c r="D18" s="30" t="s">
        <v>19</v>
      </c>
      <c r="E18" s="28"/>
      <c r="F18" s="28"/>
      <c r="G18" s="31"/>
      <c r="H18" s="32" t="s">
        <v>14</v>
      </c>
      <c r="I18" s="33"/>
      <c r="J18" s="33"/>
      <c r="K18" s="34"/>
      <c r="L18" s="809">
        <f ca="1">L19+L20</f>
        <v>3056308</v>
      </c>
      <c r="M18" s="35">
        <f ca="1">M19+M20</f>
        <v>3079108</v>
      </c>
      <c r="N18" s="35">
        <f ca="1">N19+N20</f>
        <v>1757509.3900000001</v>
      </c>
      <c r="O18" s="35">
        <f ca="1">IF(L18&gt;0,N18*100/L18,0)</f>
        <v>57.504328425014755</v>
      </c>
      <c r="P18" s="35">
        <f ca="1">IF(M18&gt;0,N18*100/M18,0)</f>
        <v>57.078523715309757</v>
      </c>
      <c r="Q18" s="35">
        <f ca="1">Q19+Q20</f>
        <v>5145872.24</v>
      </c>
      <c r="R18" s="35">
        <f ca="1">R19+R20</f>
        <v>5223422</v>
      </c>
      <c r="S18" s="35">
        <f ca="1">S19+S20</f>
        <v>562846.91</v>
      </c>
      <c r="T18" s="35">
        <f ca="1">IF(Q18&gt;0,S18*100/Q18,0)</f>
        <v>10.937832961045297</v>
      </c>
      <c r="U18" s="35">
        <f ca="1">IF(R18&gt;0,S18*100/R18,0)</f>
        <v>10.775443952259648</v>
      </c>
    </row>
    <row r="19" spans="1:21" ht="18.75" hidden="1" x14ac:dyDescent="0.25">
      <c r="A19" s="27"/>
      <c r="B19" s="28"/>
      <c r="C19" s="28"/>
      <c r="D19" s="28"/>
      <c r="E19" s="808" t="s">
        <v>20</v>
      </c>
      <c r="F19" s="28"/>
      <c r="G19" s="31"/>
      <c r="H19" s="807" t="s">
        <v>14</v>
      </c>
      <c r="I19" s="33"/>
      <c r="J19" s="33"/>
      <c r="K19" s="34"/>
      <c r="L19" s="806">
        <f>L22+L25</f>
        <v>0</v>
      </c>
      <c r="M19" s="38">
        <f>M22+M25</f>
        <v>0</v>
      </c>
      <c r="N19" s="38">
        <f>N22+N25</f>
        <v>0</v>
      </c>
      <c r="O19" s="38">
        <f>IF(L19&gt;0,N19*100/L19,0)</f>
        <v>0</v>
      </c>
      <c r="P19" s="38">
        <f>IF(M19&gt;0,N19*100/M19,0)</f>
        <v>0</v>
      </c>
      <c r="Q19" s="38">
        <f>Q22+Q25</f>
        <v>0</v>
      </c>
      <c r="R19" s="38">
        <f>R22+R25</f>
        <v>0</v>
      </c>
      <c r="S19" s="38">
        <f>S22+S25</f>
        <v>0</v>
      </c>
      <c r="T19" s="38">
        <f>IF(Q19&gt;0,S19*100/Q19,0)</f>
        <v>0</v>
      </c>
      <c r="U19" s="38">
        <f>IF(R19&gt;0,S19*100/R19,0)</f>
        <v>0</v>
      </c>
    </row>
    <row r="20" spans="1:21" ht="18.75" hidden="1" x14ac:dyDescent="0.25">
      <c r="A20" s="27"/>
      <c r="B20" s="28"/>
      <c r="C20" s="28"/>
      <c r="D20" s="28"/>
      <c r="E20" s="36" t="s">
        <v>21</v>
      </c>
      <c r="F20" s="28"/>
      <c r="G20" s="31"/>
      <c r="H20" s="37" t="s">
        <v>14</v>
      </c>
      <c r="I20" s="33"/>
      <c r="J20" s="33"/>
      <c r="K20" s="34"/>
      <c r="L20" s="805">
        <f ca="1">L23+L26</f>
        <v>3056308</v>
      </c>
      <c r="M20" s="39">
        <f ca="1">M23+M26</f>
        <v>3079108</v>
      </c>
      <c r="N20" s="39">
        <f ca="1">N23+N26</f>
        <v>1757509.3900000001</v>
      </c>
      <c r="O20" s="39">
        <f ca="1">IF(L20&gt;0,N20*100/L20,0)</f>
        <v>57.504328425014755</v>
      </c>
      <c r="P20" s="39">
        <f ca="1">IF(M20&gt;0,N20*100/M20,0)</f>
        <v>57.078523715309757</v>
      </c>
      <c r="Q20" s="39">
        <f ca="1">Q23+Q26</f>
        <v>5145872.24</v>
      </c>
      <c r="R20" s="39">
        <f ca="1">R23+R26</f>
        <v>5223422</v>
      </c>
      <c r="S20" s="39">
        <f ca="1">S23+S26</f>
        <v>562846.91</v>
      </c>
      <c r="T20" s="39">
        <f ca="1">IF(Q20&gt;0,S20*100/Q20,0)</f>
        <v>10.937832961045297</v>
      </c>
      <c r="U20" s="39">
        <f ca="1">IF(R20&gt;0,S20*100/R20,0)</f>
        <v>10.775443952259648</v>
      </c>
    </row>
    <row r="21" spans="1:21" ht="18.75" x14ac:dyDescent="0.25">
      <c r="A21" s="40"/>
      <c r="B21" s="41"/>
      <c r="C21" s="41"/>
      <c r="D21" s="42" t="s">
        <v>22</v>
      </c>
      <c r="E21" s="41"/>
      <c r="F21" s="41"/>
      <c r="G21" s="43"/>
      <c r="H21" s="44" t="s">
        <v>14</v>
      </c>
      <c r="I21" s="45"/>
      <c r="J21" s="45"/>
      <c r="K21" s="46"/>
      <c r="L21" s="548">
        <f ca="1">L22+L23</f>
        <v>3056308</v>
      </c>
      <c r="M21" s="47">
        <f ca="1">M22+M23</f>
        <v>3079108</v>
      </c>
      <c r="N21" s="47">
        <f ca="1">N22+N23</f>
        <v>1757509.3900000001</v>
      </c>
      <c r="O21" s="47">
        <f ca="1">IF(L21&gt;0,N21*100/L21,0)</f>
        <v>57.504328425014755</v>
      </c>
      <c r="P21" s="47">
        <f ca="1">IF(M21&gt;0,N21*100/M21,0)</f>
        <v>57.078523715309757</v>
      </c>
      <c r="Q21" s="47">
        <f ca="1">Q22+Q23</f>
        <v>1795872.24</v>
      </c>
      <c r="R21" s="47">
        <f ca="1">R22+R23</f>
        <v>1873422</v>
      </c>
      <c r="S21" s="47">
        <f ca="1">S22+S23</f>
        <v>562846.91</v>
      </c>
      <c r="T21" s="47">
        <f ca="1">IF(Q21&gt;0,S21*100/Q21,0)</f>
        <v>31.341144289863294</v>
      </c>
      <c r="U21" s="47">
        <f ca="1">IF(R21&gt;0,S21*100/R21,0)</f>
        <v>30.043786717568171</v>
      </c>
    </row>
    <row r="22" spans="1:21" ht="18.75" hidden="1" x14ac:dyDescent="0.25">
      <c r="A22" s="40"/>
      <c r="B22" s="41"/>
      <c r="C22" s="41"/>
      <c r="D22" s="41"/>
      <c r="E22" s="157" t="s">
        <v>20</v>
      </c>
      <c r="F22" s="41"/>
      <c r="G22" s="43"/>
      <c r="H22" s="783" t="s">
        <v>14</v>
      </c>
      <c r="I22" s="45"/>
      <c r="J22" s="45"/>
      <c r="K22" s="46"/>
      <c r="L22" s="549">
        <f>L48+L63+L76+L98+L129+L143+L161+L190+L177+L270+L286+L307+L324+L337+L360+L517</f>
        <v>0</v>
      </c>
      <c r="M22" s="49">
        <f>M48+M63+M76+M98+M129+M143+M161+M190+M177+M270+M286+M307+M324+M337+M360+M517</f>
        <v>0</v>
      </c>
      <c r="N22" s="49">
        <f>N48+N63+N76+N98+N129+N143+N161+N190+N177+N270+N286+N307+N324+N337+N360+N517</f>
        <v>0</v>
      </c>
      <c r="O22" s="49">
        <f>IF(L22&gt;0,N22*100/L22,0)</f>
        <v>0</v>
      </c>
      <c r="P22" s="49">
        <f>IF(M22&gt;0,N22*100/M22,0)</f>
        <v>0</v>
      </c>
      <c r="Q22" s="49">
        <f>Q76+Q98+Q121+Q143+Q161+Q177+Q190+Q270+Q286+Q307+Q337+Q379+Q396+Q417+Q497+Q603+Q620+Q646+Q694+Q718+Q732+Q764</f>
        <v>0</v>
      </c>
      <c r="R22" s="49">
        <f>R76+R98+R121+R143+R161+R177+R190+R270+R286+R307+R337+R379+R396+R417+R497+R603+R620+R646+R694+R718+R732+R764</f>
        <v>0</v>
      </c>
      <c r="S22" s="49">
        <f>S76+S98+S121+S143+S161+S177+S190+S270+S286+S307+S337+S379+S396+S417+S497+S603+S620+S646+S694+S718+S732+S764</f>
        <v>0</v>
      </c>
      <c r="T22" s="49">
        <f>IF(Q22&gt;0,S22*100/Q22,0)</f>
        <v>0</v>
      </c>
      <c r="U22" s="49">
        <f>IF(R22&gt;0,S22*100/R22,0)</f>
        <v>0</v>
      </c>
    </row>
    <row r="23" spans="1:21" ht="18.75" hidden="1" x14ac:dyDescent="0.25">
      <c r="A23" s="40"/>
      <c r="B23" s="41"/>
      <c r="C23" s="41"/>
      <c r="D23" s="41"/>
      <c r="E23" s="48" t="s">
        <v>21</v>
      </c>
      <c r="F23" s="41"/>
      <c r="G23" s="43"/>
      <c r="H23" s="44" t="s">
        <v>14</v>
      </c>
      <c r="I23" s="45"/>
      <c r="J23" s="45"/>
      <c r="K23" s="46"/>
      <c r="L23" s="548">
        <f ca="1">L49+L64+L77+L99+L122+L144+L162+L191+L178+L271+L287+L308+L325+L338+L361+L380+L418+L498+L518+L539+L560+L581+L604+L621+L647+L695+L719+L733+L765</f>
        <v>3056308</v>
      </c>
      <c r="M23" s="47">
        <f ca="1">M49+M64+M77+M99+M122+M144+M162+M191+M178+M271+M287+M308+M325+M338+M361+M380+M418+M498+M518+M539+M560+M581+M604+M621+M647+M695+M719+M733+M765</f>
        <v>3079108</v>
      </c>
      <c r="N23" s="47">
        <f ca="1">N49+N64+N77+N99+N122+N144+N162+N191+N178+N271+N287+N308+N325+N338+N361+N380+N418+N498+N518+N539+N560+N581+N604+N621+N647+N695+N719+N733+N765</f>
        <v>1757509.3900000001</v>
      </c>
      <c r="O23" s="47">
        <f ca="1">IF(L23&gt;0,N23*100/L23,0)</f>
        <v>57.504328425014755</v>
      </c>
      <c r="P23" s="47">
        <f ca="1">IF(M23&gt;0,N23*100/M23,0)</f>
        <v>57.078523715309757</v>
      </c>
      <c r="Q23" s="47">
        <f ca="1">Q77+Q99+Q122+Q144+Q162+Q178+Q191+Q271+Q287+Q308+Q338+Q380+Q397+Q418+Q498+Q604+Q621+Q647+Q695+Q719+Q733+Q765</f>
        <v>1795872.24</v>
      </c>
      <c r="R23" s="47">
        <f ca="1">R77+R99+R122+R144+R162+R178+R191+R271+R287+R308+R338+R380+R397+R418+R498+R604+R621+R647+R695+R719+R733+R765</f>
        <v>1873422</v>
      </c>
      <c r="S23" s="47">
        <f ca="1">S77+S99+S122+S144+S162+S178+S191+S271+S287+S308+S338+S380+S397+S418+S498+S604+S621+S647+S695+S719+S733+S765</f>
        <v>562846.91</v>
      </c>
      <c r="T23" s="47">
        <f ca="1">IF(Q23&gt;0,S23*100/Q23,0)</f>
        <v>31.341144289863294</v>
      </c>
      <c r="U23" s="47">
        <f ca="1">IF(R23&gt;0,S23*100/R23,0)</f>
        <v>30.043786717568171</v>
      </c>
    </row>
    <row r="24" spans="1:21" ht="18.75" x14ac:dyDescent="0.25">
      <c r="A24" s="40"/>
      <c r="B24" s="41"/>
      <c r="C24" s="41"/>
      <c r="D24" s="42" t="s">
        <v>23</v>
      </c>
      <c r="E24" s="41"/>
      <c r="F24" s="41"/>
      <c r="G24" s="43"/>
      <c r="H24" s="44" t="s">
        <v>14</v>
      </c>
      <c r="I24" s="45"/>
      <c r="J24" s="45"/>
      <c r="K24" s="46"/>
      <c r="L24" s="548">
        <f ca="1">L25+L26</f>
        <v>0</v>
      </c>
      <c r="M24" s="47">
        <f ca="1">M25+M26</f>
        <v>0</v>
      </c>
      <c r="N24" s="47">
        <f ca="1">N25+N26</f>
        <v>0</v>
      </c>
      <c r="O24" s="47">
        <f ca="1">IF(L24&gt;0,N24*100/L24,0)</f>
        <v>0</v>
      </c>
      <c r="P24" s="47">
        <f ca="1">IF(M24&gt;0,N24*100/M24,0)</f>
        <v>0</v>
      </c>
      <c r="Q24" s="47">
        <f ca="1">Q25+Q26</f>
        <v>3350000</v>
      </c>
      <c r="R24" s="47">
        <f ca="1">R25+R26</f>
        <v>3350000</v>
      </c>
      <c r="S24" s="47">
        <f ca="1">S25+S26</f>
        <v>0</v>
      </c>
      <c r="T24" s="47">
        <f ca="1">IF(Q24&gt;0,S24*100/Q24,0)</f>
        <v>0</v>
      </c>
      <c r="U24" s="47">
        <f ca="1">IF(R24&gt;0,S24*100/R24,0)</f>
        <v>0</v>
      </c>
    </row>
    <row r="25" spans="1:21" ht="18.75" hidden="1" x14ac:dyDescent="0.25">
      <c r="A25" s="40"/>
      <c r="B25" s="41"/>
      <c r="C25" s="41"/>
      <c r="D25" s="41"/>
      <c r="E25" s="157" t="s">
        <v>20</v>
      </c>
      <c r="F25" s="41"/>
      <c r="G25" s="43"/>
      <c r="H25" s="783" t="s">
        <v>14</v>
      </c>
      <c r="I25" s="45"/>
      <c r="J25" s="45"/>
      <c r="K25" s="46"/>
      <c r="L25" s="549">
        <f>L51+L66+L79+L101+L132+L146+L164+L193+L180+L273+L289+L310+L327+L340+L363+L520</f>
        <v>0</v>
      </c>
      <c r="M25" s="49">
        <f>M51+M66+M79+M101+M132+M146+M164+M193+M180+M273+M289+M310+M327+M340+M363+M520</f>
        <v>0</v>
      </c>
      <c r="N25" s="49">
        <f>N51+N66+N79+N101+N132+N146+N164+N193+N180+N273+N289+N310+N327+N340+N363+N520</f>
        <v>0</v>
      </c>
      <c r="O25" s="49">
        <f>IF(L25&gt;0,N25*100/L25,0)</f>
        <v>0</v>
      </c>
      <c r="P25" s="49">
        <f>IF(M25&gt;0,N25*100/M25,0)</f>
        <v>0</v>
      </c>
      <c r="Q25" s="49">
        <f>Q79+Q101+Q124+Q146+Q164+Q180+Q193+Q273+Q289+Q310+Q340+Q382+Q399+Q420+Q500+Q606+Q623+Q649+Q697+Q721+Q735+Q767</f>
        <v>0</v>
      </c>
      <c r="R25" s="49">
        <f>R79+R101+R124+R146+R164+R180+R193+R273+R289+R310+R340+R382+R399+R420+R500+R606+R623+R649+R697+R721+R735+R767</f>
        <v>0</v>
      </c>
      <c r="S25" s="49">
        <f>S79+S101+S124+S146+S164+S180+S193+S273+S289+S310+S340+S382+S399+S420+S500+S606+S623+S649+S697+S721+S735+S767</f>
        <v>0</v>
      </c>
      <c r="T25" s="49">
        <f>IF(Q25&gt;0,S25*100/Q25,0)</f>
        <v>0</v>
      </c>
      <c r="U25" s="49">
        <f>IF(R25&gt;0,S25*100/R25,0)</f>
        <v>0</v>
      </c>
    </row>
    <row r="26" spans="1:21" ht="18.75" hidden="1" x14ac:dyDescent="0.25">
      <c r="A26" s="40"/>
      <c r="B26" s="41"/>
      <c r="C26" s="41"/>
      <c r="D26" s="41"/>
      <c r="E26" s="48" t="s">
        <v>21</v>
      </c>
      <c r="F26" s="41"/>
      <c r="G26" s="43"/>
      <c r="H26" s="44" t="s">
        <v>14</v>
      </c>
      <c r="I26" s="45"/>
      <c r="J26" s="45"/>
      <c r="K26" s="46"/>
      <c r="L26" s="548">
        <f ca="1">L52+L67+L80+L102+L125+L147+L165+L194+L181+L274+L290+L311+L328+L341+L364+L383+L421+L501+L521+L542+L563+L584+L607+L624+L650+L698+L722+L736+L768</f>
        <v>0</v>
      </c>
      <c r="M26" s="47">
        <f ca="1">M52+M67+M80+M102+M125+M147+M165+M194+M181+M274+M290+M311+M328+M341+M364+M383+M421+M501+M521+M542+M563+M584+M607+M624+M650+M698+M722+M736+M768</f>
        <v>0</v>
      </c>
      <c r="N26" s="47">
        <f ca="1">N52+N67+N80+N102+N125+N147+N165+N194+N181+N274+N290+N311+N328+N341+N364+N383+N421+N501+N521+N542+N563+N584+N607+N624+N650+N698+N722+N736+N768</f>
        <v>0</v>
      </c>
      <c r="O26" s="47">
        <f ca="1">IF(L26&gt;0,N26*100/L26,0)</f>
        <v>0</v>
      </c>
      <c r="P26" s="47">
        <f ca="1">IF(M26&gt;0,N26*100/M26,0)</f>
        <v>0</v>
      </c>
      <c r="Q26" s="49">
        <f ca="1">Q80+Q102+Q125+Q147+Q165+Q181+Q194+Q274+Q290+Q311+Q341+Q383+Q400+Q421+Q501+Q607+Q624+Q650+Q698+Q722+Q736+Q768</f>
        <v>3350000</v>
      </c>
      <c r="R26" s="49">
        <f ca="1">R80+R102+R125+R147+R165+R181+R194+R274+R290+R311+R341+R383+R400+R421+R501+R607+R624+R650+R698+R722+R736+R768</f>
        <v>3350000</v>
      </c>
      <c r="S26" s="49">
        <f ca="1">S80+S102+S125+S147+S165+S181+S194+S274+S290+S311+S341+S383+S400+S421+S501+S607+S624+S650+S698+S722+S736+S768</f>
        <v>0</v>
      </c>
      <c r="T26" s="47">
        <f ca="1">IF(Q26&gt;0,S26*100/Q26,0)</f>
        <v>0</v>
      </c>
      <c r="U26" s="47">
        <f ca="1">IF(R26&gt;0,S26*100/R26,0)</f>
        <v>0</v>
      </c>
    </row>
    <row r="27" spans="1:21" ht="18.75" hidden="1" x14ac:dyDescent="0.25">
      <c r="A27" s="40"/>
      <c r="B27" s="41"/>
      <c r="C27" s="41"/>
      <c r="D27" s="42" t="s">
        <v>24</v>
      </c>
      <c r="E27" s="41"/>
      <c r="F27" s="41"/>
      <c r="G27" s="43"/>
      <c r="H27" s="44" t="s">
        <v>14</v>
      </c>
      <c r="I27" s="45"/>
      <c r="J27" s="45"/>
      <c r="K27" s="46"/>
      <c r="L27" s="546"/>
      <c r="M27" s="46"/>
      <c r="N27" s="46"/>
      <c r="O27" s="46"/>
      <c r="P27" s="46"/>
      <c r="Q27" s="46"/>
      <c r="R27" s="46"/>
      <c r="S27" s="46"/>
      <c r="T27" s="46"/>
      <c r="U27" s="46"/>
    </row>
    <row r="28" spans="1:21" ht="18.75" hidden="1" x14ac:dyDescent="0.25">
      <c r="A28" s="40"/>
      <c r="B28" s="41"/>
      <c r="C28" s="41"/>
      <c r="D28" s="41"/>
      <c r="E28" s="157" t="s">
        <v>20</v>
      </c>
      <c r="F28" s="41"/>
      <c r="G28" s="43"/>
      <c r="H28" s="783" t="s">
        <v>14</v>
      </c>
      <c r="I28" s="45"/>
      <c r="J28" s="45"/>
      <c r="K28" s="46"/>
      <c r="L28" s="546"/>
      <c r="M28" s="46"/>
      <c r="N28" s="46"/>
      <c r="O28" s="46"/>
      <c r="P28" s="46"/>
      <c r="Q28" s="46"/>
      <c r="R28" s="46"/>
      <c r="S28" s="46"/>
      <c r="T28" s="46"/>
      <c r="U28" s="46"/>
    </row>
    <row r="29" spans="1:21" ht="18.75" hidden="1" x14ac:dyDescent="0.25">
      <c r="A29" s="51"/>
      <c r="B29" s="1"/>
      <c r="C29" s="1"/>
      <c r="D29" s="1"/>
      <c r="E29" s="52" t="s">
        <v>21</v>
      </c>
      <c r="F29" s="1"/>
      <c r="G29" s="53"/>
      <c r="H29" s="54" t="s">
        <v>14</v>
      </c>
      <c r="I29" s="55"/>
      <c r="J29" s="55"/>
      <c r="K29" s="4"/>
      <c r="L29" s="545"/>
      <c r="M29" s="4"/>
      <c r="N29" s="4"/>
      <c r="O29" s="4"/>
      <c r="P29" s="4"/>
      <c r="Q29" s="4"/>
      <c r="R29" s="4"/>
      <c r="S29" s="4"/>
      <c r="T29" s="4"/>
      <c r="U29" s="4"/>
    </row>
    <row r="30" spans="1:21" ht="12.75" hidden="1" x14ac:dyDescent="0.2">
      <c r="A30" s="804"/>
      <c r="B30" s="518"/>
      <c r="C30" s="518"/>
      <c r="D30" s="518"/>
      <c r="E30" s="518"/>
      <c r="F30" s="518"/>
      <c r="G30" s="519"/>
      <c r="H30" s="15"/>
      <c r="I30" s="16"/>
      <c r="J30" s="16"/>
      <c r="K30" s="17"/>
      <c r="L30" s="709"/>
      <c r="M30" s="17"/>
      <c r="N30" s="17"/>
      <c r="O30" s="17"/>
      <c r="P30" s="17"/>
      <c r="Q30" s="17"/>
      <c r="R30" s="17"/>
      <c r="S30" s="17"/>
      <c r="T30" s="17"/>
      <c r="U30" s="17"/>
    </row>
    <row r="31" spans="1:21" ht="12.75" hidden="1" x14ac:dyDescent="0.2">
      <c r="A31" s="18"/>
      <c r="B31" s="19"/>
      <c r="C31" s="19"/>
      <c r="D31" s="19"/>
      <c r="E31" s="19"/>
      <c r="F31" s="19"/>
      <c r="G31" s="20"/>
      <c r="H31" s="20"/>
      <c r="I31" s="21"/>
      <c r="J31" s="21"/>
      <c r="K31" s="22"/>
      <c r="L31" s="700"/>
      <c r="M31" s="22"/>
      <c r="N31" s="22"/>
      <c r="O31" s="22"/>
      <c r="P31" s="22"/>
      <c r="Q31" s="22"/>
      <c r="R31" s="22"/>
      <c r="S31" s="22"/>
      <c r="T31" s="22"/>
      <c r="U31" s="22"/>
    </row>
    <row r="32" spans="1:21" ht="12.75" hidden="1" x14ac:dyDescent="0.2">
      <c r="A32" s="18"/>
      <c r="B32" s="19"/>
      <c r="C32" s="19"/>
      <c r="D32" s="19"/>
      <c r="E32" s="19"/>
      <c r="F32" s="19"/>
      <c r="G32" s="20"/>
      <c r="H32" s="20"/>
      <c r="I32" s="21"/>
      <c r="J32" s="21"/>
      <c r="K32" s="22"/>
      <c r="L32" s="700"/>
      <c r="M32" s="22"/>
      <c r="N32" s="22"/>
      <c r="O32" s="22"/>
      <c r="P32" s="22"/>
      <c r="Q32" s="22"/>
      <c r="R32" s="22"/>
      <c r="S32" s="22"/>
      <c r="T32" s="22"/>
      <c r="U32" s="22"/>
    </row>
    <row r="33" spans="1:21" ht="12.75" hidden="1" x14ac:dyDescent="0.2">
      <c r="A33" s="18"/>
      <c r="B33" s="19"/>
      <c r="C33" s="19"/>
      <c r="D33" s="19"/>
      <c r="E33" s="19"/>
      <c r="F33" s="19"/>
      <c r="G33" s="20"/>
      <c r="H33" s="20"/>
      <c r="I33" s="21"/>
      <c r="J33" s="21"/>
      <c r="K33" s="22"/>
      <c r="L33" s="700"/>
      <c r="M33" s="22"/>
      <c r="N33" s="22"/>
      <c r="O33" s="22"/>
      <c r="P33" s="22"/>
      <c r="Q33" s="22"/>
      <c r="R33" s="22"/>
      <c r="S33" s="22"/>
      <c r="T33" s="22"/>
      <c r="U33" s="22"/>
    </row>
    <row r="34" spans="1:21" ht="12.75" hidden="1" x14ac:dyDescent="0.2">
      <c r="A34" s="18"/>
      <c r="B34" s="19"/>
      <c r="C34" s="19"/>
      <c r="D34" s="19"/>
      <c r="E34" s="19"/>
      <c r="F34" s="19"/>
      <c r="G34" s="20"/>
      <c r="H34" s="20"/>
      <c r="I34" s="21"/>
      <c r="J34" s="21"/>
      <c r="K34" s="22"/>
      <c r="L34" s="700"/>
      <c r="M34" s="22"/>
      <c r="N34" s="22"/>
      <c r="O34" s="22"/>
      <c r="P34" s="22"/>
      <c r="Q34" s="22"/>
      <c r="R34" s="22"/>
      <c r="S34" s="22"/>
      <c r="T34" s="22"/>
      <c r="U34" s="22"/>
    </row>
    <row r="35" spans="1:21" ht="12.75" hidden="1" x14ac:dyDescent="0.2">
      <c r="A35" s="18"/>
      <c r="B35" s="19"/>
      <c r="C35" s="19"/>
      <c r="D35" s="19"/>
      <c r="E35" s="19"/>
      <c r="F35" s="19"/>
      <c r="G35" s="20"/>
      <c r="H35" s="20"/>
      <c r="I35" s="21"/>
      <c r="J35" s="21"/>
      <c r="K35" s="22"/>
      <c r="L35" s="700"/>
      <c r="M35" s="22"/>
      <c r="N35" s="22"/>
      <c r="O35" s="22"/>
      <c r="P35" s="22"/>
      <c r="Q35" s="22"/>
      <c r="R35" s="22"/>
      <c r="S35" s="22"/>
      <c r="T35" s="22"/>
      <c r="U35" s="22"/>
    </row>
    <row r="36" spans="1:21" ht="12.75" hidden="1" x14ac:dyDescent="0.2">
      <c r="A36" s="18"/>
      <c r="B36" s="19"/>
      <c r="C36" s="19"/>
      <c r="D36" s="19"/>
      <c r="E36" s="19"/>
      <c r="F36" s="19"/>
      <c r="G36" s="20"/>
      <c r="H36" s="20"/>
      <c r="I36" s="21"/>
      <c r="J36" s="21"/>
      <c r="K36" s="22"/>
      <c r="L36" s="700"/>
      <c r="M36" s="22"/>
      <c r="N36" s="22"/>
      <c r="O36" s="22"/>
      <c r="P36" s="22"/>
      <c r="Q36" s="22"/>
      <c r="R36" s="22"/>
      <c r="S36" s="22"/>
      <c r="T36" s="22"/>
      <c r="U36" s="22"/>
    </row>
    <row r="37" spans="1:21" ht="12.75" hidden="1" x14ac:dyDescent="0.2">
      <c r="A37" s="18"/>
      <c r="B37" s="19"/>
      <c r="C37" s="19"/>
      <c r="D37" s="19"/>
      <c r="E37" s="19"/>
      <c r="F37" s="19"/>
      <c r="G37" s="20"/>
      <c r="H37" s="20"/>
      <c r="I37" s="21"/>
      <c r="J37" s="21"/>
      <c r="K37" s="22"/>
      <c r="L37" s="700"/>
      <c r="M37" s="22"/>
      <c r="N37" s="22"/>
      <c r="O37" s="22"/>
      <c r="P37" s="22"/>
      <c r="Q37" s="22"/>
      <c r="R37" s="22"/>
      <c r="S37" s="22"/>
      <c r="T37" s="22"/>
      <c r="U37" s="22"/>
    </row>
    <row r="38" spans="1:21" ht="12.75" hidden="1" x14ac:dyDescent="0.2">
      <c r="A38" s="18"/>
      <c r="B38" s="19"/>
      <c r="C38" s="19"/>
      <c r="D38" s="19"/>
      <c r="E38" s="19"/>
      <c r="F38" s="19"/>
      <c r="G38" s="20"/>
      <c r="H38" s="20"/>
      <c r="I38" s="21"/>
      <c r="J38" s="21"/>
      <c r="K38" s="22"/>
      <c r="L38" s="700"/>
      <c r="M38" s="22"/>
      <c r="N38" s="22"/>
      <c r="O38" s="22"/>
      <c r="P38" s="22"/>
      <c r="Q38" s="22"/>
      <c r="R38" s="22"/>
      <c r="S38" s="22"/>
      <c r="T38" s="22"/>
      <c r="U38" s="22"/>
    </row>
    <row r="39" spans="1:21" ht="12.75" hidden="1" x14ac:dyDescent="0.2">
      <c r="A39" s="14"/>
      <c r="B39" s="23"/>
      <c r="C39" s="23"/>
      <c r="D39" s="23"/>
      <c r="E39" s="23"/>
      <c r="F39" s="23"/>
      <c r="G39" s="15"/>
      <c r="H39" s="15"/>
      <c r="I39" s="16"/>
      <c r="J39" s="16"/>
      <c r="K39" s="17"/>
      <c r="L39" s="709"/>
      <c r="M39" s="17"/>
      <c r="N39" s="17"/>
      <c r="O39" s="17"/>
      <c r="P39" s="17"/>
      <c r="Q39" s="17"/>
      <c r="R39" s="17"/>
      <c r="S39" s="17"/>
      <c r="T39" s="17"/>
      <c r="U39" s="17"/>
    </row>
    <row r="40" spans="1:21" ht="19.5" hidden="1" x14ac:dyDescent="0.3">
      <c r="A40" s="56" t="s">
        <v>25</v>
      </c>
      <c r="B40" s="57"/>
      <c r="C40" s="57"/>
      <c r="D40" s="57"/>
      <c r="E40" s="57"/>
      <c r="F40" s="57"/>
      <c r="G40" s="58"/>
      <c r="H40" s="58"/>
      <c r="I40" s="59"/>
      <c r="J40" s="59"/>
      <c r="K40" s="60"/>
      <c r="L40" s="803">
        <f ca="1">L44+L59+L72+L94+L125+L139+L157+L173+L186+L266+L282+L303+L320+L333+L356</f>
        <v>2621945</v>
      </c>
      <c r="M40" s="802">
        <f ca="1">M44+M59+M72+M94+M125+M139+M157+M173+M186+M266+M282+M303+M320+M333+M356</f>
        <v>2644745</v>
      </c>
      <c r="N40" s="802">
        <f ca="1">N44+N59+N72+N94+N125+N139+N157+N173+N186+N266+N282+N303+N320+N333+N356</f>
        <v>1757509.3900000001</v>
      </c>
      <c r="O40" s="802">
        <f ca="1">IF(L40&gt;0,N40*100/L40,0)</f>
        <v>67.030749691545779</v>
      </c>
      <c r="P40" s="802">
        <f ca="1">IF(M40&gt;0,N40*100/M40,0)</f>
        <v>66.452886384131546</v>
      </c>
      <c r="Q40" s="60"/>
      <c r="R40" s="60"/>
      <c r="S40" s="60"/>
      <c r="T40" s="60"/>
      <c r="U40" s="60"/>
    </row>
    <row r="41" spans="1:21" ht="19.5" x14ac:dyDescent="0.3">
      <c r="A41" s="61" t="s">
        <v>26</v>
      </c>
      <c r="B41" s="62"/>
      <c r="C41" s="62"/>
      <c r="D41" s="62"/>
      <c r="E41" s="62"/>
      <c r="F41" s="62"/>
      <c r="G41" s="62"/>
      <c r="H41" s="62"/>
      <c r="I41" s="63"/>
      <c r="J41" s="63"/>
      <c r="K41" s="64"/>
      <c r="L41" s="64"/>
      <c r="M41" s="64"/>
      <c r="N41" s="64"/>
      <c r="O41" s="64"/>
      <c r="P41" s="65"/>
      <c r="Q41" s="64"/>
      <c r="R41" s="64"/>
      <c r="S41" s="64"/>
      <c r="T41" s="64"/>
      <c r="U41" s="65"/>
    </row>
    <row r="42" spans="1:21" ht="19.5" x14ac:dyDescent="0.3">
      <c r="A42" s="801"/>
      <c r="B42" s="67" t="s">
        <v>27</v>
      </c>
      <c r="C42" s="66"/>
      <c r="D42" s="66"/>
      <c r="E42" s="66"/>
      <c r="F42" s="66"/>
      <c r="G42" s="68"/>
      <c r="H42" s="68"/>
      <c r="I42" s="69"/>
      <c r="J42" s="69"/>
      <c r="K42" s="70"/>
      <c r="L42" s="800"/>
      <c r="M42" s="70"/>
      <c r="N42" s="70"/>
      <c r="O42" s="70"/>
      <c r="P42" s="70"/>
      <c r="Q42" s="70"/>
      <c r="R42" s="70"/>
      <c r="S42" s="70"/>
      <c r="T42" s="70"/>
      <c r="U42" s="70"/>
    </row>
    <row r="43" spans="1:21" ht="12.75" hidden="1" x14ac:dyDescent="0.2">
      <c r="A43" s="18"/>
      <c r="B43" s="19"/>
      <c r="C43" s="19"/>
      <c r="D43" s="19"/>
      <c r="E43" s="19"/>
      <c r="F43" s="19"/>
      <c r="G43" s="20"/>
      <c r="H43" s="20"/>
      <c r="I43" s="21"/>
      <c r="J43" s="21"/>
      <c r="K43" s="22"/>
      <c r="L43" s="700"/>
      <c r="M43" s="22"/>
      <c r="N43" s="22"/>
      <c r="O43" s="22"/>
      <c r="P43" s="22"/>
      <c r="Q43" s="22"/>
      <c r="R43" s="22"/>
      <c r="S43" s="22"/>
      <c r="T43" s="22"/>
      <c r="U43" s="22"/>
    </row>
    <row r="44" spans="1:21" ht="19.5" x14ac:dyDescent="0.3">
      <c r="A44" s="71"/>
      <c r="B44" s="72"/>
      <c r="C44" s="799" t="s">
        <v>18</v>
      </c>
      <c r="D44" s="798" t="s">
        <v>19</v>
      </c>
      <c r="E44" s="72"/>
      <c r="F44" s="72"/>
      <c r="G44" s="75"/>
      <c r="H44" s="76" t="s">
        <v>14</v>
      </c>
      <c r="I44" s="77"/>
      <c r="J44" s="77"/>
      <c r="K44" s="78"/>
      <c r="L44" s="797">
        <f ca="1">L45+L46</f>
        <v>570200</v>
      </c>
      <c r="M44" s="79">
        <f ca="1">M45+M46</f>
        <v>576680</v>
      </c>
      <c r="N44" s="79">
        <f ca="1">N45+N46</f>
        <v>393980</v>
      </c>
      <c r="O44" s="79">
        <f ca="1">IF(L44&gt;0,N44*100/L44,0)</f>
        <v>69.095054366888817</v>
      </c>
      <c r="P44" s="79">
        <f ca="1">IF(M44&gt;0,N44*100/M44,0)</f>
        <v>68.318651591870704</v>
      </c>
      <c r="Q44" s="79">
        <f>Q45+Q46</f>
        <v>0</v>
      </c>
      <c r="R44" s="79">
        <f>R45+R46</f>
        <v>0</v>
      </c>
      <c r="S44" s="79">
        <f>S45+S46</f>
        <v>0</v>
      </c>
      <c r="T44" s="79">
        <f>IF(Q44&gt;0,S44*100/Q44,0)</f>
        <v>0</v>
      </c>
      <c r="U44" s="79">
        <f>IF(R44&gt;0,S44*100/R44,0)</f>
        <v>0</v>
      </c>
    </row>
    <row r="45" spans="1:21" ht="18.75" hidden="1" x14ac:dyDescent="0.25">
      <c r="A45" s="71"/>
      <c r="B45" s="72"/>
      <c r="C45" s="72"/>
      <c r="D45" s="72"/>
      <c r="E45" s="796" t="s">
        <v>20</v>
      </c>
      <c r="F45" s="72"/>
      <c r="G45" s="75"/>
      <c r="H45" s="795" t="s">
        <v>14</v>
      </c>
      <c r="I45" s="77"/>
      <c r="J45" s="77"/>
      <c r="K45" s="78"/>
      <c r="L45" s="794">
        <f>L48+L51</f>
        <v>0</v>
      </c>
      <c r="M45" s="82">
        <f>M48+M51</f>
        <v>0</v>
      </c>
      <c r="N45" s="82">
        <f>N48+N51</f>
        <v>0</v>
      </c>
      <c r="O45" s="82">
        <f>IF(L45&gt;0,N45*100/L45,0)</f>
        <v>0</v>
      </c>
      <c r="P45" s="82">
        <f>IF(M45&gt;0,N45*100/M45,0)</f>
        <v>0</v>
      </c>
      <c r="Q45" s="82">
        <f>Q48+Q51</f>
        <v>0</v>
      </c>
      <c r="R45" s="82">
        <f>R48+R51</f>
        <v>0</v>
      </c>
      <c r="S45" s="82">
        <f>S48+S51</f>
        <v>0</v>
      </c>
      <c r="T45" s="82">
        <f>IF(Q45&gt;0,S45*100/Q45,0)</f>
        <v>0</v>
      </c>
      <c r="U45" s="82">
        <f>IF(R45&gt;0,S45*100/R45,0)</f>
        <v>0</v>
      </c>
    </row>
    <row r="46" spans="1:21" ht="18.75" hidden="1" x14ac:dyDescent="0.25">
      <c r="A46" s="71"/>
      <c r="B46" s="72"/>
      <c r="C46" s="72"/>
      <c r="D46" s="72"/>
      <c r="E46" s="80" t="s">
        <v>21</v>
      </c>
      <c r="F46" s="72"/>
      <c r="G46" s="75"/>
      <c r="H46" s="81" t="s">
        <v>14</v>
      </c>
      <c r="I46" s="77"/>
      <c r="J46" s="77"/>
      <c r="K46" s="78"/>
      <c r="L46" s="793">
        <f ca="1">L49+L52</f>
        <v>570200</v>
      </c>
      <c r="M46" s="83">
        <f ca="1">M49+M52</f>
        <v>576680</v>
      </c>
      <c r="N46" s="83">
        <f ca="1">N49+N52</f>
        <v>393980</v>
      </c>
      <c r="O46" s="83">
        <f ca="1">IF(L46&gt;0,N46*100/L46,0)</f>
        <v>69.095054366888817</v>
      </c>
      <c r="P46" s="83">
        <f ca="1">IF(M46&gt;0,N46*100/M46,0)</f>
        <v>68.318651591870704</v>
      </c>
      <c r="Q46" s="83">
        <f>Q49+Q52</f>
        <v>0</v>
      </c>
      <c r="R46" s="83">
        <f>R49+R52</f>
        <v>0</v>
      </c>
      <c r="S46" s="83">
        <f>S49+S52</f>
        <v>0</v>
      </c>
      <c r="T46" s="83">
        <f>IF(Q46&gt;0,S46*100/Q46,0)</f>
        <v>0</v>
      </c>
      <c r="U46" s="83">
        <f>IF(R46&gt;0,S46*100/R46,0)</f>
        <v>0</v>
      </c>
    </row>
    <row r="47" spans="1:21" ht="18.75" x14ac:dyDescent="0.25">
      <c r="A47" s="40"/>
      <c r="B47" s="41"/>
      <c r="C47" s="41"/>
      <c r="D47" s="42" t="s">
        <v>22</v>
      </c>
      <c r="E47" s="41"/>
      <c r="F47" s="41"/>
      <c r="G47" s="43"/>
      <c r="H47" s="44" t="s">
        <v>14</v>
      </c>
      <c r="I47" s="45"/>
      <c r="J47" s="45"/>
      <c r="K47" s="46"/>
      <c r="L47" s="548">
        <f ca="1">L48+L49</f>
        <v>570200</v>
      </c>
      <c r="M47" s="47">
        <f ca="1">M48+M49</f>
        <v>576680</v>
      </c>
      <c r="N47" s="47">
        <f ca="1">N48+N49</f>
        <v>393980</v>
      </c>
      <c r="O47" s="47">
        <f ca="1">IF(L47&gt;0,N47*100/L47,0)</f>
        <v>69.095054366888817</v>
      </c>
      <c r="P47" s="47">
        <f ca="1">IF(M47&gt;0,N47*100/M47,0)</f>
        <v>68.318651591870704</v>
      </c>
      <c r="Q47" s="47">
        <f>Q48+Q49</f>
        <v>0</v>
      </c>
      <c r="R47" s="47">
        <f>R48+R49</f>
        <v>0</v>
      </c>
      <c r="S47" s="47">
        <f>S48+S49</f>
        <v>0</v>
      </c>
      <c r="T47" s="47">
        <f>IF(Q47&gt;0,S47*100/Q47,0)</f>
        <v>0</v>
      </c>
      <c r="U47" s="47">
        <f>IF(R47&gt;0,S47*100/R47,0)</f>
        <v>0</v>
      </c>
    </row>
    <row r="48" spans="1:21" ht="18.75" hidden="1" x14ac:dyDescent="0.25">
      <c r="A48" s="40"/>
      <c r="B48" s="41"/>
      <c r="C48" s="41"/>
      <c r="D48" s="41"/>
      <c r="E48" s="157" t="s">
        <v>20</v>
      </c>
      <c r="F48" s="41"/>
      <c r="G48" s="43"/>
      <c r="H48" s="783" t="s">
        <v>14</v>
      </c>
      <c r="I48" s="45"/>
      <c r="J48" s="45"/>
      <c r="K48" s="46"/>
      <c r="L48" s="549">
        <v>0</v>
      </c>
      <c r="M48" s="49">
        <v>0</v>
      </c>
      <c r="N48" s="49">
        <v>0</v>
      </c>
      <c r="O48" s="49">
        <f>IF(L48&gt;0,N48*100/L48,0)</f>
        <v>0</v>
      </c>
      <c r="P48" s="49">
        <f>IF(M48&gt;0,N48*100/M48,0)</f>
        <v>0</v>
      </c>
      <c r="Q48" s="49">
        <v>0</v>
      </c>
      <c r="R48" s="49">
        <v>0</v>
      </c>
      <c r="S48" s="49">
        <v>0</v>
      </c>
      <c r="T48" s="49">
        <f>IF(Q48&gt;0,S48*100/Q48,0)</f>
        <v>0</v>
      </c>
      <c r="U48" s="49">
        <f>IF(R48&gt;0,S48*100/R48,0)</f>
        <v>0</v>
      </c>
    </row>
    <row r="49" spans="1:21" ht="18.75" hidden="1" x14ac:dyDescent="0.25">
      <c r="A49" s="40"/>
      <c r="B49" s="41"/>
      <c r="C49" s="41"/>
      <c r="D49" s="41"/>
      <c r="E49" s="48" t="s">
        <v>21</v>
      </c>
      <c r="F49" s="41"/>
      <c r="G49" s="43"/>
      <c r="H49" s="44" t="s">
        <v>14</v>
      </c>
      <c r="I49" s="45"/>
      <c r="J49" s="45"/>
      <c r="K49" s="46"/>
      <c r="L49" s="548">
        <f ca="1">IFERROR(__xludf.DUMMYFUNCTION("IMPORTRANGE(""https://docs.google.com/spreadsheets/d/1-uDff_7J0KD5mKrp0Vvzr7lt3OU09vwQwhkpOPPYv2Y/edit?usp=sharing"",""งบพรบ!P82"")"),570200)</f>
        <v>570200</v>
      </c>
      <c r="M49" s="47">
        <f ca="1">IFERROR(__xludf.DUMMYFUNCTION("IMPORTRANGE(""https://docs.google.com/spreadsheets/d/1-uDff_7J0KD5mKrp0Vvzr7lt3OU09vwQwhkpOPPYv2Y/edit?usp=sharing"",""งบพรบ!V82"")"),576680)</f>
        <v>576680</v>
      </c>
      <c r="N49" s="47">
        <f ca="1">IFERROR(__xludf.DUMMYFUNCTION("IMPORTRANGE(""https://docs.google.com/spreadsheets/d/1-uDff_7J0KD5mKrp0Vvzr7lt3OU09vwQwhkpOPPYv2Y/edit?usp=sharing"",""งบพรบ!Y82"")"),393980)</f>
        <v>393980</v>
      </c>
      <c r="O49" s="47">
        <f ca="1">IF(L49&gt;0,N49*100/L49,0)</f>
        <v>69.095054366888817</v>
      </c>
      <c r="P49" s="47">
        <f ca="1">IF(M49&gt;0,N49*100/M49,0)</f>
        <v>68.318651591870704</v>
      </c>
      <c r="Q49" s="47">
        <v>0</v>
      </c>
      <c r="R49" s="47">
        <v>0</v>
      </c>
      <c r="S49" s="47">
        <v>0</v>
      </c>
      <c r="T49" s="47">
        <f>IF(Q49&gt;0,S49*100/Q49,0)</f>
        <v>0</v>
      </c>
      <c r="U49" s="47">
        <f>IF(R49&gt;0,S49*100/R49,0)</f>
        <v>0</v>
      </c>
    </row>
    <row r="50" spans="1:21" ht="18.75" x14ac:dyDescent="0.25">
      <c r="A50" s="40"/>
      <c r="B50" s="41"/>
      <c r="C50" s="41"/>
      <c r="D50" s="42" t="s">
        <v>23</v>
      </c>
      <c r="E50" s="41"/>
      <c r="F50" s="41"/>
      <c r="G50" s="43"/>
      <c r="H50" s="44" t="s">
        <v>14</v>
      </c>
      <c r="I50" s="45"/>
      <c r="J50" s="45"/>
      <c r="K50" s="46"/>
      <c r="L50" s="548">
        <f ca="1">L51+L52</f>
        <v>0</v>
      </c>
      <c r="M50" s="47">
        <f ca="1">M51+M52</f>
        <v>0</v>
      </c>
      <c r="N50" s="47">
        <f ca="1">N51+N52</f>
        <v>0</v>
      </c>
      <c r="O50" s="47">
        <f ca="1">IF(L50&gt;0,N50*100/L50,0)</f>
        <v>0</v>
      </c>
      <c r="P50" s="47">
        <f ca="1">IF(M50&gt;0,N50*100/M50,0)</f>
        <v>0</v>
      </c>
      <c r="Q50" s="47">
        <f>Q51+Q52</f>
        <v>0</v>
      </c>
      <c r="R50" s="47">
        <f>R51+R52</f>
        <v>0</v>
      </c>
      <c r="S50" s="47">
        <f>S51+S52</f>
        <v>0</v>
      </c>
      <c r="T50" s="47">
        <f>IF(Q50&gt;0,S50*100/Q50,0)</f>
        <v>0</v>
      </c>
      <c r="U50" s="47">
        <f>IF(R50&gt;0,S50*100/R50,0)</f>
        <v>0</v>
      </c>
    </row>
    <row r="51" spans="1:21" ht="18.75" hidden="1" x14ac:dyDescent="0.25">
      <c r="A51" s="40"/>
      <c r="B51" s="41"/>
      <c r="C51" s="41"/>
      <c r="D51" s="41"/>
      <c r="E51" s="157" t="s">
        <v>20</v>
      </c>
      <c r="F51" s="41"/>
      <c r="G51" s="43"/>
      <c r="H51" s="783" t="s">
        <v>14</v>
      </c>
      <c r="I51" s="45"/>
      <c r="J51" s="45"/>
      <c r="K51" s="46"/>
      <c r="L51" s="549">
        <v>0</v>
      </c>
      <c r="M51" s="49">
        <v>0</v>
      </c>
      <c r="N51" s="49">
        <v>0</v>
      </c>
      <c r="O51" s="49">
        <f>IF(L51&gt;0,N51*100/L51,0)</f>
        <v>0</v>
      </c>
      <c r="P51" s="49">
        <f>IF(M51&gt;0,N51*100/M51,0)</f>
        <v>0</v>
      </c>
      <c r="Q51" s="49">
        <v>0</v>
      </c>
      <c r="R51" s="49">
        <v>0</v>
      </c>
      <c r="S51" s="49">
        <v>0</v>
      </c>
      <c r="T51" s="49">
        <f>IF(Q51&gt;0,S51*100/Q51,0)</f>
        <v>0</v>
      </c>
      <c r="U51" s="49">
        <f>IF(R51&gt;0,S51*100/R51,0)</f>
        <v>0</v>
      </c>
    </row>
    <row r="52" spans="1:21" ht="18.75" hidden="1" x14ac:dyDescent="0.25">
      <c r="A52" s="40"/>
      <c r="B52" s="41"/>
      <c r="C52" s="41"/>
      <c r="D52" s="41"/>
      <c r="E52" s="48" t="s">
        <v>21</v>
      </c>
      <c r="F52" s="41"/>
      <c r="G52" s="43"/>
      <c r="H52" s="44" t="s">
        <v>14</v>
      </c>
      <c r="I52" s="45"/>
      <c r="J52" s="45"/>
      <c r="K52" s="46"/>
      <c r="L52" s="548">
        <f ca="1">IFERROR(__xludf.DUMMYFUNCTION("IMPORTRANGE(""https://docs.google.com/spreadsheets/d/1-uDff_7J0KD5mKrp0Vvzr7lt3OU09vwQwhkpOPPYv2Y/edit?usp=sharing"",""งบพรบ!S82"")"),0)</f>
        <v>0</v>
      </c>
      <c r="M52" s="47">
        <f ca="1">IFERROR(__xludf.DUMMYFUNCTION("IMPORTRANGE(""https://docs.google.com/spreadsheets/d/1-uDff_7J0KD5mKrp0Vvzr7lt3OU09vwQwhkpOPPYv2Y/edit?usp=sharing"",""งบพรบ!W82"")"),0)</f>
        <v>0</v>
      </c>
      <c r="N52" s="47">
        <f ca="1">IFERROR(__xludf.DUMMYFUNCTION("IMPORTRANGE(""https://docs.google.com/spreadsheets/d/1-uDff_7J0KD5mKrp0Vvzr7lt3OU09vwQwhkpOPPYv2Y/edit?usp=sharing"",""งบพรบ!Z82"")"),0)</f>
        <v>0</v>
      </c>
      <c r="O52" s="47">
        <f ca="1">IF(L52&gt;0,N52*100/L52,0)</f>
        <v>0</v>
      </c>
      <c r="P52" s="47">
        <f ca="1">IF(M52&gt;0,N52*100/M52,0)</f>
        <v>0</v>
      </c>
      <c r="Q52" s="47">
        <v>0</v>
      </c>
      <c r="R52" s="47">
        <v>0</v>
      </c>
      <c r="S52" s="47">
        <v>0</v>
      </c>
      <c r="T52" s="47">
        <f>IF(Q52&gt;0,S52*100/Q52,0)</f>
        <v>0</v>
      </c>
      <c r="U52" s="47">
        <f>IF(R52&gt;0,S52*100/R52,0)</f>
        <v>0</v>
      </c>
    </row>
    <row r="53" spans="1:21" ht="18.75" hidden="1" x14ac:dyDescent="0.25">
      <c r="A53" s="40"/>
      <c r="B53" s="41"/>
      <c r="C53" s="41"/>
      <c r="D53" s="42" t="s">
        <v>24</v>
      </c>
      <c r="E53" s="41"/>
      <c r="F53" s="41"/>
      <c r="G53" s="43"/>
      <c r="H53" s="44" t="s">
        <v>14</v>
      </c>
      <c r="I53" s="45"/>
      <c r="J53" s="45"/>
      <c r="K53" s="46"/>
      <c r="L53" s="546"/>
      <c r="M53" s="46"/>
      <c r="N53" s="46"/>
      <c r="O53" s="46"/>
      <c r="P53" s="46"/>
      <c r="Q53" s="46"/>
      <c r="R53" s="46"/>
      <c r="S53" s="46"/>
      <c r="T53" s="46"/>
      <c r="U53" s="46"/>
    </row>
    <row r="54" spans="1:21" ht="18.75" hidden="1" x14ac:dyDescent="0.25">
      <c r="A54" s="40"/>
      <c r="B54" s="41"/>
      <c r="C54" s="41"/>
      <c r="D54" s="41"/>
      <c r="E54" s="157" t="s">
        <v>20</v>
      </c>
      <c r="F54" s="41"/>
      <c r="G54" s="43"/>
      <c r="H54" s="783" t="s">
        <v>14</v>
      </c>
      <c r="I54" s="45"/>
      <c r="J54" s="45"/>
      <c r="K54" s="46"/>
      <c r="L54" s="546"/>
      <c r="M54" s="46"/>
      <c r="N54" s="46"/>
      <c r="O54" s="46"/>
      <c r="P54" s="46"/>
      <c r="Q54" s="46"/>
      <c r="R54" s="46"/>
      <c r="S54" s="46"/>
      <c r="T54" s="46"/>
      <c r="U54" s="46"/>
    </row>
    <row r="55" spans="1:21" ht="18.75" hidden="1" x14ac:dyDescent="0.25">
      <c r="A55" s="51"/>
      <c r="B55" s="1"/>
      <c r="C55" s="1"/>
      <c r="D55" s="1"/>
      <c r="E55" s="52" t="s">
        <v>21</v>
      </c>
      <c r="F55" s="1"/>
      <c r="G55" s="53"/>
      <c r="H55" s="54" t="s">
        <v>14</v>
      </c>
      <c r="I55" s="55"/>
      <c r="J55" s="55"/>
      <c r="K55" s="4"/>
      <c r="L55" s="545"/>
      <c r="M55" s="4"/>
      <c r="N55" s="4"/>
      <c r="O55" s="4"/>
      <c r="P55" s="4"/>
      <c r="Q55" s="4"/>
      <c r="R55" s="4"/>
      <c r="S55" s="4"/>
      <c r="T55" s="4"/>
      <c r="U55" s="4"/>
    </row>
    <row r="56" spans="1:21" ht="19.5" x14ac:dyDescent="0.3">
      <c r="A56" s="539" t="s">
        <v>28</v>
      </c>
      <c r="B56" s="518"/>
      <c r="C56" s="518"/>
      <c r="D56" s="518"/>
      <c r="E56" s="518"/>
      <c r="F56" s="518"/>
      <c r="G56" s="519"/>
      <c r="H56" s="84"/>
      <c r="I56" s="85"/>
      <c r="J56" s="85"/>
      <c r="K56" s="86"/>
      <c r="L56" s="86"/>
      <c r="M56" s="86"/>
      <c r="N56" s="86"/>
      <c r="O56" s="86"/>
      <c r="P56" s="87"/>
      <c r="Q56" s="86"/>
      <c r="R56" s="86"/>
      <c r="S56" s="86"/>
      <c r="T56" s="86"/>
      <c r="U56" s="87"/>
    </row>
    <row r="57" spans="1:21" ht="19.5" x14ac:dyDescent="0.3">
      <c r="A57" s="88"/>
      <c r="B57" s="540" t="s">
        <v>29</v>
      </c>
      <c r="C57" s="530"/>
      <c r="D57" s="530"/>
      <c r="E57" s="530"/>
      <c r="F57" s="530"/>
      <c r="G57" s="531"/>
      <c r="H57" s="89"/>
      <c r="I57" s="90"/>
      <c r="J57" s="90"/>
      <c r="K57" s="91"/>
      <c r="L57" s="792"/>
      <c r="M57" s="91"/>
      <c r="N57" s="91"/>
      <c r="O57" s="91"/>
      <c r="P57" s="91"/>
      <c r="Q57" s="91"/>
      <c r="R57" s="91"/>
      <c r="S57" s="91"/>
      <c r="T57" s="91"/>
      <c r="U57" s="91"/>
    </row>
    <row r="58" spans="1:21" ht="19.5" x14ac:dyDescent="0.3">
      <c r="A58" s="92"/>
      <c r="B58" s="93" t="s">
        <v>30</v>
      </c>
      <c r="C58" s="94"/>
      <c r="D58" s="94"/>
      <c r="E58" s="94"/>
      <c r="F58" s="94"/>
      <c r="G58" s="95"/>
      <c r="H58" s="95"/>
      <c r="I58" s="96"/>
      <c r="J58" s="96"/>
      <c r="K58" s="97"/>
      <c r="L58" s="791"/>
      <c r="M58" s="97"/>
      <c r="N58" s="97"/>
      <c r="O58" s="97"/>
      <c r="P58" s="97"/>
      <c r="Q58" s="97"/>
      <c r="R58" s="97"/>
      <c r="S58" s="97"/>
      <c r="T58" s="97"/>
      <c r="U58" s="97"/>
    </row>
    <row r="59" spans="1:21" ht="19.5" x14ac:dyDescent="0.3">
      <c r="A59" s="98"/>
      <c r="B59" s="99"/>
      <c r="C59" s="790" t="s">
        <v>18</v>
      </c>
      <c r="D59" s="789" t="s">
        <v>19</v>
      </c>
      <c r="E59" s="99"/>
      <c r="F59" s="99"/>
      <c r="G59" s="102"/>
      <c r="H59" s="103" t="s">
        <v>14</v>
      </c>
      <c r="I59" s="104"/>
      <c r="J59" s="104"/>
      <c r="K59" s="105"/>
      <c r="L59" s="788">
        <f ca="1">L60+L61</f>
        <v>615700</v>
      </c>
      <c r="M59" s="106">
        <f ca="1">M60+M61</f>
        <v>615700</v>
      </c>
      <c r="N59" s="106">
        <f ca="1">N60+N61</f>
        <v>482532.73</v>
      </c>
      <c r="O59" s="106">
        <f ca="1">IF(L59&gt;0,N59*100/L59,0)</f>
        <v>78.371403280818583</v>
      </c>
      <c r="P59" s="106">
        <f ca="1">IF(M59&gt;0,N59*100/M59,0)</f>
        <v>78.371403280818583</v>
      </c>
      <c r="Q59" s="106">
        <f>Q60+Q61</f>
        <v>0</v>
      </c>
      <c r="R59" s="106">
        <f>R60+R61</f>
        <v>0</v>
      </c>
      <c r="S59" s="106">
        <f>S60+S61</f>
        <v>0</v>
      </c>
      <c r="T59" s="106">
        <f>IF(Q59&gt;0,S59*100/Q59,0)</f>
        <v>0</v>
      </c>
      <c r="U59" s="106">
        <f>IF(R59&gt;0,S59*100/R59,0)</f>
        <v>0</v>
      </c>
    </row>
    <row r="60" spans="1:21" ht="18.75" hidden="1" x14ac:dyDescent="0.25">
      <c r="A60" s="98"/>
      <c r="B60" s="99"/>
      <c r="C60" s="99"/>
      <c r="D60" s="99"/>
      <c r="E60" s="787" t="s">
        <v>20</v>
      </c>
      <c r="F60" s="99"/>
      <c r="G60" s="102"/>
      <c r="H60" s="786" t="s">
        <v>14</v>
      </c>
      <c r="I60" s="104"/>
      <c r="J60" s="104"/>
      <c r="K60" s="105"/>
      <c r="L60" s="785">
        <f>L63+L66</f>
        <v>0</v>
      </c>
      <c r="M60" s="110">
        <f>M63+M66</f>
        <v>0</v>
      </c>
      <c r="N60" s="110">
        <f>N63+N66</f>
        <v>0</v>
      </c>
      <c r="O60" s="110">
        <f>IF(L60&gt;0,N60*100/L60,0)</f>
        <v>0</v>
      </c>
      <c r="P60" s="110">
        <f>IF(M60&gt;0,N60*100/M60,0)</f>
        <v>0</v>
      </c>
      <c r="Q60" s="110">
        <f>Q63+Q66</f>
        <v>0</v>
      </c>
      <c r="R60" s="110">
        <f>R63+R66</f>
        <v>0</v>
      </c>
      <c r="S60" s="110">
        <f>S63+S66</f>
        <v>0</v>
      </c>
      <c r="T60" s="110">
        <f>IF(Q60&gt;0,S60*100/Q60,0)</f>
        <v>0</v>
      </c>
      <c r="U60" s="110">
        <f>IF(R60&gt;0,S60*100/R60,0)</f>
        <v>0</v>
      </c>
    </row>
    <row r="61" spans="1:21" ht="18.75" hidden="1" x14ac:dyDescent="0.25">
      <c r="A61" s="98"/>
      <c r="B61" s="99"/>
      <c r="C61" s="99"/>
      <c r="D61" s="99"/>
      <c r="E61" s="107" t="s">
        <v>21</v>
      </c>
      <c r="F61" s="99"/>
      <c r="G61" s="102"/>
      <c r="H61" s="108" t="s">
        <v>14</v>
      </c>
      <c r="I61" s="104"/>
      <c r="J61" s="104"/>
      <c r="K61" s="105"/>
      <c r="L61" s="784">
        <f ca="1">L64+L67</f>
        <v>615700</v>
      </c>
      <c r="M61" s="109">
        <f ca="1">M64+M67</f>
        <v>615700</v>
      </c>
      <c r="N61" s="109">
        <f ca="1">N64+N67</f>
        <v>482532.73</v>
      </c>
      <c r="O61" s="109">
        <f ca="1">IF(L61&gt;0,N61*100/L61,0)</f>
        <v>78.371403280818583</v>
      </c>
      <c r="P61" s="109">
        <f ca="1">IF(M61&gt;0,N61*100/M61,0)</f>
        <v>78.371403280818583</v>
      </c>
      <c r="Q61" s="109">
        <f>Q64+Q67</f>
        <v>0</v>
      </c>
      <c r="R61" s="109">
        <f>R64+R67</f>
        <v>0</v>
      </c>
      <c r="S61" s="109">
        <f>S64+S67</f>
        <v>0</v>
      </c>
      <c r="T61" s="109">
        <f>IF(Q61&gt;0,S61*100/Q61,0)</f>
        <v>0</v>
      </c>
      <c r="U61" s="109">
        <f>IF(R61&gt;0,S61*100/R61,0)</f>
        <v>0</v>
      </c>
    </row>
    <row r="62" spans="1:21" ht="18.75" x14ac:dyDescent="0.25">
      <c r="A62" s="40"/>
      <c r="B62" s="41"/>
      <c r="C62" s="41"/>
      <c r="D62" s="42" t="s">
        <v>22</v>
      </c>
      <c r="E62" s="41"/>
      <c r="F62" s="41"/>
      <c r="G62" s="43"/>
      <c r="H62" s="44" t="s">
        <v>14</v>
      </c>
      <c r="I62" s="45"/>
      <c r="J62" s="45"/>
      <c r="K62" s="46"/>
      <c r="L62" s="548">
        <f ca="1">L63+L64</f>
        <v>615700</v>
      </c>
      <c r="M62" s="47">
        <f ca="1">M63+M64</f>
        <v>615700</v>
      </c>
      <c r="N62" s="47">
        <f ca="1">N63+N64</f>
        <v>482532.73</v>
      </c>
      <c r="O62" s="47">
        <f ca="1">IF(L62&gt;0,N62*100/L62,0)</f>
        <v>78.371403280818583</v>
      </c>
      <c r="P62" s="47">
        <f ca="1">IF(M62&gt;0,N62*100/M62,0)</f>
        <v>78.371403280818583</v>
      </c>
      <c r="Q62" s="47">
        <f>Q63+Q64</f>
        <v>0</v>
      </c>
      <c r="R62" s="47">
        <f>R63+R64</f>
        <v>0</v>
      </c>
      <c r="S62" s="47">
        <f>S63+S64</f>
        <v>0</v>
      </c>
      <c r="T62" s="47">
        <f>IF(Q62&gt;0,S62*100/Q62,0)</f>
        <v>0</v>
      </c>
      <c r="U62" s="47">
        <f>IF(R62&gt;0,S62*100/R62,0)</f>
        <v>0</v>
      </c>
    </row>
    <row r="63" spans="1:21" ht="18.75" hidden="1" x14ac:dyDescent="0.25">
      <c r="A63" s="40"/>
      <c r="B63" s="41"/>
      <c r="C63" s="41"/>
      <c r="D63" s="41"/>
      <c r="E63" s="157" t="s">
        <v>20</v>
      </c>
      <c r="F63" s="41"/>
      <c r="G63" s="43"/>
      <c r="H63" s="783" t="s">
        <v>14</v>
      </c>
      <c r="I63" s="45"/>
      <c r="J63" s="45"/>
      <c r="K63" s="46"/>
      <c r="L63" s="549">
        <v>0</v>
      </c>
      <c r="M63" s="49">
        <v>0</v>
      </c>
      <c r="N63" s="49">
        <v>0</v>
      </c>
      <c r="O63" s="49">
        <f>IF(L63&gt;0,N63*100/L63,0)</f>
        <v>0</v>
      </c>
      <c r="P63" s="49">
        <f>IF(M63&gt;0,N63*100/M63,0)</f>
        <v>0</v>
      </c>
      <c r="Q63" s="49">
        <v>0</v>
      </c>
      <c r="R63" s="49">
        <v>0</v>
      </c>
      <c r="S63" s="49">
        <v>0</v>
      </c>
      <c r="T63" s="49">
        <f>IF(Q63&gt;0,S63*100/Q63,0)</f>
        <v>0</v>
      </c>
      <c r="U63" s="49">
        <f>IF(R63&gt;0,S63*100/R63,0)</f>
        <v>0</v>
      </c>
    </row>
    <row r="64" spans="1:21" ht="18.75" hidden="1" x14ac:dyDescent="0.25">
      <c r="A64" s="40"/>
      <c r="B64" s="41"/>
      <c r="C64" s="41"/>
      <c r="D64" s="41"/>
      <c r="E64" s="48" t="s">
        <v>21</v>
      </c>
      <c r="F64" s="41"/>
      <c r="G64" s="43"/>
      <c r="H64" s="44" t="s">
        <v>14</v>
      </c>
      <c r="I64" s="45"/>
      <c r="J64" s="45"/>
      <c r="K64" s="46"/>
      <c r="L64" s="548">
        <f ca="1">IFERROR(__xludf.DUMMYFUNCTION("IMPORTRANGE(""https://docs.google.com/spreadsheets/d/1-uDff_7J0KD5mKrp0Vvzr7lt3OU09vwQwhkpOPPYv2Y/edit?usp=sharing"",""งบพรบ!AC82"")"),615700)</f>
        <v>615700</v>
      </c>
      <c r="M64" s="47">
        <f ca="1">IFERROR(__xludf.DUMMYFUNCTION("IMPORTRANGE(""https://docs.google.com/spreadsheets/d/1-uDff_7J0KD5mKrp0Vvzr7lt3OU09vwQwhkpOPPYv2Y/edit?usp=sharing"",""งบพรบ!AH82"")"),615700)</f>
        <v>615700</v>
      </c>
      <c r="N64" s="47">
        <f ca="1">IFERROR(__xludf.DUMMYFUNCTION("IMPORTRANGE(""https://docs.google.com/spreadsheets/d/1-uDff_7J0KD5mKrp0Vvzr7lt3OU09vwQwhkpOPPYv2Y/edit?usp=sharing"",""งบพรบ!AJ82"")"),482532.73)</f>
        <v>482532.73</v>
      </c>
      <c r="O64" s="47">
        <f ca="1">IF(L64&gt;0,N64*100/L64,0)</f>
        <v>78.371403280818583</v>
      </c>
      <c r="P64" s="47">
        <f ca="1">IF(M64&gt;0,N64*100/M64,0)</f>
        <v>78.371403280818583</v>
      </c>
      <c r="Q64" s="47">
        <v>0</v>
      </c>
      <c r="R64" s="47">
        <v>0</v>
      </c>
      <c r="S64" s="47">
        <v>0</v>
      </c>
      <c r="T64" s="47">
        <f>IF(Q64&gt;0,S64*100/Q64,0)</f>
        <v>0</v>
      </c>
      <c r="U64" s="47">
        <f>IF(R64&gt;0,S64*100/R64,0)</f>
        <v>0</v>
      </c>
    </row>
    <row r="65" spans="1:21" ht="18.75" x14ac:dyDescent="0.25">
      <c r="A65" s="40"/>
      <c r="B65" s="41"/>
      <c r="C65" s="41"/>
      <c r="D65" s="42" t="s">
        <v>23</v>
      </c>
      <c r="E65" s="41"/>
      <c r="F65" s="41"/>
      <c r="G65" s="43"/>
      <c r="H65" s="44" t="s">
        <v>14</v>
      </c>
      <c r="I65" s="45"/>
      <c r="J65" s="45"/>
      <c r="K65" s="46"/>
      <c r="L65" s="548">
        <f ca="1">L66+L67</f>
        <v>0</v>
      </c>
      <c r="M65" s="47">
        <f ca="1">M66+M67</f>
        <v>0</v>
      </c>
      <c r="N65" s="47">
        <f ca="1">N66+N67</f>
        <v>0</v>
      </c>
      <c r="O65" s="47">
        <f ca="1">IF(L65&gt;0,N65*100/L65,0)</f>
        <v>0</v>
      </c>
      <c r="P65" s="47">
        <f ca="1">IF(M65&gt;0,N65*100/M65,0)</f>
        <v>0</v>
      </c>
      <c r="Q65" s="47">
        <f>Q66+Q67</f>
        <v>0</v>
      </c>
      <c r="R65" s="47">
        <f>R66+R67</f>
        <v>0</v>
      </c>
      <c r="S65" s="47">
        <f>S66+S67</f>
        <v>0</v>
      </c>
      <c r="T65" s="47">
        <f>IF(Q65&gt;0,S65*100/Q65,0)</f>
        <v>0</v>
      </c>
      <c r="U65" s="47">
        <f>IF(R65&gt;0,S65*100/R65,0)</f>
        <v>0</v>
      </c>
    </row>
    <row r="66" spans="1:21" ht="18.75" hidden="1" x14ac:dyDescent="0.25">
      <c r="A66" s="40"/>
      <c r="B66" s="41"/>
      <c r="C66" s="41"/>
      <c r="D66" s="41"/>
      <c r="E66" s="157" t="s">
        <v>20</v>
      </c>
      <c r="F66" s="41"/>
      <c r="G66" s="43"/>
      <c r="H66" s="783" t="s">
        <v>14</v>
      </c>
      <c r="I66" s="45"/>
      <c r="J66" s="45"/>
      <c r="K66" s="46"/>
      <c r="L66" s="549">
        <v>0</v>
      </c>
      <c r="M66" s="49">
        <v>0</v>
      </c>
      <c r="N66" s="49">
        <v>0</v>
      </c>
      <c r="O66" s="49">
        <f>IF(L66&gt;0,N66*100/L66,0)</f>
        <v>0</v>
      </c>
      <c r="P66" s="49">
        <f>IF(M66&gt;0,N66*100/M66,0)</f>
        <v>0</v>
      </c>
      <c r="Q66" s="49">
        <v>0</v>
      </c>
      <c r="R66" s="49">
        <v>0</v>
      </c>
      <c r="S66" s="49">
        <v>0</v>
      </c>
      <c r="T66" s="49">
        <f>IF(Q66&gt;0,S66*100/Q66,0)</f>
        <v>0</v>
      </c>
      <c r="U66" s="49">
        <f>IF(R66&gt;0,S66*100/R66,0)</f>
        <v>0</v>
      </c>
    </row>
    <row r="67" spans="1:21" ht="18.75" hidden="1" x14ac:dyDescent="0.25">
      <c r="A67" s="51"/>
      <c r="B67" s="1"/>
      <c r="C67" s="1"/>
      <c r="D67" s="1"/>
      <c r="E67" s="52" t="s">
        <v>21</v>
      </c>
      <c r="F67" s="1"/>
      <c r="G67" s="53"/>
      <c r="H67" s="54" t="s">
        <v>14</v>
      </c>
      <c r="I67" s="55"/>
      <c r="J67" s="55"/>
      <c r="K67" s="4"/>
      <c r="L67" s="782">
        <f ca="1">IFERROR(__xludf.DUMMYFUNCTION("IMPORTRANGE(""https://docs.google.com/spreadsheets/d/1-uDff_7J0KD5mKrp0Vvzr7lt3OU09vwQwhkpOPPYv2Y/edit?usp=sharing"",""งบพรบ!AF82"")"),0)</f>
        <v>0</v>
      </c>
      <c r="M67" s="111">
        <f ca="1">IFERROR(__xludf.DUMMYFUNCTION("IMPORTRANGE(""https://docs.google.com/spreadsheets/d/1-uDff_7J0KD5mKrp0Vvzr7lt3OU09vwQwhkpOPPYv2Y/edit?usp=sharing"",""งบพรบ!AI82"")"),0)</f>
        <v>0</v>
      </c>
      <c r="N67" s="111">
        <f ca="1">IFERROR(__xludf.DUMMYFUNCTION("IMPORTRANGE(""https://docs.google.com/spreadsheets/d/1-uDff_7J0KD5mKrp0Vvzr7lt3OU09vwQwhkpOPPYv2Y/edit?usp=sharing"",""งบพรบ!AK82"")"),0)</f>
        <v>0</v>
      </c>
      <c r="O67" s="111">
        <f ca="1">IF(L67&gt;0,N67*100/L67,0)</f>
        <v>0</v>
      </c>
      <c r="P67" s="111">
        <f ca="1">IF(M67&gt;0,N67*100/M67,0)</f>
        <v>0</v>
      </c>
      <c r="Q67" s="111">
        <v>0</v>
      </c>
      <c r="R67" s="111">
        <v>0</v>
      </c>
      <c r="S67" s="111">
        <v>0</v>
      </c>
      <c r="T67" s="111">
        <f>IF(Q67&gt;0,S67*100/Q67,0)</f>
        <v>0</v>
      </c>
      <c r="U67" s="111">
        <f>IF(R67&gt;0,S67*100/R67,0)</f>
        <v>0</v>
      </c>
    </row>
    <row r="68" spans="1:21" ht="19.5" x14ac:dyDescent="0.3">
      <c r="A68" s="112" t="s">
        <v>31</v>
      </c>
      <c r="B68" s="113"/>
      <c r="C68" s="113"/>
      <c r="D68" s="113"/>
      <c r="E68" s="114"/>
      <c r="F68" s="114"/>
      <c r="G68" s="114"/>
      <c r="H68" s="114"/>
      <c r="I68" s="115"/>
      <c r="J68" s="115"/>
      <c r="K68" s="116"/>
      <c r="L68" s="116"/>
      <c r="M68" s="116"/>
      <c r="N68" s="116"/>
      <c r="O68" s="116"/>
      <c r="P68" s="117"/>
      <c r="Q68" s="116"/>
      <c r="R68" s="116"/>
      <c r="S68" s="116"/>
      <c r="T68" s="116"/>
      <c r="U68" s="117"/>
    </row>
    <row r="69" spans="1:21" ht="19.5" x14ac:dyDescent="0.3">
      <c r="A69" s="118" t="s">
        <v>32</v>
      </c>
      <c r="B69" s="119"/>
      <c r="C69" s="120"/>
      <c r="D69" s="119"/>
      <c r="E69" s="119"/>
      <c r="F69" s="119"/>
      <c r="G69" s="121"/>
      <c r="H69" s="121"/>
      <c r="I69" s="122"/>
      <c r="J69" s="122"/>
      <c r="K69" s="123"/>
      <c r="L69" s="781"/>
      <c r="M69" s="123"/>
      <c r="N69" s="123"/>
      <c r="O69" s="123"/>
      <c r="P69" s="123"/>
      <c r="Q69" s="123"/>
      <c r="R69" s="123"/>
      <c r="S69" s="123"/>
      <c r="T69" s="123"/>
      <c r="U69" s="123"/>
    </row>
    <row r="70" spans="1:21" ht="19.5" x14ac:dyDescent="0.3">
      <c r="A70" s="124"/>
      <c r="B70" s="29" t="s">
        <v>33</v>
      </c>
      <c r="C70" s="28"/>
      <c r="D70" s="125"/>
      <c r="E70" s="28"/>
      <c r="F70" s="28"/>
      <c r="G70" s="31"/>
      <c r="H70" s="126" t="s">
        <v>34</v>
      </c>
      <c r="I70" s="127">
        <f ca="1">I82</f>
        <v>1</v>
      </c>
      <c r="J70" s="127">
        <f>J82</f>
        <v>0</v>
      </c>
      <c r="K70" s="35">
        <f ca="1">IF(I70&gt;0,J70*100/I70,0)</f>
        <v>0</v>
      </c>
      <c r="L70" s="583"/>
      <c r="M70" s="34"/>
      <c r="N70" s="34"/>
      <c r="O70" s="34"/>
      <c r="P70" s="34"/>
      <c r="Q70" s="34"/>
      <c r="R70" s="34"/>
      <c r="S70" s="34"/>
      <c r="T70" s="34"/>
      <c r="U70" s="34"/>
    </row>
    <row r="71" spans="1:21" ht="19.5" x14ac:dyDescent="0.3">
      <c r="A71" s="124"/>
      <c r="B71" s="28"/>
      <c r="C71" s="28"/>
      <c r="D71" s="125"/>
      <c r="E71" s="28"/>
      <c r="F71" s="28"/>
      <c r="G71" s="31"/>
      <c r="H71" s="126" t="s">
        <v>35</v>
      </c>
      <c r="I71" s="127">
        <f ca="1">I83</f>
        <v>30</v>
      </c>
      <c r="J71" s="127">
        <f>J83</f>
        <v>0</v>
      </c>
      <c r="K71" s="35">
        <f ca="1">IF(I71&gt;0,J71*100/I71,0)</f>
        <v>0</v>
      </c>
      <c r="L71" s="583"/>
      <c r="M71" s="34"/>
      <c r="N71" s="34"/>
      <c r="O71" s="34"/>
      <c r="P71" s="34"/>
      <c r="Q71" s="34"/>
      <c r="R71" s="34"/>
      <c r="S71" s="34"/>
      <c r="T71" s="34"/>
      <c r="U71" s="34"/>
    </row>
    <row r="72" spans="1:21" ht="19.5" x14ac:dyDescent="0.3">
      <c r="A72" s="128"/>
      <c r="B72" s="41"/>
      <c r="C72" s="386" t="s">
        <v>18</v>
      </c>
      <c r="D72" s="591" t="s">
        <v>19</v>
      </c>
      <c r="E72" s="41"/>
      <c r="F72" s="41"/>
      <c r="G72" s="43"/>
      <c r="H72" s="131" t="s">
        <v>14</v>
      </c>
      <c r="I72" s="45"/>
      <c r="J72" s="45"/>
      <c r="K72" s="46"/>
      <c r="L72" s="550">
        <f ca="1">L73+L74</f>
        <v>503900</v>
      </c>
      <c r="M72" s="132">
        <f ca="1">M73+M74</f>
        <v>503900</v>
      </c>
      <c r="N72" s="132">
        <f ca="1">N73+N74</f>
        <v>399325.77</v>
      </c>
      <c r="O72" s="132">
        <f ca="1">IF(L72&gt;0,N72*100/L72,0)</f>
        <v>79.247027187934108</v>
      </c>
      <c r="P72" s="132">
        <f ca="1">IF(M72&gt;0,N72*100/M72,0)</f>
        <v>79.247027187934108</v>
      </c>
      <c r="Q72" s="132">
        <f ca="1">Q73+Q74</f>
        <v>344592</v>
      </c>
      <c r="R72" s="132">
        <f ca="1">R73+R74</f>
        <v>344592</v>
      </c>
      <c r="S72" s="132">
        <f ca="1">S73+S74</f>
        <v>0</v>
      </c>
      <c r="T72" s="132">
        <f ca="1">IF(Q72&gt;0,S72*100/Q72,0)</f>
        <v>0</v>
      </c>
      <c r="U72" s="132">
        <f ca="1">IF(R72&gt;0,S72*100/R72,0)</f>
        <v>0</v>
      </c>
    </row>
    <row r="73" spans="1:21" ht="18.75" hidden="1" x14ac:dyDescent="0.25">
      <c r="A73" s="128"/>
      <c r="B73" s="41"/>
      <c r="C73" s="41"/>
      <c r="D73" s="41"/>
      <c r="E73" s="157" t="s">
        <v>20</v>
      </c>
      <c r="F73" s="41"/>
      <c r="G73" s="43"/>
      <c r="H73" s="158" t="s">
        <v>14</v>
      </c>
      <c r="I73" s="45"/>
      <c r="J73" s="45"/>
      <c r="K73" s="46"/>
      <c r="L73" s="549">
        <f>L76+L79</f>
        <v>0</v>
      </c>
      <c r="M73" s="49">
        <f>M76+M79</f>
        <v>0</v>
      </c>
      <c r="N73" s="49">
        <f>N76+N79</f>
        <v>0</v>
      </c>
      <c r="O73" s="49">
        <f>IF(L73&gt;0,N73*100/L73,0)</f>
        <v>0</v>
      </c>
      <c r="P73" s="49">
        <f>IF(M73&gt;0,N73*100/M73,0)</f>
        <v>0</v>
      </c>
      <c r="Q73" s="49">
        <f>Q76+Q79</f>
        <v>0</v>
      </c>
      <c r="R73" s="49">
        <f>R76+R79</f>
        <v>0</v>
      </c>
      <c r="S73" s="49">
        <f>S76+S79</f>
        <v>0</v>
      </c>
      <c r="T73" s="49">
        <f>IF(Q73&gt;0,S73*100/Q73,0)</f>
        <v>0</v>
      </c>
      <c r="U73" s="49">
        <f>IF(R73&gt;0,S73*100/R73,0)</f>
        <v>0</v>
      </c>
    </row>
    <row r="74" spans="1:21" ht="18.75" hidden="1" x14ac:dyDescent="0.25">
      <c r="A74" s="128"/>
      <c r="B74" s="41"/>
      <c r="C74" s="41"/>
      <c r="D74" s="41"/>
      <c r="E74" s="48" t="s">
        <v>21</v>
      </c>
      <c r="F74" s="41"/>
      <c r="G74" s="43"/>
      <c r="H74" s="133" t="s">
        <v>14</v>
      </c>
      <c r="I74" s="45"/>
      <c r="J74" s="45"/>
      <c r="K74" s="46"/>
      <c r="L74" s="548">
        <f ca="1">L77+L80</f>
        <v>503900</v>
      </c>
      <c r="M74" s="47">
        <f ca="1">M77+M80</f>
        <v>503900</v>
      </c>
      <c r="N74" s="47">
        <f ca="1">N77+N80</f>
        <v>399325.77</v>
      </c>
      <c r="O74" s="47">
        <f ca="1">IF(L74&gt;0,N74*100/L74,0)</f>
        <v>79.247027187934108</v>
      </c>
      <c r="P74" s="47">
        <f ca="1">IF(M74&gt;0,N74*100/M74,0)</f>
        <v>79.247027187934108</v>
      </c>
      <c r="Q74" s="47">
        <f ca="1">Q77+Q80</f>
        <v>344592</v>
      </c>
      <c r="R74" s="47">
        <f ca="1">R77+R80</f>
        <v>344592</v>
      </c>
      <c r="S74" s="47">
        <f ca="1">S77+S80</f>
        <v>0</v>
      </c>
      <c r="T74" s="47">
        <f ca="1">IF(Q74&gt;0,S74*100/Q74,0)</f>
        <v>0</v>
      </c>
      <c r="U74" s="47">
        <f ca="1">IF(R74&gt;0,S74*100/R74,0)</f>
        <v>0</v>
      </c>
    </row>
    <row r="75" spans="1:21" ht="18.75" x14ac:dyDescent="0.25">
      <c r="A75" s="128"/>
      <c r="B75" s="41"/>
      <c r="C75" s="41"/>
      <c r="D75" s="42" t="s">
        <v>22</v>
      </c>
      <c r="E75" s="41"/>
      <c r="F75" s="41"/>
      <c r="G75" s="43"/>
      <c r="H75" s="134" t="s">
        <v>14</v>
      </c>
      <c r="I75" s="135"/>
      <c r="J75" s="135"/>
      <c r="K75" s="136"/>
      <c r="L75" s="548">
        <f ca="1">L76+L77</f>
        <v>503900</v>
      </c>
      <c r="M75" s="47">
        <f ca="1">M76+M77</f>
        <v>503900</v>
      </c>
      <c r="N75" s="47">
        <f ca="1">N76+N77</f>
        <v>399325.77</v>
      </c>
      <c r="O75" s="47">
        <f ca="1">IF(L75&gt;0,N75*100/L75,0)</f>
        <v>79.247027187934108</v>
      </c>
      <c r="P75" s="47">
        <f ca="1">IF(M75&gt;0,N75*100/M75,0)</f>
        <v>79.247027187934108</v>
      </c>
      <c r="Q75" s="47">
        <f ca="1">Q76+Q77</f>
        <v>344592</v>
      </c>
      <c r="R75" s="47">
        <f ca="1">R76+R77</f>
        <v>344592</v>
      </c>
      <c r="S75" s="47">
        <f ca="1">S76+S77</f>
        <v>0</v>
      </c>
      <c r="T75" s="47">
        <f ca="1">IF(Q75&gt;0,S75*100/Q75,0)</f>
        <v>0</v>
      </c>
      <c r="U75" s="47">
        <f ca="1">IF(R75&gt;0,S75*100/R75,0)</f>
        <v>0</v>
      </c>
    </row>
    <row r="76" spans="1:21" ht="18.75" hidden="1" x14ac:dyDescent="0.25">
      <c r="A76" s="128"/>
      <c r="B76" s="41"/>
      <c r="C76" s="41"/>
      <c r="D76" s="41"/>
      <c r="E76" s="157" t="s">
        <v>36</v>
      </c>
      <c r="F76" s="41"/>
      <c r="G76" s="43"/>
      <c r="H76" s="160" t="s">
        <v>14</v>
      </c>
      <c r="I76" s="135"/>
      <c r="J76" s="135"/>
      <c r="K76" s="136"/>
      <c r="L76" s="549">
        <v>0</v>
      </c>
      <c r="M76" s="49">
        <v>0</v>
      </c>
      <c r="N76" s="49">
        <v>0</v>
      </c>
      <c r="O76" s="49">
        <f>IF(L76&gt;0,N76*100/L76,0)</f>
        <v>0</v>
      </c>
      <c r="P76" s="49">
        <f>IF(M76&gt;0,N76*100/M76,0)</f>
        <v>0</v>
      </c>
      <c r="Q76" s="49">
        <v>0</v>
      </c>
      <c r="R76" s="49">
        <v>0</v>
      </c>
      <c r="S76" s="49">
        <v>0</v>
      </c>
      <c r="T76" s="49">
        <f>IF(Q76&gt;0,S76*100/Q76,0)</f>
        <v>0</v>
      </c>
      <c r="U76" s="49">
        <f>IF(R76&gt;0,S76*100/R76,0)</f>
        <v>0</v>
      </c>
    </row>
    <row r="77" spans="1:21" ht="18.75" hidden="1" x14ac:dyDescent="0.25">
      <c r="A77" s="128"/>
      <c r="B77" s="41"/>
      <c r="C77" s="41"/>
      <c r="D77" s="41"/>
      <c r="E77" s="48" t="s">
        <v>37</v>
      </c>
      <c r="F77" s="41"/>
      <c r="G77" s="43"/>
      <c r="H77" s="134" t="s">
        <v>14</v>
      </c>
      <c r="I77" s="135"/>
      <c r="J77" s="135"/>
      <c r="K77" s="136"/>
      <c r="L77" s="548">
        <f ca="1">IFERROR(__xludf.DUMMYFUNCTION("IMPORTRANGE(""https://docs.google.com/spreadsheets/d/1-uDff_7J0KD5mKrp0Vvzr7lt3OU09vwQwhkpOPPYv2Y/edit?usp=sharing"",""งบพรบ!AM82"")"),503900)</f>
        <v>503900</v>
      </c>
      <c r="M77" s="47">
        <f ca="1">IFERROR(__xludf.DUMMYFUNCTION("IMPORTRANGE(""https://docs.google.com/spreadsheets/d/1-uDff_7J0KD5mKrp0Vvzr7lt3OU09vwQwhkpOPPYv2Y/edit?usp=sharing"",""งบพรบ!AR82"")"),503900)</f>
        <v>503900</v>
      </c>
      <c r="N77" s="47">
        <f ca="1">IFERROR(__xludf.DUMMYFUNCTION("IMPORTRANGE(""https://docs.google.com/spreadsheets/d/1-uDff_7J0KD5mKrp0Vvzr7lt3OU09vwQwhkpOPPYv2Y/edit?usp=sharing"",""งบพรบ!AT82"")"),399325.77)</f>
        <v>399325.77</v>
      </c>
      <c r="O77" s="47">
        <f ca="1">IF(L77&gt;0,N77*100/L77,0)</f>
        <v>79.247027187934108</v>
      </c>
      <c r="P77" s="47">
        <f ca="1">IF(M77&gt;0,N77*100/M77,0)</f>
        <v>79.247027187934108</v>
      </c>
      <c r="Q77" s="47">
        <f ca="1">IFERROR(__xludf.DUMMYFUNCTION("IMPORTRANGE(""https://docs.google.com/spreadsheets/d/1ItG2mGa2ceCfYo0BwxsXqNm01IGEUdYcSSLTEv9YCik/edit?usp=sharing"",""เบิกจ่ายกองทุน!BH82"")"),344592)</f>
        <v>344592</v>
      </c>
      <c r="R77" s="47">
        <f ca="1">IFERROR(__xludf.DUMMYFUNCTION("IMPORTRANGE(""https://docs.google.com/spreadsheets/d/1ItG2mGa2ceCfYo0BwxsXqNm01IGEUdYcSSLTEv9YCik/edit?usp=sharing"",""เบิกจ่ายกองทุน!BI82"")"),344592)</f>
        <v>344592</v>
      </c>
      <c r="S77" s="47">
        <f ca="1">IFERROR(__xludf.DUMMYFUNCTION("IMPORTRANGE(""https://docs.google.com/spreadsheets/d/1ItG2mGa2ceCfYo0BwxsXqNm01IGEUdYcSSLTEv9YCik/edit?usp=sharing"",""เบิกจ่ายกองทุน!BJ82"")"),0)</f>
        <v>0</v>
      </c>
      <c r="T77" s="47">
        <f ca="1">IF(Q77&gt;0,S77*100/Q77,0)</f>
        <v>0</v>
      </c>
      <c r="U77" s="47">
        <f ca="1">IF(R77&gt;0,S77*100/R77,0)</f>
        <v>0</v>
      </c>
    </row>
    <row r="78" spans="1:21" ht="18.75" x14ac:dyDescent="0.25">
      <c r="A78" s="128"/>
      <c r="B78" s="41"/>
      <c r="C78" s="41"/>
      <c r="D78" s="42" t="s">
        <v>23</v>
      </c>
      <c r="E78" s="41"/>
      <c r="F78" s="41"/>
      <c r="G78" s="43"/>
      <c r="H78" s="137" t="s">
        <v>14</v>
      </c>
      <c r="I78" s="135"/>
      <c r="J78" s="135"/>
      <c r="K78" s="136"/>
      <c r="L78" s="548">
        <f ca="1">L79+L80</f>
        <v>0</v>
      </c>
      <c r="M78" s="47">
        <f ca="1">M79+M80</f>
        <v>0</v>
      </c>
      <c r="N78" s="47">
        <f ca="1">N79+N80</f>
        <v>0</v>
      </c>
      <c r="O78" s="47">
        <f ca="1">IF(L78&gt;0,N78*100/L78,0)</f>
        <v>0</v>
      </c>
      <c r="P78" s="47">
        <f ca="1">IF(M78&gt;0,N78*100/M78,0)</f>
        <v>0</v>
      </c>
      <c r="Q78" s="47">
        <f ca="1">Q79+Q80</f>
        <v>0</v>
      </c>
      <c r="R78" s="47">
        <f ca="1">R79+R80</f>
        <v>0</v>
      </c>
      <c r="S78" s="47">
        <f ca="1">S79+S80</f>
        <v>0</v>
      </c>
      <c r="T78" s="47">
        <f ca="1">IF(Q78&gt;0,S78*100/Q78,0)</f>
        <v>0</v>
      </c>
      <c r="U78" s="47">
        <f ca="1">IF(R78&gt;0,S78*100/R78,0)</f>
        <v>0</v>
      </c>
    </row>
    <row r="79" spans="1:21" ht="18.75" hidden="1" x14ac:dyDescent="0.25">
      <c r="A79" s="128"/>
      <c r="B79" s="41"/>
      <c r="C79" s="41"/>
      <c r="D79" s="41"/>
      <c r="E79" s="157" t="s">
        <v>20</v>
      </c>
      <c r="F79" s="41"/>
      <c r="G79" s="43"/>
      <c r="H79" s="160" t="s">
        <v>14</v>
      </c>
      <c r="I79" s="135"/>
      <c r="J79" s="135"/>
      <c r="K79" s="136"/>
      <c r="L79" s="549">
        <v>0</v>
      </c>
      <c r="M79" s="47">
        <v>0</v>
      </c>
      <c r="N79" s="47">
        <v>0</v>
      </c>
      <c r="O79" s="49">
        <f>IF(L79&gt;0,N79*100/L79,0)</f>
        <v>0</v>
      </c>
      <c r="P79" s="49">
        <f>IF(M79&gt;0,N79*100/M79,0)</f>
        <v>0</v>
      </c>
      <c r="Q79" s="49">
        <v>0</v>
      </c>
      <c r="R79" s="47">
        <v>0</v>
      </c>
      <c r="S79" s="47">
        <v>0</v>
      </c>
      <c r="T79" s="49">
        <f>IF(Q79&gt;0,S79*100/Q79,0)</f>
        <v>0</v>
      </c>
      <c r="U79" s="49">
        <f>IF(R79&gt;0,S79*100/R79,0)</f>
        <v>0</v>
      </c>
    </row>
    <row r="80" spans="1:21" ht="18.75" hidden="1" x14ac:dyDescent="0.25">
      <c r="A80" s="128"/>
      <c r="B80" s="41"/>
      <c r="C80" s="41"/>
      <c r="D80" s="41"/>
      <c r="E80" s="48" t="s">
        <v>21</v>
      </c>
      <c r="F80" s="41"/>
      <c r="G80" s="43"/>
      <c r="H80" s="137" t="s">
        <v>14</v>
      </c>
      <c r="I80" s="135"/>
      <c r="J80" s="135"/>
      <c r="K80" s="136"/>
      <c r="L80" s="548">
        <f ca="1">IFERROR(__xludf.DUMMYFUNCTION("IMPORTRANGE(""https://docs.google.com/spreadsheets/d/1-uDff_7J0KD5mKrp0Vvzr7lt3OU09vwQwhkpOPPYv2Y/edit?usp=sharing"",""งบพรบ!AP82"")"),0)</f>
        <v>0</v>
      </c>
      <c r="M80" s="47">
        <f ca="1">IFERROR(__xludf.DUMMYFUNCTION("IMPORTRANGE(""https://docs.google.com/spreadsheets/d/1-uDff_7J0KD5mKrp0Vvzr7lt3OU09vwQwhkpOPPYv2Y/edit?usp=sharing"",""งบพรบ!AS82"")"),0)</f>
        <v>0</v>
      </c>
      <c r="N80" s="47">
        <f ca="1">IFERROR(__xludf.DUMMYFUNCTION("IMPORTRANGE(""https://docs.google.com/spreadsheets/d/1-uDff_7J0KD5mKrp0Vvzr7lt3OU09vwQwhkpOPPYv2Y/edit?usp=sharing"",""งบพรบ!AU82"")"),0)</f>
        <v>0</v>
      </c>
      <c r="O80" s="47">
        <f ca="1">IF(L80&gt;0,N80*100/L80,0)</f>
        <v>0</v>
      </c>
      <c r="P80" s="47">
        <f ca="1">IF(M80&gt;0,N80*100/M80,0)</f>
        <v>0</v>
      </c>
      <c r="Q80" s="47">
        <f ca="1">IFERROR(__xludf.DUMMYFUNCTION("IMPORTRANGE(""https://docs.google.com/spreadsheets/d/1ItG2mGa2ceCfYo0BwxsXqNm01IGEUdYcSSLTEv9YCik/edit?usp=sharing"",""เบิกจ่ายกองทุน!BK82"")"),0)</f>
        <v>0</v>
      </c>
      <c r="R80" s="47">
        <f ca="1">IFERROR(__xludf.DUMMYFUNCTION("IMPORTRANGE(""https://docs.google.com/spreadsheets/d/1ItG2mGa2ceCfYo0BwxsXqNm01IGEUdYcSSLTEv9YCik/edit?usp=sharing"",""เบิกจ่ายกองทุน!BL82"")"),0)</f>
        <v>0</v>
      </c>
      <c r="S80" s="47">
        <f ca="1">IFERROR(__xludf.DUMMYFUNCTION("IMPORTRANGE(""https://docs.google.com/spreadsheets/d/1ItG2mGa2ceCfYo0BwxsXqNm01IGEUdYcSSLTEv9YCik/edit?usp=sharing"",""เบิกจ่ายกองทุน!BM82"")"),0)</f>
        <v>0</v>
      </c>
      <c r="T80" s="47">
        <f ca="1">IF(Q80&gt;0,S80*100/Q80,0)</f>
        <v>0</v>
      </c>
      <c r="U80" s="47">
        <f ca="1">IF(R80&gt;0,S80*100/R80,0)</f>
        <v>0</v>
      </c>
    </row>
    <row r="81" spans="1:21" ht="19.5" x14ac:dyDescent="0.3">
      <c r="A81" s="138"/>
      <c r="B81" s="139"/>
      <c r="C81" s="386" t="s">
        <v>18</v>
      </c>
      <c r="D81" s="563" t="s">
        <v>38</v>
      </c>
      <c r="E81" s="141"/>
      <c r="F81" s="141"/>
      <c r="G81" s="142"/>
      <c r="H81" s="143"/>
      <c r="I81" s="135"/>
      <c r="J81" s="135"/>
      <c r="K81" s="136"/>
      <c r="L81" s="558"/>
      <c r="M81" s="136"/>
      <c r="N81" s="136"/>
      <c r="O81" s="136"/>
      <c r="P81" s="136"/>
      <c r="Q81" s="136"/>
      <c r="R81" s="136"/>
      <c r="S81" s="136"/>
      <c r="T81" s="136"/>
      <c r="U81" s="136"/>
    </row>
    <row r="82" spans="1:21" ht="19.5" x14ac:dyDescent="0.3">
      <c r="A82" s="138"/>
      <c r="B82" s="139"/>
      <c r="C82" s="139"/>
      <c r="D82" s="144" t="s">
        <v>39</v>
      </c>
      <c r="E82" s="145"/>
      <c r="F82" s="145"/>
      <c r="G82" s="143"/>
      <c r="H82" s="146" t="s">
        <v>34</v>
      </c>
      <c r="I82" s="147">
        <f ca="1">I84+I86+I88</f>
        <v>1</v>
      </c>
      <c r="J82" s="147">
        <f>J84+J86+J88</f>
        <v>0</v>
      </c>
      <c r="K82" s="148">
        <f ca="1">IF(I82&gt;0,J82*100/I82,0)</f>
        <v>0</v>
      </c>
      <c r="L82" s="558"/>
      <c r="M82" s="136"/>
      <c r="N82" s="136"/>
      <c r="O82" s="136"/>
      <c r="P82" s="136"/>
      <c r="Q82" s="136"/>
      <c r="R82" s="136"/>
      <c r="S82" s="136"/>
      <c r="T82" s="136"/>
      <c r="U82" s="136"/>
    </row>
    <row r="83" spans="1:21" ht="19.5" x14ac:dyDescent="0.3">
      <c r="A83" s="138"/>
      <c r="B83" s="139"/>
      <c r="C83" s="139"/>
      <c r="D83" s="139"/>
      <c r="E83" s="145"/>
      <c r="F83" s="145"/>
      <c r="G83" s="143"/>
      <c r="H83" s="146" t="s">
        <v>35</v>
      </c>
      <c r="I83" s="147">
        <f ca="1">I85+I87+I89</f>
        <v>30</v>
      </c>
      <c r="J83" s="147">
        <f>J85+J87+J89</f>
        <v>0</v>
      </c>
      <c r="K83" s="148">
        <f ca="1">IF(I83&gt;0,J83*100/I83,0)</f>
        <v>0</v>
      </c>
      <c r="L83" s="558"/>
      <c r="M83" s="136"/>
      <c r="N83" s="136"/>
      <c r="O83" s="136"/>
      <c r="P83" s="136"/>
      <c r="Q83" s="136"/>
      <c r="R83" s="136"/>
      <c r="S83" s="136"/>
      <c r="T83" s="136"/>
      <c r="U83" s="136"/>
    </row>
    <row r="84" spans="1:21" ht="18.75" x14ac:dyDescent="0.25">
      <c r="A84" s="138"/>
      <c r="B84" s="139"/>
      <c r="C84" s="139"/>
      <c r="D84" s="139"/>
      <c r="E84" s="149" t="s">
        <v>40</v>
      </c>
      <c r="F84" s="145"/>
      <c r="G84" s="143"/>
      <c r="H84" s="150" t="s">
        <v>34</v>
      </c>
      <c r="I84" s="151">
        <f ca="1">IFERROR(__xludf.DUMMYFUNCTION("IMPORTRANGE(""https://docs.google.com/spreadsheets/d/1eHaY18a8A9IcSdp1K8H6x8fbOy06t2VsZHhMHf-1x7Y/edit?usp=sharing"",""แผน!H82"")"),0)</f>
        <v>0</v>
      </c>
      <c r="J84" s="167">
        <v>0</v>
      </c>
      <c r="K84" s="153">
        <f ca="1">IF(I84&gt;0,J84*100/I84,0)</f>
        <v>0</v>
      </c>
      <c r="L84" s="558"/>
      <c r="M84" s="136"/>
      <c r="N84" s="136"/>
      <c r="O84" s="136"/>
      <c r="P84" s="136"/>
      <c r="Q84" s="136"/>
      <c r="R84" s="136"/>
      <c r="S84" s="136"/>
      <c r="T84" s="136"/>
      <c r="U84" s="136"/>
    </row>
    <row r="85" spans="1:21" ht="18.75" x14ac:dyDescent="0.25">
      <c r="A85" s="138"/>
      <c r="B85" s="139"/>
      <c r="C85" s="139"/>
      <c r="D85" s="139"/>
      <c r="E85" s="145"/>
      <c r="F85" s="145"/>
      <c r="G85" s="143"/>
      <c r="H85" s="150" t="s">
        <v>35</v>
      </c>
      <c r="I85" s="151">
        <f ca="1">IFERROR(__xludf.DUMMYFUNCTION("IMPORTRANGE(""https://docs.google.com/spreadsheets/d/1eHaY18a8A9IcSdp1K8H6x8fbOy06t2VsZHhMHf-1x7Y/edit?usp=sharing"",""แผน!I82"")"),0)</f>
        <v>0</v>
      </c>
      <c r="J85" s="167">
        <v>0</v>
      </c>
      <c r="K85" s="153">
        <f ca="1">IF(I85&gt;0,J85*100/I85,0)</f>
        <v>0</v>
      </c>
      <c r="L85" s="558"/>
      <c r="M85" s="136"/>
      <c r="N85" s="136"/>
      <c r="O85" s="136"/>
      <c r="P85" s="136"/>
      <c r="Q85" s="136"/>
      <c r="R85" s="136"/>
      <c r="S85" s="136"/>
      <c r="T85" s="136"/>
      <c r="U85" s="136"/>
    </row>
    <row r="86" spans="1:21" ht="18.75" x14ac:dyDescent="0.25">
      <c r="A86" s="138"/>
      <c r="B86" s="139"/>
      <c r="C86" s="139"/>
      <c r="D86" s="139"/>
      <c r="E86" s="149" t="s">
        <v>41</v>
      </c>
      <c r="F86" s="145"/>
      <c r="G86" s="143"/>
      <c r="H86" s="150" t="s">
        <v>34</v>
      </c>
      <c r="I86" s="151">
        <f ca="1">IFERROR(__xludf.DUMMYFUNCTION("IMPORTRANGE(""https://docs.google.com/spreadsheets/d/1eHaY18a8A9IcSdp1K8H6x8fbOy06t2VsZHhMHf-1x7Y/edit?usp=sharing"",""แผน!F82"")"),0)</f>
        <v>0</v>
      </c>
      <c r="J86" s="167">
        <v>0</v>
      </c>
      <c r="K86" s="153">
        <f ca="1">IF(I86&gt;0,J86*100/I86,0)</f>
        <v>0</v>
      </c>
      <c r="L86" s="558"/>
      <c r="M86" s="136"/>
      <c r="N86" s="136"/>
      <c r="O86" s="136"/>
      <c r="P86" s="136"/>
      <c r="Q86" s="136"/>
      <c r="R86" s="136"/>
      <c r="S86" s="136"/>
      <c r="T86" s="136"/>
      <c r="U86" s="136"/>
    </row>
    <row r="87" spans="1:21" ht="18.75" x14ac:dyDescent="0.25">
      <c r="A87" s="138"/>
      <c r="B87" s="139"/>
      <c r="C87" s="139"/>
      <c r="D87" s="139"/>
      <c r="E87" s="145"/>
      <c r="F87" s="145"/>
      <c r="G87" s="143"/>
      <c r="H87" s="150" t="s">
        <v>35</v>
      </c>
      <c r="I87" s="151">
        <f ca="1">IFERROR(__xludf.DUMMYFUNCTION("IMPORTRANGE(""https://docs.google.com/spreadsheets/d/1eHaY18a8A9IcSdp1K8H6x8fbOy06t2VsZHhMHf-1x7Y/edit?usp=sharing"",""แผน!G82"")"),0)</f>
        <v>0</v>
      </c>
      <c r="J87" s="167">
        <v>0</v>
      </c>
      <c r="K87" s="153">
        <f ca="1">IF(I87&gt;0,J87*100/I87,0)</f>
        <v>0</v>
      </c>
      <c r="L87" s="558"/>
      <c r="M87" s="136"/>
      <c r="N87" s="136"/>
      <c r="O87" s="136"/>
      <c r="P87" s="136"/>
      <c r="Q87" s="136"/>
      <c r="R87" s="136"/>
      <c r="S87" s="136"/>
      <c r="T87" s="136"/>
      <c r="U87" s="136"/>
    </row>
    <row r="88" spans="1:21" ht="18.75" x14ac:dyDescent="0.25">
      <c r="A88" s="138"/>
      <c r="B88" s="139"/>
      <c r="C88" s="139"/>
      <c r="D88" s="139"/>
      <c r="E88" s="149" t="s">
        <v>42</v>
      </c>
      <c r="F88" s="145"/>
      <c r="G88" s="143"/>
      <c r="H88" s="150" t="s">
        <v>34</v>
      </c>
      <c r="I88" s="151">
        <f ca="1">IFERROR(__xludf.DUMMYFUNCTION("IMPORTRANGE(""https://docs.google.com/spreadsheets/d/1eHaY18a8A9IcSdp1K8H6x8fbOy06t2VsZHhMHf-1x7Y/edit?usp=sharing"",""แผน!D82"")"),1)</f>
        <v>1</v>
      </c>
      <c r="J88" s="167">
        <v>0</v>
      </c>
      <c r="K88" s="153">
        <f ca="1">IF(I88&gt;0,J88*100/I88,0)</f>
        <v>0</v>
      </c>
      <c r="L88" s="558"/>
      <c r="M88" s="136"/>
      <c r="N88" s="136"/>
      <c r="O88" s="136"/>
      <c r="P88" s="136"/>
      <c r="Q88" s="136"/>
      <c r="R88" s="136"/>
      <c r="S88" s="136"/>
      <c r="T88" s="136"/>
      <c r="U88" s="136"/>
    </row>
    <row r="89" spans="1:21" ht="18.75" x14ac:dyDescent="0.25">
      <c r="A89" s="138"/>
      <c r="B89" s="139"/>
      <c r="C89" s="139"/>
      <c r="D89" s="139"/>
      <c r="E89" s="145"/>
      <c r="F89" s="145"/>
      <c r="G89" s="143"/>
      <c r="H89" s="150" t="s">
        <v>35</v>
      </c>
      <c r="I89" s="151">
        <f ca="1">IFERROR(__xludf.DUMMYFUNCTION("IMPORTRANGE(""https://docs.google.com/spreadsheets/d/1eHaY18a8A9IcSdp1K8H6x8fbOy06t2VsZHhMHf-1x7Y/edit?usp=sharing"",""แผน!E82"")"),30)</f>
        <v>30</v>
      </c>
      <c r="J89" s="167">
        <v>0</v>
      </c>
      <c r="K89" s="153">
        <f ca="1">IF(I89&gt;0,J89*100/I89,0)</f>
        <v>0</v>
      </c>
      <c r="L89" s="558"/>
      <c r="M89" s="136"/>
      <c r="N89" s="136"/>
      <c r="O89" s="136"/>
      <c r="P89" s="136"/>
      <c r="Q89" s="136"/>
      <c r="R89" s="136"/>
      <c r="S89" s="136"/>
      <c r="T89" s="136"/>
      <c r="U89" s="136"/>
    </row>
    <row r="90" spans="1:21" ht="18.75" x14ac:dyDescent="0.25">
      <c r="A90" s="138"/>
      <c r="B90" s="139"/>
      <c r="C90" s="139"/>
      <c r="D90" s="144" t="s">
        <v>43</v>
      </c>
      <c r="E90" s="145"/>
      <c r="F90" s="145"/>
      <c r="G90" s="143"/>
      <c r="H90" s="154" t="s">
        <v>34</v>
      </c>
      <c r="I90" s="151">
        <f ca="1">IFERROR(__xludf.DUMMYFUNCTION("IMPORTRANGE(""https://docs.google.com/spreadsheets/d/1eHaY18a8A9IcSdp1K8H6x8fbOy06t2VsZHhMHf-1x7Y/edit?usp=sharing"",""แผน!J82"")"),1)</f>
        <v>1</v>
      </c>
      <c r="J90" s="167">
        <v>0</v>
      </c>
      <c r="K90" s="153">
        <f ca="1">IF(I90&gt;0,J90*100/I90,0)</f>
        <v>0</v>
      </c>
      <c r="L90" s="558"/>
      <c r="M90" s="136"/>
      <c r="N90" s="136"/>
      <c r="O90" s="136"/>
      <c r="P90" s="136"/>
      <c r="Q90" s="136"/>
      <c r="R90" s="136"/>
      <c r="S90" s="136"/>
      <c r="T90" s="136"/>
      <c r="U90" s="136"/>
    </row>
    <row r="91" spans="1:21" ht="19.5" x14ac:dyDescent="0.3">
      <c r="A91" s="118" t="s">
        <v>44</v>
      </c>
      <c r="B91" s="119"/>
      <c r="C91" s="120"/>
      <c r="D91" s="119"/>
      <c r="E91" s="119"/>
      <c r="F91" s="119"/>
      <c r="G91" s="121"/>
      <c r="H91" s="121"/>
      <c r="I91" s="122"/>
      <c r="J91" s="122"/>
      <c r="K91" s="123"/>
      <c r="L91" s="781"/>
      <c r="M91" s="123"/>
      <c r="N91" s="123"/>
      <c r="O91" s="123"/>
      <c r="P91" s="123"/>
      <c r="Q91" s="123"/>
      <c r="R91" s="123"/>
      <c r="S91" s="123"/>
      <c r="T91" s="123"/>
      <c r="U91" s="123"/>
    </row>
    <row r="92" spans="1:21" ht="19.5" x14ac:dyDescent="0.3">
      <c r="A92" s="124"/>
      <c r="B92" s="29" t="s">
        <v>45</v>
      </c>
      <c r="C92" s="28"/>
      <c r="D92" s="125"/>
      <c r="E92" s="28"/>
      <c r="F92" s="28"/>
      <c r="G92" s="31"/>
      <c r="H92" s="126" t="s">
        <v>46</v>
      </c>
      <c r="I92" s="127">
        <f ca="1">I108</f>
        <v>30</v>
      </c>
      <c r="J92" s="127">
        <f>J108</f>
        <v>0</v>
      </c>
      <c r="K92" s="35">
        <f ca="1">IF(I92&gt;0,J92*100/I92,0)</f>
        <v>0</v>
      </c>
      <c r="L92" s="583"/>
      <c r="M92" s="34"/>
      <c r="N92" s="34"/>
      <c r="O92" s="34"/>
      <c r="P92" s="34"/>
      <c r="Q92" s="34"/>
      <c r="R92" s="34"/>
      <c r="S92" s="34"/>
      <c r="T92" s="34"/>
      <c r="U92" s="34"/>
    </row>
    <row r="93" spans="1:21" ht="19.5" x14ac:dyDescent="0.3">
      <c r="A93" s="124"/>
      <c r="B93" s="28"/>
      <c r="C93" s="28"/>
      <c r="D93" s="125"/>
      <c r="E93" s="28"/>
      <c r="F93" s="28"/>
      <c r="G93" s="31"/>
      <c r="H93" s="126" t="s">
        <v>35</v>
      </c>
      <c r="I93" s="127">
        <f ca="1">I109</f>
        <v>10</v>
      </c>
      <c r="J93" s="127">
        <f>J109</f>
        <v>0</v>
      </c>
      <c r="K93" s="35">
        <f ca="1">IF(I93&gt;0,J93*100/I93,0)</f>
        <v>0</v>
      </c>
      <c r="L93" s="583"/>
      <c r="M93" s="34"/>
      <c r="N93" s="34"/>
      <c r="O93" s="34"/>
      <c r="P93" s="34"/>
      <c r="Q93" s="34"/>
      <c r="R93" s="34"/>
      <c r="S93" s="34"/>
      <c r="T93" s="34"/>
      <c r="U93" s="34"/>
    </row>
    <row r="94" spans="1:21" ht="19.5" x14ac:dyDescent="0.3">
      <c r="A94" s="128"/>
      <c r="B94" s="41"/>
      <c r="C94" s="386" t="s">
        <v>18</v>
      </c>
      <c r="D94" s="591" t="s">
        <v>19</v>
      </c>
      <c r="E94" s="41"/>
      <c r="F94" s="41"/>
      <c r="G94" s="43"/>
      <c r="H94" s="131" t="s">
        <v>14</v>
      </c>
      <c r="I94" s="45"/>
      <c r="J94" s="45"/>
      <c r="K94" s="46"/>
      <c r="L94" s="550">
        <f ca="1">L95+L96</f>
        <v>0</v>
      </c>
      <c r="M94" s="132">
        <f ca="1">M95+M96</f>
        <v>6000</v>
      </c>
      <c r="N94" s="132">
        <f ca="1">N95+N96</f>
        <v>0</v>
      </c>
      <c r="O94" s="132">
        <f ca="1">IF(L94&gt;0,N94*100/L94,0)</f>
        <v>0</v>
      </c>
      <c r="P94" s="132">
        <f ca="1">IF(M94&gt;0,N94*100/M94,0)</f>
        <v>0</v>
      </c>
      <c r="Q94" s="132">
        <f ca="1">Q95+Q96</f>
        <v>84420</v>
      </c>
      <c r="R94" s="132">
        <f ca="1">R95+R96</f>
        <v>84420</v>
      </c>
      <c r="S94" s="132">
        <f ca="1">S95+S96</f>
        <v>47300</v>
      </c>
      <c r="T94" s="132">
        <f ca="1">IF(Q94&gt;0,S94*100/Q94,0)</f>
        <v>56.02937692489931</v>
      </c>
      <c r="U94" s="132">
        <f ca="1">IF(R94&gt;0,S94*100/R94,0)</f>
        <v>56.02937692489931</v>
      </c>
    </row>
    <row r="95" spans="1:21" ht="18.75" hidden="1" x14ac:dyDescent="0.25">
      <c r="A95" s="128"/>
      <c r="B95" s="41"/>
      <c r="C95" s="41"/>
      <c r="D95" s="41"/>
      <c r="E95" s="157" t="s">
        <v>20</v>
      </c>
      <c r="F95" s="41"/>
      <c r="G95" s="43"/>
      <c r="H95" s="158" t="s">
        <v>14</v>
      </c>
      <c r="I95" s="45"/>
      <c r="J95" s="45"/>
      <c r="K95" s="46"/>
      <c r="L95" s="549">
        <f>L98+L101</f>
        <v>0</v>
      </c>
      <c r="M95" s="49">
        <f>M98+M101</f>
        <v>0</v>
      </c>
      <c r="N95" s="49">
        <f>N98+N101</f>
        <v>0</v>
      </c>
      <c r="O95" s="49">
        <f>IF(L95&gt;0,N95*100/L95,0)</f>
        <v>0</v>
      </c>
      <c r="P95" s="49">
        <f>IF(M95&gt;0,N95*100/M95,0)</f>
        <v>0</v>
      </c>
      <c r="Q95" s="49">
        <f>Q98+Q101</f>
        <v>0</v>
      </c>
      <c r="R95" s="49">
        <f>R98+R101</f>
        <v>0</v>
      </c>
      <c r="S95" s="49">
        <f>S98+S101</f>
        <v>0</v>
      </c>
      <c r="T95" s="49">
        <f>IF(Q95&gt;0,S95*100/Q95,0)</f>
        <v>0</v>
      </c>
      <c r="U95" s="49">
        <f>IF(R95&gt;0,S95*100/R95,0)</f>
        <v>0</v>
      </c>
    </row>
    <row r="96" spans="1:21" ht="18.75" hidden="1" x14ac:dyDescent="0.25">
      <c r="A96" s="128"/>
      <c r="B96" s="41"/>
      <c r="C96" s="41"/>
      <c r="D96" s="41"/>
      <c r="E96" s="48" t="s">
        <v>21</v>
      </c>
      <c r="F96" s="41"/>
      <c r="G96" s="43"/>
      <c r="H96" s="133" t="s">
        <v>14</v>
      </c>
      <c r="I96" s="45"/>
      <c r="J96" s="45"/>
      <c r="K96" s="46"/>
      <c r="L96" s="548">
        <f ca="1">L99+L102</f>
        <v>0</v>
      </c>
      <c r="M96" s="47">
        <f ca="1">M99+M102</f>
        <v>6000</v>
      </c>
      <c r="N96" s="47">
        <f ca="1">N99+N102</f>
        <v>0</v>
      </c>
      <c r="O96" s="47">
        <f ca="1">IF(L96&gt;0,N96*100/L96,0)</f>
        <v>0</v>
      </c>
      <c r="P96" s="47">
        <f ca="1">IF(M96&gt;0,N96*100/M96,0)</f>
        <v>0</v>
      </c>
      <c r="Q96" s="47">
        <f ca="1">Q99+Q102</f>
        <v>84420</v>
      </c>
      <c r="R96" s="47">
        <f ca="1">R99+R102</f>
        <v>84420</v>
      </c>
      <c r="S96" s="47">
        <f ca="1">S99+S102</f>
        <v>47300</v>
      </c>
      <c r="T96" s="47">
        <f ca="1">IF(Q96&gt;0,S96*100/Q96,0)</f>
        <v>56.02937692489931</v>
      </c>
      <c r="U96" s="47">
        <f ca="1">IF(R96&gt;0,S96*100/R96,0)</f>
        <v>56.02937692489931</v>
      </c>
    </row>
    <row r="97" spans="1:21" ht="18.75" x14ac:dyDescent="0.25">
      <c r="A97" s="128"/>
      <c r="B97" s="41"/>
      <c r="C97" s="41"/>
      <c r="D97" s="42" t="s">
        <v>22</v>
      </c>
      <c r="E97" s="41"/>
      <c r="F97" s="41"/>
      <c r="G97" s="43"/>
      <c r="H97" s="134" t="s">
        <v>14</v>
      </c>
      <c r="I97" s="135"/>
      <c r="J97" s="135"/>
      <c r="K97" s="136"/>
      <c r="L97" s="548">
        <f ca="1">L98+L99</f>
        <v>0</v>
      </c>
      <c r="M97" s="47">
        <f ca="1">M98+M99</f>
        <v>6000</v>
      </c>
      <c r="N97" s="47">
        <f ca="1">N98+N99</f>
        <v>0</v>
      </c>
      <c r="O97" s="47">
        <f ca="1">IF(L97&gt;0,N97*100/L97,0)</f>
        <v>0</v>
      </c>
      <c r="P97" s="47">
        <f ca="1">IF(M97&gt;0,N97*100/M97,0)</f>
        <v>0</v>
      </c>
      <c r="Q97" s="47">
        <f ca="1">Q98+Q99</f>
        <v>84420</v>
      </c>
      <c r="R97" s="47">
        <f ca="1">R98+R99</f>
        <v>84420</v>
      </c>
      <c r="S97" s="47">
        <f ca="1">S98+S99</f>
        <v>47300</v>
      </c>
      <c r="T97" s="47">
        <f ca="1">IF(Q97&gt;0,S97*100/Q97,0)</f>
        <v>56.02937692489931</v>
      </c>
      <c r="U97" s="47">
        <f ca="1">IF(R97&gt;0,S97*100/R97,0)</f>
        <v>56.02937692489931</v>
      </c>
    </row>
    <row r="98" spans="1:21" ht="18.75" hidden="1" x14ac:dyDescent="0.25">
      <c r="A98" s="128"/>
      <c r="B98" s="41"/>
      <c r="C98" s="41"/>
      <c r="D98" s="41"/>
      <c r="E98" s="157" t="s">
        <v>36</v>
      </c>
      <c r="F98" s="41"/>
      <c r="G98" s="43"/>
      <c r="H98" s="160" t="s">
        <v>14</v>
      </c>
      <c r="I98" s="135"/>
      <c r="J98" s="135"/>
      <c r="K98" s="136"/>
      <c r="L98" s="549">
        <v>0</v>
      </c>
      <c r="M98" s="49">
        <v>0</v>
      </c>
      <c r="N98" s="49">
        <v>0</v>
      </c>
      <c r="O98" s="49">
        <f>IF(L98&gt;0,N98*100/L98,0)</f>
        <v>0</v>
      </c>
      <c r="P98" s="49">
        <f>IF(M98&gt;0,N98*100/M98,0)</f>
        <v>0</v>
      </c>
      <c r="Q98" s="49">
        <v>0</v>
      </c>
      <c r="R98" s="49">
        <v>0</v>
      </c>
      <c r="S98" s="49">
        <v>0</v>
      </c>
      <c r="T98" s="49">
        <f>IF(Q98&gt;0,S98*100/Q98,0)</f>
        <v>0</v>
      </c>
      <c r="U98" s="49">
        <f>IF(R98&gt;0,S98*100/R98,0)</f>
        <v>0</v>
      </c>
    </row>
    <row r="99" spans="1:21" ht="18.75" hidden="1" x14ac:dyDescent="0.25">
      <c r="A99" s="128"/>
      <c r="B99" s="41"/>
      <c r="C99" s="41"/>
      <c r="D99" s="41"/>
      <c r="E99" s="48" t="s">
        <v>37</v>
      </c>
      <c r="F99" s="41"/>
      <c r="G99" s="43"/>
      <c r="H99" s="134" t="s">
        <v>14</v>
      </c>
      <c r="I99" s="135"/>
      <c r="J99" s="135"/>
      <c r="K99" s="136"/>
      <c r="L99" s="548">
        <f ca="1">IFERROR(__xludf.DUMMYFUNCTION("IMPORTRANGE(""https://docs.google.com/spreadsheets/d/1-uDff_7J0KD5mKrp0Vvzr7lt3OU09vwQwhkpOPPYv2Y/edit?usp=sharing"",""งบพรบ!AW82"")"),0)</f>
        <v>0</v>
      </c>
      <c r="M99" s="47">
        <f ca="1">IFERROR(__xludf.DUMMYFUNCTION("IMPORTRANGE(""https://docs.google.com/spreadsheets/d/1-uDff_7J0KD5mKrp0Vvzr7lt3OU09vwQwhkpOPPYv2Y/edit?usp=sharing"",""งบพรบ!BB82"")"),6000)</f>
        <v>6000</v>
      </c>
      <c r="N99" s="47">
        <f ca="1">IFERROR(__xludf.DUMMYFUNCTION("IMPORTRANGE(""https://docs.google.com/spreadsheets/d/1-uDff_7J0KD5mKrp0Vvzr7lt3OU09vwQwhkpOPPYv2Y/edit?usp=sharing"",""งบพรบ!BD82"")"),0)</f>
        <v>0</v>
      </c>
      <c r="O99" s="47">
        <f ca="1">IF(L99&gt;0,N99*100/L99,0)</f>
        <v>0</v>
      </c>
      <c r="P99" s="47">
        <f ca="1">IF(M99&gt;0,N99*100/M99,0)</f>
        <v>0</v>
      </c>
      <c r="Q99" s="47">
        <f ca="1">IFERROR(__xludf.DUMMYFUNCTION("IMPORTRANGE(""https://docs.google.com/spreadsheets/d/1ItG2mGa2ceCfYo0BwxsXqNm01IGEUdYcSSLTEv9YCik/edit?usp=sharing"",""เบิกจ่ายกองทุน!AJ82"")"),84420)</f>
        <v>84420</v>
      </c>
      <c r="R99" s="47">
        <f ca="1">IFERROR(__xludf.DUMMYFUNCTION("IMPORTRANGE(""https://docs.google.com/spreadsheets/d/1ItG2mGa2ceCfYo0BwxsXqNm01IGEUdYcSSLTEv9YCik/edit?usp=sharing"",""เบิกจ่ายกองทุน!AK82"")"),84420)</f>
        <v>84420</v>
      </c>
      <c r="S99" s="47">
        <f ca="1">IFERROR(__xludf.DUMMYFUNCTION("IMPORTRANGE(""https://docs.google.com/spreadsheets/d/1ItG2mGa2ceCfYo0BwxsXqNm01IGEUdYcSSLTEv9YCik/edit?usp=sharing"",""เบิกจ่ายกองทุน!AL82"")"),47300)</f>
        <v>47300</v>
      </c>
      <c r="T99" s="47">
        <f ca="1">IF(Q99&gt;0,S99*100/Q99,0)</f>
        <v>56.02937692489931</v>
      </c>
      <c r="U99" s="47">
        <f ca="1">IF(R99&gt;0,S99*100/R99,0)</f>
        <v>56.02937692489931</v>
      </c>
    </row>
    <row r="100" spans="1:21" ht="18.75" x14ac:dyDescent="0.25">
      <c r="A100" s="128"/>
      <c r="B100" s="41"/>
      <c r="C100" s="41"/>
      <c r="D100" s="42" t="s">
        <v>23</v>
      </c>
      <c r="E100" s="41"/>
      <c r="F100" s="41"/>
      <c r="G100" s="43"/>
      <c r="H100" s="137" t="s">
        <v>14</v>
      </c>
      <c r="I100" s="135"/>
      <c r="J100" s="135"/>
      <c r="K100" s="136"/>
      <c r="L100" s="548">
        <f ca="1">L101+L102</f>
        <v>0</v>
      </c>
      <c r="M100" s="47">
        <f ca="1">M101+M102</f>
        <v>0</v>
      </c>
      <c r="N100" s="47">
        <f ca="1">N101+N102</f>
        <v>0</v>
      </c>
      <c r="O100" s="47">
        <f ca="1">IF(L100&gt;0,N100*100/L100,0)</f>
        <v>0</v>
      </c>
      <c r="P100" s="47">
        <f ca="1">IF(M100&gt;0,N100*100/M100,0)</f>
        <v>0</v>
      </c>
      <c r="Q100" s="47">
        <f>Q101+Q102</f>
        <v>0</v>
      </c>
      <c r="R100" s="47">
        <f>R101+R102</f>
        <v>0</v>
      </c>
      <c r="S100" s="47">
        <f>S101+S102</f>
        <v>0</v>
      </c>
      <c r="T100" s="47">
        <f>IF(Q100&gt;0,S100*100/Q100,0)</f>
        <v>0</v>
      </c>
      <c r="U100" s="47">
        <f>IF(R100&gt;0,S100*100/R100,0)</f>
        <v>0</v>
      </c>
    </row>
    <row r="101" spans="1:21" ht="18.75" hidden="1" x14ac:dyDescent="0.25">
      <c r="A101" s="128"/>
      <c r="B101" s="41"/>
      <c r="C101" s="41"/>
      <c r="D101" s="41"/>
      <c r="E101" s="157" t="s">
        <v>20</v>
      </c>
      <c r="F101" s="41"/>
      <c r="G101" s="43"/>
      <c r="H101" s="160" t="s">
        <v>14</v>
      </c>
      <c r="I101" s="135"/>
      <c r="J101" s="135"/>
      <c r="K101" s="136"/>
      <c r="L101" s="549">
        <v>0</v>
      </c>
      <c r="M101" s="49">
        <v>0</v>
      </c>
      <c r="N101" s="49">
        <v>0</v>
      </c>
      <c r="O101" s="49">
        <f>IF(L101&gt;0,N101*100/L101,0)</f>
        <v>0</v>
      </c>
      <c r="P101" s="49">
        <f>IF(M101&gt;0,N101*100/M101,0)</f>
        <v>0</v>
      </c>
      <c r="Q101" s="49">
        <v>0</v>
      </c>
      <c r="R101" s="49">
        <v>0</v>
      </c>
      <c r="S101" s="49">
        <v>0</v>
      </c>
      <c r="T101" s="49">
        <f>IF(Q101&gt;0,S101*100/Q101,0)</f>
        <v>0</v>
      </c>
      <c r="U101" s="49">
        <f>IF(R101&gt;0,S101*100/R101,0)</f>
        <v>0</v>
      </c>
    </row>
    <row r="102" spans="1:21" ht="18.75" hidden="1" x14ac:dyDescent="0.25">
      <c r="A102" s="128"/>
      <c r="B102" s="41"/>
      <c r="C102" s="41"/>
      <c r="D102" s="41"/>
      <c r="E102" s="48" t="s">
        <v>21</v>
      </c>
      <c r="F102" s="41"/>
      <c r="G102" s="43"/>
      <c r="H102" s="137" t="s">
        <v>14</v>
      </c>
      <c r="I102" s="135"/>
      <c r="J102" s="135"/>
      <c r="K102" s="136"/>
      <c r="L102" s="548">
        <f ca="1">IFERROR(__xludf.DUMMYFUNCTION("IMPORTRANGE(""https://docs.google.com/spreadsheets/d/1-uDff_7J0KD5mKrp0Vvzr7lt3OU09vwQwhkpOPPYv2Y/edit?usp=sharing"",""งบพรบ!AZ82"")"),0)</f>
        <v>0</v>
      </c>
      <c r="M102" s="47">
        <f ca="1">IFERROR(__xludf.DUMMYFUNCTION("IMPORTRANGE(""https://docs.google.com/spreadsheets/d/1-uDff_7J0KD5mKrp0Vvzr7lt3OU09vwQwhkpOPPYv2Y/edit?usp=sharing"",""งบพรบ!BC82"")"),0)</f>
        <v>0</v>
      </c>
      <c r="N102" s="47">
        <f ca="1">IFERROR(__xludf.DUMMYFUNCTION("IMPORTRANGE(""https://docs.google.com/spreadsheets/d/1-uDff_7J0KD5mKrp0Vvzr7lt3OU09vwQwhkpOPPYv2Y/edit?usp=sharing"",""งบพรบ!BE82"")"),0)</f>
        <v>0</v>
      </c>
      <c r="O102" s="47">
        <f ca="1">IF(L102&gt;0,N102*100/L102,0)</f>
        <v>0</v>
      </c>
      <c r="P102" s="47">
        <f ca="1">IF(M102&gt;0,N102*100/M102,0)</f>
        <v>0</v>
      </c>
      <c r="Q102" s="47">
        <v>0</v>
      </c>
      <c r="R102" s="47">
        <v>0</v>
      </c>
      <c r="S102" s="47">
        <v>0</v>
      </c>
      <c r="T102" s="47">
        <f>IF(Q102&gt;0,S102*100/Q102,0)</f>
        <v>0</v>
      </c>
      <c r="U102" s="47">
        <f>IF(R102&gt;0,S102*100/R102,0)</f>
        <v>0</v>
      </c>
    </row>
    <row r="103" spans="1:21" ht="19.5" x14ac:dyDescent="0.3">
      <c r="A103" s="138"/>
      <c r="B103" s="139"/>
      <c r="C103" s="386" t="s">
        <v>18</v>
      </c>
      <c r="D103" s="563" t="s">
        <v>38</v>
      </c>
      <c r="E103" s="141"/>
      <c r="F103" s="141"/>
      <c r="G103" s="142"/>
      <c r="H103" s="143"/>
      <c r="I103" s="135"/>
      <c r="J103" s="45"/>
      <c r="K103" s="46"/>
      <c r="L103" s="546"/>
      <c r="M103" s="46"/>
      <c r="N103" s="46"/>
      <c r="O103" s="136"/>
      <c r="P103" s="136"/>
      <c r="Q103" s="46"/>
      <c r="R103" s="46"/>
      <c r="S103" s="46"/>
      <c r="T103" s="136"/>
      <c r="U103" s="136"/>
    </row>
    <row r="104" spans="1:21" ht="12.75" hidden="1" x14ac:dyDescent="0.2">
      <c r="A104" s="163"/>
      <c r="B104" s="164"/>
      <c r="C104" s="164"/>
      <c r="D104" s="19"/>
      <c r="E104" s="19"/>
      <c r="F104" s="19"/>
      <c r="G104" s="20"/>
      <c r="H104" s="20"/>
      <c r="I104" s="21"/>
      <c r="J104" s="21"/>
      <c r="K104" s="22"/>
      <c r="L104" s="700"/>
      <c r="M104" s="22"/>
      <c r="N104" s="22"/>
      <c r="O104" s="22"/>
      <c r="P104" s="22"/>
      <c r="Q104" s="22"/>
      <c r="R104" s="22"/>
      <c r="S104" s="22"/>
      <c r="T104" s="22"/>
      <c r="U104" s="22"/>
    </row>
    <row r="105" spans="1:21" ht="12.75" hidden="1" x14ac:dyDescent="0.2">
      <c r="A105" s="163"/>
      <c r="B105" s="164"/>
      <c r="C105" s="164"/>
      <c r="D105" s="19"/>
      <c r="E105" s="19"/>
      <c r="F105" s="19"/>
      <c r="G105" s="20"/>
      <c r="H105" s="20"/>
      <c r="I105" s="21"/>
      <c r="J105" s="21"/>
      <c r="K105" s="22"/>
      <c r="L105" s="700"/>
      <c r="M105" s="22"/>
      <c r="N105" s="22"/>
      <c r="O105" s="22"/>
      <c r="P105" s="22"/>
      <c r="Q105" s="22"/>
      <c r="R105" s="22"/>
      <c r="S105" s="22"/>
      <c r="T105" s="22"/>
      <c r="U105" s="22"/>
    </row>
    <row r="106" spans="1:21" ht="12.75" hidden="1" x14ac:dyDescent="0.2">
      <c r="A106" s="163"/>
      <c r="B106" s="164"/>
      <c r="C106" s="164"/>
      <c r="D106" s="164"/>
      <c r="E106" s="19"/>
      <c r="F106" s="19"/>
      <c r="G106" s="20"/>
      <c r="H106" s="20"/>
      <c r="I106" s="21"/>
      <c r="J106" s="21"/>
      <c r="K106" s="22"/>
      <c r="L106" s="700"/>
      <c r="M106" s="22"/>
      <c r="N106" s="22"/>
      <c r="O106" s="22"/>
      <c r="P106" s="22"/>
      <c r="Q106" s="22"/>
      <c r="R106" s="22"/>
      <c r="S106" s="22"/>
      <c r="T106" s="22"/>
      <c r="U106" s="22"/>
    </row>
    <row r="107" spans="1:21" ht="19.5" x14ac:dyDescent="0.3">
      <c r="A107" s="138"/>
      <c r="B107" s="139"/>
      <c r="C107" s="139"/>
      <c r="D107" s="165" t="s">
        <v>47</v>
      </c>
      <c r="E107" s="166"/>
      <c r="F107" s="145"/>
      <c r="G107" s="143"/>
      <c r="H107" s="43"/>
      <c r="I107" s="45"/>
      <c r="J107" s="45"/>
      <c r="K107" s="46"/>
      <c r="L107" s="546"/>
      <c r="M107" s="46"/>
      <c r="N107" s="46"/>
      <c r="O107" s="136"/>
      <c r="P107" s="136"/>
      <c r="Q107" s="46"/>
      <c r="R107" s="46"/>
      <c r="S107" s="46"/>
      <c r="T107" s="136"/>
      <c r="U107" s="136"/>
    </row>
    <row r="108" spans="1:21" ht="18.75" x14ac:dyDescent="0.25">
      <c r="A108" s="138"/>
      <c r="B108" s="139"/>
      <c r="C108" s="139"/>
      <c r="D108" s="149" t="s">
        <v>48</v>
      </c>
      <c r="E108" s="145"/>
      <c r="F108" s="145"/>
      <c r="G108" s="143"/>
      <c r="H108" s="44" t="s">
        <v>46</v>
      </c>
      <c r="I108" s="152">
        <f ca="1">IFERROR(__xludf.DUMMYFUNCTION("IMPORTRANGE(""https://docs.google.com/spreadsheets/d/1eHaY18a8A9IcSdp1K8H6x8fbOy06t2VsZHhMHf-1x7Y/edit?usp=sharing"",""แผน!N82"")"),30)</f>
        <v>30</v>
      </c>
      <c r="J108" s="167">
        <v>0</v>
      </c>
      <c r="K108" s="47">
        <f ca="1">IF(I108&gt;0,J108*100/I108,0)</f>
        <v>0</v>
      </c>
      <c r="L108" s="546"/>
      <c r="M108" s="46"/>
      <c r="N108" s="46"/>
      <c r="O108" s="136"/>
      <c r="P108" s="136"/>
      <c r="Q108" s="46"/>
      <c r="R108" s="46"/>
      <c r="S108" s="46"/>
      <c r="T108" s="136"/>
      <c r="U108" s="136"/>
    </row>
    <row r="109" spans="1:21" ht="18.75" x14ac:dyDescent="0.25">
      <c r="A109" s="138"/>
      <c r="B109" s="139"/>
      <c r="C109" s="139"/>
      <c r="D109" s="149" t="s">
        <v>49</v>
      </c>
      <c r="E109" s="145"/>
      <c r="F109" s="145"/>
      <c r="G109" s="143"/>
      <c r="H109" s="44" t="s">
        <v>35</v>
      </c>
      <c r="I109" s="152">
        <f ca="1">IFERROR(__xludf.DUMMYFUNCTION("IMPORTRANGE(""https://docs.google.com/spreadsheets/d/1eHaY18a8A9IcSdp1K8H6x8fbOy06t2VsZHhMHf-1x7Y/edit?usp=sharing"",""แผน!O82"")"),10)</f>
        <v>10</v>
      </c>
      <c r="J109" s="167">
        <v>0</v>
      </c>
      <c r="K109" s="47">
        <f ca="1">IF(I109&gt;0,J109*100/I109,0)</f>
        <v>0</v>
      </c>
      <c r="L109" s="546"/>
      <c r="M109" s="46"/>
      <c r="N109" s="46"/>
      <c r="O109" s="136"/>
      <c r="P109" s="136"/>
      <c r="Q109" s="46"/>
      <c r="R109" s="46"/>
      <c r="S109" s="46"/>
      <c r="T109" s="136"/>
      <c r="U109" s="136"/>
    </row>
    <row r="110" spans="1:21" ht="12.75" hidden="1" x14ac:dyDescent="0.2">
      <c r="A110" s="163"/>
      <c r="B110" s="164"/>
      <c r="C110" s="164"/>
      <c r="D110" s="19"/>
      <c r="E110" s="19"/>
      <c r="F110" s="19"/>
      <c r="G110" s="20"/>
      <c r="H110" s="20"/>
      <c r="I110" s="21"/>
      <c r="J110" s="21"/>
      <c r="K110" s="22"/>
      <c r="L110" s="700"/>
      <c r="M110" s="22"/>
      <c r="N110" s="22"/>
      <c r="O110" s="22"/>
      <c r="P110" s="22"/>
      <c r="Q110" s="22"/>
      <c r="R110" s="22"/>
      <c r="S110" s="22"/>
      <c r="T110" s="22"/>
      <c r="U110" s="22"/>
    </row>
    <row r="111" spans="1:21" ht="12.75" hidden="1" x14ac:dyDescent="0.2">
      <c r="A111" s="163"/>
      <c r="B111" s="164"/>
      <c r="C111" s="164"/>
      <c r="D111" s="19"/>
      <c r="E111" s="19"/>
      <c r="F111" s="19"/>
      <c r="G111" s="20"/>
      <c r="H111" s="20"/>
      <c r="I111" s="21"/>
      <c r="J111" s="21"/>
      <c r="K111" s="22"/>
      <c r="L111" s="700"/>
      <c r="M111" s="22"/>
      <c r="N111" s="22"/>
      <c r="O111" s="22"/>
      <c r="P111" s="22"/>
      <c r="Q111" s="22"/>
      <c r="R111" s="22"/>
      <c r="S111" s="22"/>
      <c r="T111" s="22"/>
      <c r="U111" s="22"/>
    </row>
    <row r="112" spans="1:21" ht="12.75" hidden="1" x14ac:dyDescent="0.2">
      <c r="A112" s="163"/>
      <c r="B112" s="164"/>
      <c r="C112" s="164"/>
      <c r="D112" s="19"/>
      <c r="E112" s="19"/>
      <c r="F112" s="19"/>
      <c r="G112" s="20"/>
      <c r="H112" s="20"/>
      <c r="I112" s="21"/>
      <c r="J112" s="21"/>
      <c r="K112" s="22"/>
      <c r="L112" s="700"/>
      <c r="M112" s="22"/>
      <c r="N112" s="22"/>
      <c r="O112" s="22"/>
      <c r="P112" s="22"/>
      <c r="Q112" s="22"/>
      <c r="R112" s="22"/>
      <c r="S112" s="22"/>
      <c r="T112" s="22"/>
      <c r="U112" s="22"/>
    </row>
    <row r="113" spans="1:21" ht="18.75" x14ac:dyDescent="0.25">
      <c r="A113" s="168"/>
      <c r="B113" s="169"/>
      <c r="C113" s="169"/>
      <c r="D113" s="389" t="s">
        <v>50</v>
      </c>
      <c r="E113" s="171"/>
      <c r="F113" s="171"/>
      <c r="G113" s="172"/>
      <c r="H113" s="173" t="s">
        <v>46</v>
      </c>
      <c r="I113" s="174">
        <f ca="1">IFERROR(__xludf.DUMMYFUNCTION("IMPORTRANGE(""https://docs.google.com/spreadsheets/d/1eHaY18a8A9IcSdp1K8H6x8fbOy06t2VsZHhMHf-1x7Y/edit?usp=sharing"",""แผน!N82"")"),30)</f>
        <v>30</v>
      </c>
      <c r="J113" s="175">
        <v>0</v>
      </c>
      <c r="K113" s="176">
        <f ca="1">IF(I113&gt;0,J113*100/I113,0)</f>
        <v>0</v>
      </c>
      <c r="L113" s="177"/>
      <c r="M113" s="177"/>
      <c r="N113" s="177"/>
      <c r="O113" s="178"/>
      <c r="P113" s="178"/>
      <c r="Q113" s="177"/>
      <c r="R113" s="177"/>
      <c r="S113" s="177"/>
      <c r="T113" s="178"/>
      <c r="U113" s="178"/>
    </row>
    <row r="114" spans="1:21" ht="18.75" x14ac:dyDescent="0.25">
      <c r="A114" s="138"/>
      <c r="B114" s="139"/>
      <c r="C114" s="139"/>
      <c r="D114" s="145"/>
      <c r="E114" s="145"/>
      <c r="F114" s="145"/>
      <c r="G114" s="143"/>
      <c r="H114" s="150" t="s">
        <v>35</v>
      </c>
      <c r="I114" s="151">
        <f ca="1">IFERROR(__xludf.DUMMYFUNCTION("IMPORTRANGE(""https://docs.google.com/spreadsheets/d/1eHaY18a8A9IcSdp1K8H6x8fbOy06t2VsZHhMHf-1x7Y/edit?usp=sharing"",""แผน!O82"")"),10)</f>
        <v>10</v>
      </c>
      <c r="J114" s="167">
        <v>0</v>
      </c>
      <c r="K114" s="47">
        <f ca="1">IF(I114&gt;0,J114*100/I114,0)</f>
        <v>0</v>
      </c>
      <c r="L114" s="46"/>
      <c r="M114" s="46"/>
      <c r="N114" s="46"/>
      <c r="O114" s="136"/>
      <c r="P114" s="136"/>
      <c r="Q114" s="46"/>
      <c r="R114" s="46"/>
      <c r="S114" s="46"/>
      <c r="T114" s="136"/>
      <c r="U114" s="136"/>
    </row>
    <row r="115" spans="1:21" ht="19.5" x14ac:dyDescent="0.3">
      <c r="A115" s="780" t="s">
        <v>51</v>
      </c>
      <c r="B115" s="777"/>
      <c r="C115" s="779"/>
      <c r="D115" s="778"/>
      <c r="E115" s="778"/>
      <c r="F115" s="778"/>
      <c r="G115" s="778"/>
      <c r="H115" s="777"/>
      <c r="I115" s="776"/>
      <c r="J115" s="776"/>
      <c r="K115" s="775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</row>
    <row r="116" spans="1:21" ht="19.5" x14ac:dyDescent="0.3">
      <c r="A116" s="124"/>
      <c r="B116" s="182" t="s">
        <v>52</v>
      </c>
      <c r="C116" s="183"/>
      <c r="D116" s="125"/>
      <c r="E116" s="28"/>
      <c r="F116" s="28"/>
      <c r="G116" s="31"/>
      <c r="H116" s="184" t="s">
        <v>35</v>
      </c>
      <c r="I116" s="127">
        <f ca="1">I127</f>
        <v>15</v>
      </c>
      <c r="J116" s="127">
        <f>J127</f>
        <v>0</v>
      </c>
      <c r="K116" s="35">
        <f ca="1">IF(I116&gt;0,J116*100/I116,0)</f>
        <v>0</v>
      </c>
      <c r="L116" s="583"/>
      <c r="M116" s="34"/>
      <c r="N116" s="34"/>
      <c r="O116" s="34"/>
      <c r="P116" s="34"/>
      <c r="Q116" s="34"/>
      <c r="R116" s="34"/>
      <c r="S116" s="34"/>
      <c r="T116" s="34"/>
      <c r="U116" s="34"/>
    </row>
    <row r="117" spans="1:21" ht="19.5" x14ac:dyDescent="0.3">
      <c r="A117" s="128"/>
      <c r="B117" s="159"/>
      <c r="C117" s="386" t="s">
        <v>18</v>
      </c>
      <c r="D117" s="591" t="s">
        <v>19</v>
      </c>
      <c r="E117" s="41"/>
      <c r="F117" s="41"/>
      <c r="G117" s="43"/>
      <c r="H117" s="131" t="s">
        <v>14</v>
      </c>
      <c r="I117" s="45"/>
      <c r="J117" s="45"/>
      <c r="K117" s="46"/>
      <c r="L117" s="550">
        <f ca="1">L118+L119</f>
        <v>0</v>
      </c>
      <c r="M117" s="132">
        <f ca="1">M118+M119</f>
        <v>0</v>
      </c>
      <c r="N117" s="132">
        <f ca="1">N118+N119</f>
        <v>0</v>
      </c>
      <c r="O117" s="132">
        <f ca="1">IF(L117&gt;0,N117*100/L117,0)</f>
        <v>0</v>
      </c>
      <c r="P117" s="132">
        <f ca="1">IF(M117&gt;0,N117*100/M117,0)</f>
        <v>0</v>
      </c>
      <c r="Q117" s="132">
        <f ca="1">Q118+Q119</f>
        <v>3541460</v>
      </c>
      <c r="R117" s="132">
        <f ca="1">R118+R119</f>
        <v>3619010</v>
      </c>
      <c r="S117" s="132">
        <f ca="1">S118+S119</f>
        <v>105097.08</v>
      </c>
      <c r="T117" s="132">
        <f ca="1">IF(Q117&gt;0,S117*100/Q117,0)</f>
        <v>2.9676201340689996</v>
      </c>
      <c r="U117" s="132">
        <f ca="1">IF(R117&gt;0,S117*100/R117,0)</f>
        <v>2.9040284497694122</v>
      </c>
    </row>
    <row r="118" spans="1:21" ht="18.75" hidden="1" x14ac:dyDescent="0.25">
      <c r="A118" s="128"/>
      <c r="B118" s="159"/>
      <c r="C118" s="159"/>
      <c r="D118" s="159"/>
      <c r="E118" s="157" t="s">
        <v>20</v>
      </c>
      <c r="F118" s="41"/>
      <c r="G118" s="43"/>
      <c r="H118" s="158" t="s">
        <v>14</v>
      </c>
      <c r="I118" s="45"/>
      <c r="J118" s="45"/>
      <c r="K118" s="46"/>
      <c r="L118" s="549">
        <f>L121+L124</f>
        <v>0</v>
      </c>
      <c r="M118" s="49">
        <f>M121+M124</f>
        <v>0</v>
      </c>
      <c r="N118" s="49">
        <f>N121+N124</f>
        <v>0</v>
      </c>
      <c r="O118" s="49">
        <f>IF(L118&gt;0,N118*100/L118,0)</f>
        <v>0</v>
      </c>
      <c r="P118" s="49">
        <f>IF(M118&gt;0,N118*100/M118,0)</f>
        <v>0</v>
      </c>
      <c r="Q118" s="49">
        <f>Q121+Q124</f>
        <v>0</v>
      </c>
      <c r="R118" s="49">
        <f>R121+R124</f>
        <v>0</v>
      </c>
      <c r="S118" s="49">
        <f>S121+S124</f>
        <v>0</v>
      </c>
      <c r="T118" s="49">
        <f>IF(Q118&gt;0,S118*100/Q118,0)</f>
        <v>0</v>
      </c>
      <c r="U118" s="49">
        <f>IF(R118&gt;0,S118*100/R118,0)</f>
        <v>0</v>
      </c>
    </row>
    <row r="119" spans="1:21" ht="18.75" hidden="1" x14ac:dyDescent="0.25">
      <c r="A119" s="128"/>
      <c r="B119" s="159"/>
      <c r="C119" s="159"/>
      <c r="D119" s="159"/>
      <c r="E119" s="48" t="s">
        <v>21</v>
      </c>
      <c r="F119" s="41"/>
      <c r="G119" s="43"/>
      <c r="H119" s="133" t="s">
        <v>14</v>
      </c>
      <c r="I119" s="45"/>
      <c r="J119" s="45"/>
      <c r="K119" s="46"/>
      <c r="L119" s="548">
        <f ca="1">L122+L125</f>
        <v>0</v>
      </c>
      <c r="M119" s="47">
        <f ca="1">M122+M125</f>
        <v>0</v>
      </c>
      <c r="N119" s="47">
        <f ca="1">N122+N125</f>
        <v>0</v>
      </c>
      <c r="O119" s="47">
        <f ca="1">IF(L119&gt;0,N119*100/L119,0)</f>
        <v>0</v>
      </c>
      <c r="P119" s="47">
        <f ca="1">IF(M119&gt;0,N119*100/M119,0)</f>
        <v>0</v>
      </c>
      <c r="Q119" s="47">
        <f ca="1">Q122+Q125</f>
        <v>3541460</v>
      </c>
      <c r="R119" s="47">
        <f ca="1">R122+R125</f>
        <v>3619010</v>
      </c>
      <c r="S119" s="47">
        <f ca="1">S122+S125</f>
        <v>105097.08</v>
      </c>
      <c r="T119" s="47">
        <f ca="1">IF(Q119&gt;0,S119*100/Q119,0)</f>
        <v>2.9676201340689996</v>
      </c>
      <c r="U119" s="47">
        <f ca="1">IF(R119&gt;0,S119*100/R119,0)</f>
        <v>2.9040284497694122</v>
      </c>
    </row>
    <row r="120" spans="1:21" ht="18.75" x14ac:dyDescent="0.25">
      <c r="A120" s="128"/>
      <c r="B120" s="159"/>
      <c r="C120" s="185"/>
      <c r="D120" s="649" t="s">
        <v>22</v>
      </c>
      <c r="E120" s="41"/>
      <c r="F120" s="41"/>
      <c r="G120" s="43"/>
      <c r="H120" s="186" t="s">
        <v>14</v>
      </c>
      <c r="I120" s="45"/>
      <c r="J120" s="45"/>
      <c r="K120" s="46"/>
      <c r="L120" s="548">
        <f ca="1">L121+L122</f>
        <v>0</v>
      </c>
      <c r="M120" s="47">
        <f ca="1">M121+M122</f>
        <v>0</v>
      </c>
      <c r="N120" s="47">
        <f ca="1">N121+N122</f>
        <v>0</v>
      </c>
      <c r="O120" s="47">
        <f ca="1">IF(L120&gt;0,N120*100/L120,0)</f>
        <v>0</v>
      </c>
      <c r="P120" s="47">
        <f ca="1">IF(M120&gt;0,N120*100/M120,0)</f>
        <v>0</v>
      </c>
      <c r="Q120" s="47">
        <f ca="1">Q121+Q122</f>
        <v>191460</v>
      </c>
      <c r="R120" s="47">
        <f ca="1">R121+R122</f>
        <v>269010</v>
      </c>
      <c r="S120" s="47">
        <f ca="1">S121+S122</f>
        <v>105097.08</v>
      </c>
      <c r="T120" s="47">
        <f ca="1">IF(Q120&gt;0,S120*100/Q120,0)</f>
        <v>54.892447508617991</v>
      </c>
      <c r="U120" s="47">
        <f ca="1">IF(R120&gt;0,S120*100/R120,0)</f>
        <v>39.068094122895062</v>
      </c>
    </row>
    <row r="121" spans="1:21" ht="18.75" hidden="1" x14ac:dyDescent="0.25">
      <c r="A121" s="128"/>
      <c r="B121" s="159"/>
      <c r="C121" s="185"/>
      <c r="D121" s="159"/>
      <c r="E121" s="157" t="s">
        <v>36</v>
      </c>
      <c r="F121" s="41"/>
      <c r="G121" s="43"/>
      <c r="H121" s="187" t="s">
        <v>14</v>
      </c>
      <c r="I121" s="45"/>
      <c r="J121" s="45"/>
      <c r="K121" s="46"/>
      <c r="L121" s="549">
        <v>0</v>
      </c>
      <c r="M121" s="49">
        <v>0</v>
      </c>
      <c r="N121" s="49">
        <v>0</v>
      </c>
      <c r="O121" s="49">
        <f>IF(L121&gt;0,N121*100/L121,0)</f>
        <v>0</v>
      </c>
      <c r="P121" s="49">
        <f>IF(M121&gt;0,N121*100/M121,0)</f>
        <v>0</v>
      </c>
      <c r="Q121" s="49">
        <v>0</v>
      </c>
      <c r="R121" s="49">
        <v>0</v>
      </c>
      <c r="S121" s="49">
        <v>0</v>
      </c>
      <c r="T121" s="49">
        <f>IF(Q121&gt;0,S121*100/Q121,0)</f>
        <v>0</v>
      </c>
      <c r="U121" s="49">
        <f>IF(R121&gt;0,S121*100/R121,0)</f>
        <v>0</v>
      </c>
    </row>
    <row r="122" spans="1:21" ht="18.75" hidden="1" x14ac:dyDescent="0.25">
      <c r="A122" s="128"/>
      <c r="B122" s="159"/>
      <c r="C122" s="185"/>
      <c r="D122" s="159"/>
      <c r="E122" s="48" t="s">
        <v>37</v>
      </c>
      <c r="F122" s="41"/>
      <c r="G122" s="43"/>
      <c r="H122" s="186" t="s">
        <v>14</v>
      </c>
      <c r="I122" s="45"/>
      <c r="J122" s="45"/>
      <c r="K122" s="46"/>
      <c r="L122" s="548">
        <f ca="1">IFERROR(__xludf.DUMMYFUNCTION("IMPORTRANGE(""https://docs.google.com/spreadsheets/d/1-uDff_7J0KD5mKrp0Vvzr7lt3OU09vwQwhkpOPPYv2Y/edit?usp=sharing"",""งบพรบ!BG82"")"),0)</f>
        <v>0</v>
      </c>
      <c r="M122" s="47">
        <f ca="1">IFERROR(__xludf.DUMMYFUNCTION("IMPORTRANGE(""https://docs.google.com/spreadsheets/d/1-uDff_7J0KD5mKrp0Vvzr7lt3OU09vwQwhkpOPPYv2Y/edit?usp=sharing"",""งบพรบ!BL82"")"),0)</f>
        <v>0</v>
      </c>
      <c r="N122" s="47">
        <f ca="1">IFERROR(__xludf.DUMMYFUNCTION("IMPORTRANGE(""https://docs.google.com/spreadsheets/d/1-uDff_7J0KD5mKrp0Vvzr7lt3OU09vwQwhkpOPPYv2Y/edit?usp=sharing"",""งบพรบ!BN82"")"),0)</f>
        <v>0</v>
      </c>
      <c r="O122" s="47">
        <f ca="1">IF(L122&gt;0,N122*100/L122,0)</f>
        <v>0</v>
      </c>
      <c r="P122" s="47">
        <f ca="1">IF(M122&gt;0,N122*100/M122,0)</f>
        <v>0</v>
      </c>
      <c r="Q122" s="47">
        <f ca="1">IFERROR(__xludf.DUMMYFUNCTION("IMPORTRANGE(""https://docs.google.com/spreadsheets/d/1ItG2mGa2ceCfYo0BwxsXqNm01IGEUdYcSSLTEv9YCik/edit?usp=sharing"",""เบิกจ่ายกองทุน!U82"")"),191460)</f>
        <v>191460</v>
      </c>
      <c r="R122" s="47">
        <f ca="1">IFERROR(__xludf.DUMMYFUNCTION("IMPORTRANGE(""https://docs.google.com/spreadsheets/d/1ItG2mGa2ceCfYo0BwxsXqNm01IGEUdYcSSLTEv9YCik/edit?usp=sharing"",""เบิกจ่ายกองทุน!V82"")"),269010)</f>
        <v>269010</v>
      </c>
      <c r="S122" s="47">
        <f ca="1">IFERROR(__xludf.DUMMYFUNCTION("IMPORTRANGE(""https://docs.google.com/spreadsheets/d/1ItG2mGa2ceCfYo0BwxsXqNm01IGEUdYcSSLTEv9YCik/edit?usp=sharing"",""เบิกจ่ายกองทุน!W82"")"),105097.08)</f>
        <v>105097.08</v>
      </c>
      <c r="T122" s="47">
        <f ca="1">IF(Q122&gt;0,S122*100/Q122,0)</f>
        <v>54.892447508617991</v>
      </c>
      <c r="U122" s="47">
        <f ca="1">IF(R122&gt;0,S122*100/R122,0)</f>
        <v>39.068094122895062</v>
      </c>
    </row>
    <row r="123" spans="1:21" ht="18.75" x14ac:dyDescent="0.25">
      <c r="A123" s="128"/>
      <c r="B123" s="41"/>
      <c r="C123" s="185"/>
      <c r="D123" s="649" t="s">
        <v>23</v>
      </c>
      <c r="E123" s="41"/>
      <c r="F123" s="41"/>
      <c r="G123" s="43"/>
      <c r="H123" s="133" t="s">
        <v>14</v>
      </c>
      <c r="I123" s="45"/>
      <c r="J123" s="45"/>
      <c r="K123" s="46"/>
      <c r="L123" s="548">
        <f ca="1">L124+L125</f>
        <v>0</v>
      </c>
      <c r="M123" s="47">
        <f ca="1">M124+M125</f>
        <v>0</v>
      </c>
      <c r="N123" s="47">
        <f ca="1">N124+N125</f>
        <v>0</v>
      </c>
      <c r="O123" s="47">
        <f ca="1">IF(L123&gt;0,N123*100/L123,0)</f>
        <v>0</v>
      </c>
      <c r="P123" s="47">
        <f ca="1">IF(M123&gt;0,N123*100/M123,0)</f>
        <v>0</v>
      </c>
      <c r="Q123" s="47">
        <f ca="1">Q124+Q125</f>
        <v>3350000</v>
      </c>
      <c r="R123" s="47">
        <f ca="1">R124+R125</f>
        <v>3350000</v>
      </c>
      <c r="S123" s="47">
        <f ca="1">S124+S125</f>
        <v>0</v>
      </c>
      <c r="T123" s="47">
        <f ca="1">IF(Q123&gt;0,S123*100/Q123,0)</f>
        <v>0</v>
      </c>
      <c r="U123" s="47">
        <f ca="1">IF(R123&gt;0,S123*100/R123,0)</f>
        <v>0</v>
      </c>
    </row>
    <row r="124" spans="1:21" ht="18.75" hidden="1" x14ac:dyDescent="0.25">
      <c r="A124" s="128"/>
      <c r="B124" s="41"/>
      <c r="C124" s="185"/>
      <c r="D124" s="159"/>
      <c r="E124" s="157" t="s">
        <v>20</v>
      </c>
      <c r="F124" s="41"/>
      <c r="G124" s="43"/>
      <c r="H124" s="187" t="s">
        <v>14</v>
      </c>
      <c r="I124" s="45"/>
      <c r="J124" s="45"/>
      <c r="K124" s="46"/>
      <c r="L124" s="549">
        <v>0</v>
      </c>
      <c r="M124" s="49">
        <v>0</v>
      </c>
      <c r="N124" s="49">
        <v>0</v>
      </c>
      <c r="O124" s="49">
        <f>IF(L124&gt;0,N124*100/L124,0)</f>
        <v>0</v>
      </c>
      <c r="P124" s="49">
        <f>IF(M124&gt;0,N124*100/M124,0)</f>
        <v>0</v>
      </c>
      <c r="Q124" s="49">
        <v>0</v>
      </c>
      <c r="R124" s="49">
        <v>0</v>
      </c>
      <c r="S124" s="49">
        <v>0</v>
      </c>
      <c r="T124" s="49">
        <f>IF(Q124&gt;0,S124*100/Q124,0)</f>
        <v>0</v>
      </c>
      <c r="U124" s="49">
        <f>IF(R124&gt;0,S124*100/R124,0)</f>
        <v>0</v>
      </c>
    </row>
    <row r="125" spans="1:21" ht="18.75" hidden="1" x14ac:dyDescent="0.25">
      <c r="A125" s="128"/>
      <c r="B125" s="41"/>
      <c r="C125" s="41"/>
      <c r="D125" s="41"/>
      <c r="E125" s="48" t="s">
        <v>21</v>
      </c>
      <c r="F125" s="41"/>
      <c r="G125" s="43"/>
      <c r="H125" s="133" t="s">
        <v>14</v>
      </c>
      <c r="I125" s="45"/>
      <c r="J125" s="45"/>
      <c r="K125" s="46"/>
      <c r="L125" s="548">
        <f ca="1">IFERROR(__xludf.DUMMYFUNCTION("IMPORTRANGE(""https://docs.google.com/spreadsheets/d/1-uDff_7J0KD5mKrp0Vvzr7lt3OU09vwQwhkpOPPYv2Y/edit?usp=sharing"",""งบพรบ!BJ82"")"),0)</f>
        <v>0</v>
      </c>
      <c r="M125" s="47">
        <f ca="1">IFERROR(__xludf.DUMMYFUNCTION("IMPORTRANGE(""https://docs.google.com/spreadsheets/d/1-uDff_7J0KD5mKrp0Vvzr7lt3OU09vwQwhkpOPPYv2Y/edit?usp=sharing"",""งบพรบ!BM82"")"),0)</f>
        <v>0</v>
      </c>
      <c r="N125" s="47">
        <f ca="1">IFERROR(__xludf.DUMMYFUNCTION("IMPORTRANGE(""https://docs.google.com/spreadsheets/d/1-uDff_7J0KD5mKrp0Vvzr7lt3OU09vwQwhkpOPPYv2Y/edit?usp=sharing"",""งบพรบ!BO82"")"),0)</f>
        <v>0</v>
      </c>
      <c r="O125" s="47">
        <f ca="1">IF(L125&gt;0,N125*100/L125,0)</f>
        <v>0</v>
      </c>
      <c r="P125" s="47">
        <f ca="1">IF(M125&gt;0,N125*100/M125,0)</f>
        <v>0</v>
      </c>
      <c r="Q125" s="47">
        <f ca="1">IFERROR(__xludf.DUMMYFUNCTION("IMPORTRANGE(""https://docs.google.com/spreadsheets/d/1ItG2mGa2ceCfYo0BwxsXqNm01IGEUdYcSSLTEv9YCik/edit?usp=sharing"",""เบิกจ่ายกองทุน!X82"")"),3350000)</f>
        <v>3350000</v>
      </c>
      <c r="R125" s="47">
        <f ca="1">IFERROR(__xludf.DUMMYFUNCTION("IMPORTRANGE(""https://docs.google.com/spreadsheets/d/1ItG2mGa2ceCfYo0BwxsXqNm01IGEUdYcSSLTEv9YCik/edit?usp=sharing"",""เบิกจ่ายกองทุน!Y82"")"),3350000)</f>
        <v>3350000</v>
      </c>
      <c r="S125" s="47">
        <f ca="1">IFERROR(__xludf.DUMMYFUNCTION("IMPORTRANGE(""https://docs.google.com/spreadsheets/d/1ItG2mGa2ceCfYo0BwxsXqNm01IGEUdYcSSLTEv9YCik/edit?usp=sharing"",""เบิกจ่ายกองทุน!Z82"")"),0)</f>
        <v>0</v>
      </c>
      <c r="T125" s="47">
        <f ca="1">IF(Q125&gt;0,S125*100/Q125,0)</f>
        <v>0</v>
      </c>
      <c r="U125" s="47">
        <f ca="1">IF(R125&gt;0,S125*100/R125,0)</f>
        <v>0</v>
      </c>
    </row>
    <row r="126" spans="1:21" ht="19.5" x14ac:dyDescent="0.3">
      <c r="A126" s="138"/>
      <c r="B126" s="139"/>
      <c r="C126" s="386" t="s">
        <v>18</v>
      </c>
      <c r="D126" s="563" t="s">
        <v>38</v>
      </c>
      <c r="E126" s="141"/>
      <c r="F126" s="141"/>
      <c r="G126" s="142"/>
      <c r="H126" s="189"/>
      <c r="I126" s="45"/>
      <c r="J126" s="45"/>
      <c r="K126" s="46"/>
      <c r="L126" s="546"/>
      <c r="M126" s="46"/>
      <c r="N126" s="46"/>
      <c r="O126" s="46"/>
      <c r="P126" s="46"/>
      <c r="Q126" s="46"/>
      <c r="R126" s="46"/>
      <c r="S126" s="46"/>
      <c r="T126" s="46"/>
      <c r="U126" s="46"/>
    </row>
    <row r="127" spans="1:21" ht="18.75" x14ac:dyDescent="0.25">
      <c r="A127" s="138"/>
      <c r="B127" s="139"/>
      <c r="C127" s="139"/>
      <c r="D127" s="149" t="s">
        <v>53</v>
      </c>
      <c r="E127" s="145"/>
      <c r="F127" s="145"/>
      <c r="G127" s="143"/>
      <c r="H127" s="133" t="s">
        <v>35</v>
      </c>
      <c r="I127" s="152">
        <f ca="1">IFERROR(__xludf.DUMMYFUNCTION("IMPORTRANGE(""https://docs.google.com/spreadsheets/d/1eHaY18a8A9IcSdp1K8H6x8fbOy06t2VsZHhMHf-1x7Y/edit?usp=sharing"",""แผน!FF82"")"),15)</f>
        <v>15</v>
      </c>
      <c r="J127" s="167">
        <v>0</v>
      </c>
      <c r="K127" s="47">
        <f ca="1">IF(I127&gt;0,J127*100/I127,0)</f>
        <v>0</v>
      </c>
      <c r="L127" s="546"/>
      <c r="M127" s="46"/>
      <c r="N127" s="46"/>
      <c r="O127" s="46"/>
      <c r="P127" s="46"/>
      <c r="Q127" s="46"/>
      <c r="R127" s="46"/>
      <c r="S127" s="46"/>
      <c r="T127" s="46"/>
      <c r="U127" s="46"/>
    </row>
    <row r="128" spans="1:21" ht="18.75" x14ac:dyDescent="0.25">
      <c r="A128" s="138"/>
      <c r="B128" s="139"/>
      <c r="C128" s="139"/>
      <c r="D128" s="145"/>
      <c r="E128" s="145"/>
      <c r="F128" s="145"/>
      <c r="G128" s="143"/>
      <c r="H128" s="133" t="s">
        <v>54</v>
      </c>
      <c r="I128" s="152">
        <f ca="1">IFERROR(__xludf.DUMMYFUNCTION("IMPORTRANGE(""https://docs.google.com/spreadsheets/d/1eHaY18a8A9IcSdp1K8H6x8fbOy06t2VsZHhMHf-1x7Y/edit?usp=sharing"",""แผน!FG82"")"),0)</f>
        <v>0</v>
      </c>
      <c r="J128" s="167">
        <v>0</v>
      </c>
      <c r="K128" s="47">
        <f ca="1">IF(I128&gt;0,J128*100/I128,0)</f>
        <v>0</v>
      </c>
      <c r="L128" s="546"/>
      <c r="M128" s="46"/>
      <c r="N128" s="46"/>
      <c r="O128" s="46"/>
      <c r="P128" s="46"/>
      <c r="Q128" s="46"/>
      <c r="R128" s="46"/>
      <c r="S128" s="46"/>
      <c r="T128" s="46"/>
      <c r="U128" s="46"/>
    </row>
    <row r="129" spans="1:21" ht="18.75" x14ac:dyDescent="0.25">
      <c r="A129" s="138"/>
      <c r="B129" s="139"/>
      <c r="C129" s="139"/>
      <c r="D129" s="149" t="s">
        <v>55</v>
      </c>
      <c r="E129" s="145"/>
      <c r="F129" s="145"/>
      <c r="G129" s="143"/>
      <c r="H129" s="133" t="s">
        <v>35</v>
      </c>
      <c r="I129" s="152">
        <f ca="1">IFERROR(__xludf.DUMMYFUNCTION("IMPORTRANGE(""https://docs.google.com/spreadsheets/d/1eHaY18a8A9IcSdp1K8H6x8fbOy06t2VsZHhMHf-1x7Y/edit?usp=sharing"",""แผน!FH82"")"),15)</f>
        <v>15</v>
      </c>
      <c r="J129" s="167">
        <v>0</v>
      </c>
      <c r="K129" s="47">
        <f ca="1">IF(I129&gt;0,J129*100/I129,0)</f>
        <v>0</v>
      </c>
      <c r="L129" s="546"/>
      <c r="M129" s="46"/>
      <c r="N129" s="46"/>
      <c r="O129" s="46"/>
      <c r="P129" s="46"/>
      <c r="Q129" s="46"/>
      <c r="R129" s="46"/>
      <c r="S129" s="46"/>
      <c r="T129" s="46"/>
      <c r="U129" s="46"/>
    </row>
    <row r="130" spans="1:21" ht="18.75" x14ac:dyDescent="0.25">
      <c r="A130" s="138"/>
      <c r="B130" s="139"/>
      <c r="C130" s="139"/>
      <c r="D130" s="145"/>
      <c r="E130" s="145"/>
      <c r="F130" s="145"/>
      <c r="G130" s="143"/>
      <c r="H130" s="133" t="s">
        <v>54</v>
      </c>
      <c r="I130" s="152">
        <f ca="1">IFERROR(__xludf.DUMMYFUNCTION("IMPORTRANGE(""https://docs.google.com/spreadsheets/d/1eHaY18a8A9IcSdp1K8H6x8fbOy06t2VsZHhMHf-1x7Y/edit?usp=sharing"",""แผน!FI82"")"),0)</f>
        <v>0</v>
      </c>
      <c r="J130" s="167">
        <v>0</v>
      </c>
      <c r="K130" s="47">
        <f ca="1">IF(I130&gt;0,J130*100/I130,0)</f>
        <v>0</v>
      </c>
      <c r="L130" s="546"/>
      <c r="M130" s="46"/>
      <c r="N130" s="46"/>
      <c r="O130" s="46"/>
      <c r="P130" s="46"/>
      <c r="Q130" s="46"/>
      <c r="R130" s="46"/>
      <c r="S130" s="46"/>
      <c r="T130" s="46"/>
      <c r="U130" s="46"/>
    </row>
    <row r="131" spans="1:21" ht="18.75" hidden="1" x14ac:dyDescent="0.25">
      <c r="A131" s="138"/>
      <c r="B131" s="139"/>
      <c r="C131" s="139"/>
      <c r="D131" s="190" t="s">
        <v>56</v>
      </c>
      <c r="E131" s="145"/>
      <c r="F131" s="145"/>
      <c r="G131" s="143"/>
      <c r="H131" s="158" t="s">
        <v>35</v>
      </c>
      <c r="I131" s="45"/>
      <c r="J131" s="45"/>
      <c r="K131" s="46"/>
      <c r="L131" s="546"/>
      <c r="M131" s="46"/>
      <c r="N131" s="46"/>
      <c r="O131" s="46"/>
      <c r="P131" s="46"/>
      <c r="Q131" s="46"/>
      <c r="R131" s="46"/>
      <c r="S131" s="46"/>
      <c r="T131" s="46"/>
      <c r="U131" s="46"/>
    </row>
    <row r="132" spans="1:21" ht="18.75" hidden="1" x14ac:dyDescent="0.25">
      <c r="A132" s="138"/>
      <c r="B132" s="139"/>
      <c r="C132" s="139"/>
      <c r="D132" s="190" t="s">
        <v>57</v>
      </c>
      <c r="E132" s="145"/>
      <c r="F132" s="145"/>
      <c r="G132" s="143"/>
      <c r="H132" s="191"/>
      <c r="I132" s="45"/>
      <c r="J132" s="45"/>
      <c r="K132" s="46"/>
      <c r="L132" s="546"/>
      <c r="M132" s="46"/>
      <c r="N132" s="46"/>
      <c r="O132" s="46"/>
      <c r="P132" s="46"/>
      <c r="Q132" s="46"/>
      <c r="R132" s="46"/>
      <c r="S132" s="46"/>
      <c r="T132" s="46"/>
      <c r="U132" s="46"/>
    </row>
    <row r="133" spans="1:21" ht="12.75" hidden="1" x14ac:dyDescent="0.2">
      <c r="A133" s="163"/>
      <c r="B133" s="164"/>
      <c r="C133" s="164"/>
      <c r="D133" s="19"/>
      <c r="E133" s="19"/>
      <c r="F133" s="19"/>
      <c r="G133" s="20"/>
      <c r="H133" s="192"/>
      <c r="I133" s="21"/>
      <c r="J133" s="21"/>
      <c r="K133" s="22"/>
      <c r="L133" s="700"/>
      <c r="M133" s="22"/>
      <c r="N133" s="22"/>
      <c r="O133" s="22"/>
      <c r="P133" s="22"/>
      <c r="Q133" s="22"/>
      <c r="R133" s="22"/>
      <c r="S133" s="22"/>
      <c r="T133" s="22"/>
      <c r="U133" s="22"/>
    </row>
    <row r="134" spans="1:21" ht="19.5" x14ac:dyDescent="0.3">
      <c r="A134" s="118" t="s">
        <v>58</v>
      </c>
      <c r="B134" s="119"/>
      <c r="C134" s="179"/>
      <c r="D134" s="119"/>
      <c r="E134" s="119"/>
      <c r="F134" s="119"/>
      <c r="G134" s="119"/>
      <c r="H134" s="119"/>
      <c r="I134" s="180"/>
      <c r="J134" s="180"/>
      <c r="K134" s="181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</row>
    <row r="135" spans="1:21" ht="19.5" x14ac:dyDescent="0.3">
      <c r="A135" s="124"/>
      <c r="B135" s="29" t="s">
        <v>59</v>
      </c>
      <c r="C135" s="183"/>
      <c r="D135" s="125"/>
      <c r="E135" s="28"/>
      <c r="F135" s="28"/>
      <c r="G135" s="28"/>
      <c r="H135" s="28"/>
      <c r="I135" s="193"/>
      <c r="J135" s="33"/>
      <c r="K135" s="34"/>
      <c r="L135" s="583"/>
      <c r="M135" s="34"/>
      <c r="N135" s="34"/>
      <c r="O135" s="34"/>
      <c r="P135" s="34"/>
      <c r="Q135" s="34"/>
      <c r="R135" s="34"/>
      <c r="S135" s="34"/>
      <c r="T135" s="34"/>
      <c r="U135" s="34"/>
    </row>
    <row r="136" spans="1:21" ht="19.5" x14ac:dyDescent="0.3">
      <c r="A136" s="124"/>
      <c r="B136" s="28"/>
      <c r="C136" s="194" t="s">
        <v>60</v>
      </c>
      <c r="D136" s="125"/>
      <c r="E136" s="28"/>
      <c r="F136" s="28"/>
      <c r="G136" s="31"/>
      <c r="H136" s="126" t="s">
        <v>61</v>
      </c>
      <c r="I136" s="127">
        <f ca="1">I154</f>
        <v>2</v>
      </c>
      <c r="J136" s="127">
        <f>J154</f>
        <v>0</v>
      </c>
      <c r="K136" s="35">
        <f ca="1">IF(I136&gt;0,J136*100/I136,0)</f>
        <v>0</v>
      </c>
      <c r="L136" s="583"/>
      <c r="M136" s="34"/>
      <c r="N136" s="34"/>
      <c r="O136" s="34"/>
      <c r="P136" s="34"/>
      <c r="Q136" s="34"/>
      <c r="R136" s="34"/>
      <c r="S136" s="34"/>
      <c r="T136" s="34"/>
      <c r="U136" s="34"/>
    </row>
    <row r="137" spans="1:21" ht="19.5" x14ac:dyDescent="0.3">
      <c r="A137" s="124"/>
      <c r="B137" s="28"/>
      <c r="C137" s="194" t="s">
        <v>62</v>
      </c>
      <c r="D137" s="125"/>
      <c r="E137" s="28"/>
      <c r="F137" s="28"/>
      <c r="G137" s="31"/>
      <c r="H137" s="126" t="s">
        <v>35</v>
      </c>
      <c r="I137" s="127">
        <f ca="1">I152</f>
        <v>60</v>
      </c>
      <c r="J137" s="127">
        <f>J152</f>
        <v>0</v>
      </c>
      <c r="K137" s="35">
        <f ca="1">IF(I137&gt;0,J137*100/I137,0)</f>
        <v>0</v>
      </c>
      <c r="L137" s="583"/>
      <c r="M137" s="34"/>
      <c r="N137" s="34"/>
      <c r="O137" s="34"/>
      <c r="P137" s="34"/>
      <c r="Q137" s="34"/>
      <c r="R137" s="34"/>
      <c r="S137" s="34"/>
      <c r="T137" s="34"/>
      <c r="U137" s="34"/>
    </row>
    <row r="138" spans="1:21" ht="19.5" x14ac:dyDescent="0.3">
      <c r="A138" s="124"/>
      <c r="B138" s="28"/>
      <c r="C138" s="183"/>
      <c r="D138" s="125"/>
      <c r="E138" s="28"/>
      <c r="F138" s="28"/>
      <c r="G138" s="31"/>
      <c r="H138" s="126" t="s">
        <v>54</v>
      </c>
      <c r="I138" s="127">
        <f ca="1">I153</f>
        <v>6</v>
      </c>
      <c r="J138" s="127">
        <f>J153</f>
        <v>0</v>
      </c>
      <c r="K138" s="35">
        <f ca="1">IF(I138&gt;0,J138*100/I138,0)</f>
        <v>0</v>
      </c>
      <c r="L138" s="583"/>
      <c r="M138" s="34"/>
      <c r="N138" s="34"/>
      <c r="O138" s="34"/>
      <c r="P138" s="34"/>
      <c r="Q138" s="34"/>
      <c r="R138" s="34"/>
      <c r="S138" s="34"/>
      <c r="T138" s="34"/>
      <c r="U138" s="34"/>
    </row>
    <row r="139" spans="1:21" ht="19.5" x14ac:dyDescent="0.3">
      <c r="A139" s="128"/>
      <c r="B139" s="41"/>
      <c r="C139" s="386" t="s">
        <v>18</v>
      </c>
      <c r="D139" s="591" t="s">
        <v>19</v>
      </c>
      <c r="E139" s="41"/>
      <c r="F139" s="41"/>
      <c r="G139" s="43"/>
      <c r="H139" s="131" t="s">
        <v>14</v>
      </c>
      <c r="I139" s="45"/>
      <c r="J139" s="45"/>
      <c r="K139" s="46"/>
      <c r="L139" s="550">
        <f ca="1">L140+L141</f>
        <v>91400</v>
      </c>
      <c r="M139" s="132">
        <f ca="1">M140+M141</f>
        <v>86400</v>
      </c>
      <c r="N139" s="132">
        <f ca="1">N140+N141</f>
        <v>75124</v>
      </c>
      <c r="O139" s="132">
        <f ca="1">IF(L139&gt;0,N139*100/L139,0)</f>
        <v>82.192560175054709</v>
      </c>
      <c r="P139" s="132">
        <f ca="1">IF(M139&gt;0,N139*100/M139,0)</f>
        <v>86.949074074074076</v>
      </c>
      <c r="Q139" s="132">
        <f ca="1">Q140+Q141</f>
        <v>309860</v>
      </c>
      <c r="R139" s="132">
        <f ca="1">R140+R141</f>
        <v>309860</v>
      </c>
      <c r="S139" s="132">
        <f ca="1">S140+S141</f>
        <v>0</v>
      </c>
      <c r="T139" s="132">
        <f ca="1">IF(Q139&gt;0,S139*100/Q139,0)</f>
        <v>0</v>
      </c>
      <c r="U139" s="132">
        <f ca="1">IF(R139&gt;0,S139*100/R139,0)</f>
        <v>0</v>
      </c>
    </row>
    <row r="140" spans="1:21" ht="18.75" hidden="1" x14ac:dyDescent="0.25">
      <c r="A140" s="128"/>
      <c r="B140" s="41"/>
      <c r="C140" s="41"/>
      <c r="D140" s="41"/>
      <c r="E140" s="157" t="s">
        <v>20</v>
      </c>
      <c r="F140" s="41"/>
      <c r="G140" s="43"/>
      <c r="H140" s="158" t="s">
        <v>14</v>
      </c>
      <c r="I140" s="45"/>
      <c r="J140" s="45"/>
      <c r="K140" s="46"/>
      <c r="L140" s="549">
        <f>L143+L146</f>
        <v>0</v>
      </c>
      <c r="M140" s="49">
        <f>M143+M146</f>
        <v>0</v>
      </c>
      <c r="N140" s="49">
        <f>N143+N146</f>
        <v>0</v>
      </c>
      <c r="O140" s="49">
        <f>IF(L140&gt;0,N140*100/L140,0)</f>
        <v>0</v>
      </c>
      <c r="P140" s="49">
        <f>IF(M140&gt;0,N140*100/M140,0)</f>
        <v>0</v>
      </c>
      <c r="Q140" s="49">
        <f>Q143+Q146</f>
        <v>0</v>
      </c>
      <c r="R140" s="49">
        <f>R143+R146</f>
        <v>0</v>
      </c>
      <c r="S140" s="49">
        <f>S143+S146</f>
        <v>0</v>
      </c>
      <c r="T140" s="49">
        <f>IF(Q140&gt;0,S140*100/Q140,0)</f>
        <v>0</v>
      </c>
      <c r="U140" s="49">
        <f>IF(R140&gt;0,S140*100/R140,0)</f>
        <v>0</v>
      </c>
    </row>
    <row r="141" spans="1:21" ht="18.75" hidden="1" x14ac:dyDescent="0.25">
      <c r="A141" s="128"/>
      <c r="B141" s="41"/>
      <c r="C141" s="41"/>
      <c r="D141" s="41"/>
      <c r="E141" s="48" t="s">
        <v>21</v>
      </c>
      <c r="F141" s="41"/>
      <c r="G141" s="43"/>
      <c r="H141" s="133" t="s">
        <v>14</v>
      </c>
      <c r="I141" s="45"/>
      <c r="J141" s="45"/>
      <c r="K141" s="46"/>
      <c r="L141" s="548">
        <f ca="1">L144+L147</f>
        <v>91400</v>
      </c>
      <c r="M141" s="47">
        <f ca="1">M144+M147</f>
        <v>86400</v>
      </c>
      <c r="N141" s="47">
        <f ca="1">N144+N147</f>
        <v>75124</v>
      </c>
      <c r="O141" s="47">
        <f ca="1">IF(L141&gt;0,N141*100/L141,0)</f>
        <v>82.192560175054709</v>
      </c>
      <c r="P141" s="47">
        <f ca="1">IF(M141&gt;0,N141*100/M141,0)</f>
        <v>86.949074074074076</v>
      </c>
      <c r="Q141" s="47">
        <f ca="1">Q144+Q147</f>
        <v>309860</v>
      </c>
      <c r="R141" s="47">
        <f ca="1">R144+R147</f>
        <v>309860</v>
      </c>
      <c r="S141" s="47">
        <f ca="1">S144+S147</f>
        <v>0</v>
      </c>
      <c r="T141" s="47">
        <f ca="1">IF(Q141&gt;0,S141*100/Q141,0)</f>
        <v>0</v>
      </c>
      <c r="U141" s="47">
        <f ca="1">IF(R141&gt;0,S141*100/R141,0)</f>
        <v>0</v>
      </c>
    </row>
    <row r="142" spans="1:21" ht="18.75" x14ac:dyDescent="0.25">
      <c r="A142" s="128"/>
      <c r="B142" s="41"/>
      <c r="C142" s="41"/>
      <c r="D142" s="42" t="s">
        <v>22</v>
      </c>
      <c r="E142" s="41"/>
      <c r="F142" s="41"/>
      <c r="G142" s="43"/>
      <c r="H142" s="134" t="s">
        <v>14</v>
      </c>
      <c r="I142" s="135"/>
      <c r="J142" s="135"/>
      <c r="K142" s="136"/>
      <c r="L142" s="548">
        <f ca="1">L143+L144</f>
        <v>91400</v>
      </c>
      <c r="M142" s="47">
        <f ca="1">M143+M144</f>
        <v>86400</v>
      </c>
      <c r="N142" s="47">
        <f ca="1">N143+N144</f>
        <v>75124</v>
      </c>
      <c r="O142" s="47">
        <f ca="1">IF(L142&gt;0,N142*100/L142,0)</f>
        <v>82.192560175054709</v>
      </c>
      <c r="P142" s="47">
        <f ca="1">IF(M142&gt;0,N142*100/M142,0)</f>
        <v>86.949074074074076</v>
      </c>
      <c r="Q142" s="47">
        <f ca="1">Q143+Q144</f>
        <v>309860</v>
      </c>
      <c r="R142" s="47">
        <f ca="1">R143+R144</f>
        <v>309860</v>
      </c>
      <c r="S142" s="47">
        <f ca="1">S143+S144</f>
        <v>0</v>
      </c>
      <c r="T142" s="47">
        <f ca="1">IF(Q142&gt;0,S142*100/Q142,0)</f>
        <v>0</v>
      </c>
      <c r="U142" s="47">
        <f ca="1">IF(R142&gt;0,S142*100/R142,0)</f>
        <v>0</v>
      </c>
    </row>
    <row r="143" spans="1:21" ht="18.75" hidden="1" x14ac:dyDescent="0.25">
      <c r="A143" s="128"/>
      <c r="B143" s="41"/>
      <c r="C143" s="41"/>
      <c r="D143" s="41"/>
      <c r="E143" s="157" t="s">
        <v>36</v>
      </c>
      <c r="F143" s="41"/>
      <c r="G143" s="43"/>
      <c r="H143" s="160" t="s">
        <v>14</v>
      </c>
      <c r="I143" s="135"/>
      <c r="J143" s="135"/>
      <c r="K143" s="136"/>
      <c r="L143" s="549">
        <v>0</v>
      </c>
      <c r="M143" s="49">
        <v>0</v>
      </c>
      <c r="N143" s="49">
        <v>0</v>
      </c>
      <c r="O143" s="49">
        <f>IF(L143&gt;0,N143*100/L143,0)</f>
        <v>0</v>
      </c>
      <c r="P143" s="49">
        <f>IF(M143&gt;0,N143*100/M143,0)</f>
        <v>0</v>
      </c>
      <c r="Q143" s="49">
        <v>0</v>
      </c>
      <c r="R143" s="49">
        <v>0</v>
      </c>
      <c r="S143" s="49">
        <v>0</v>
      </c>
      <c r="T143" s="49">
        <f>IF(Q143&gt;0,S143*100/Q143,0)</f>
        <v>0</v>
      </c>
      <c r="U143" s="49">
        <f>IF(R143&gt;0,S143*100/R143,0)</f>
        <v>0</v>
      </c>
    </row>
    <row r="144" spans="1:21" ht="18.75" hidden="1" x14ac:dyDescent="0.25">
      <c r="A144" s="128"/>
      <c r="B144" s="41"/>
      <c r="C144" s="41"/>
      <c r="D144" s="41"/>
      <c r="E144" s="48" t="s">
        <v>37</v>
      </c>
      <c r="F144" s="41"/>
      <c r="G144" s="43"/>
      <c r="H144" s="134" t="s">
        <v>14</v>
      </c>
      <c r="I144" s="135"/>
      <c r="J144" s="135"/>
      <c r="K144" s="136"/>
      <c r="L144" s="548">
        <f ca="1">IFERROR(__xludf.DUMMYFUNCTION("IMPORTRANGE(""https://docs.google.com/spreadsheets/d/1-uDff_7J0KD5mKrp0Vvzr7lt3OU09vwQwhkpOPPYv2Y/edit?usp=sharing"",""งบพรบ!BQ82"")"),91400)</f>
        <v>91400</v>
      </c>
      <c r="M144" s="47">
        <f ca="1">IFERROR(__xludf.DUMMYFUNCTION("IMPORTRANGE(""https://docs.google.com/spreadsheets/d/1-uDff_7J0KD5mKrp0Vvzr7lt3OU09vwQwhkpOPPYv2Y/edit?usp=sharing"",""งบพรบ!BV82"")"),86400)</f>
        <v>86400</v>
      </c>
      <c r="N144" s="47">
        <f ca="1">IFERROR(__xludf.DUMMYFUNCTION("IMPORTRANGE(""https://docs.google.com/spreadsheets/d/1-uDff_7J0KD5mKrp0Vvzr7lt3OU09vwQwhkpOPPYv2Y/edit?usp=sharing"",""งบพรบ!BX82"")"),75124)</f>
        <v>75124</v>
      </c>
      <c r="O144" s="47">
        <f ca="1">IF(L144&gt;0,N144*100/L144,0)</f>
        <v>82.192560175054709</v>
      </c>
      <c r="P144" s="47">
        <f ca="1">IF(M144&gt;0,N144*100/M144,0)</f>
        <v>86.949074074074076</v>
      </c>
      <c r="Q144" s="47">
        <f ca="1">IFERROR(__xludf.DUMMYFUNCTION("IMPORTRANGE(""https://docs.google.com/spreadsheets/d/1ItG2mGa2ceCfYo0BwxsXqNm01IGEUdYcSSLTEv9YCik/edit?usp=sharing"",""เบิกจ่ายกองทุน!CF82"")"),309860)</f>
        <v>309860</v>
      </c>
      <c r="R144" s="47">
        <f ca="1">IFERROR(__xludf.DUMMYFUNCTION("IMPORTRANGE(""https://docs.google.com/spreadsheets/d/1ItG2mGa2ceCfYo0BwxsXqNm01IGEUdYcSSLTEv9YCik/edit?usp=sharing"",""เบิกจ่ายกองทุน!CG82"")"),309860)</f>
        <v>309860</v>
      </c>
      <c r="S144" s="47">
        <f ca="1">IFERROR(__xludf.DUMMYFUNCTION("IMPORTRANGE(""https://docs.google.com/spreadsheets/d/1ItG2mGa2ceCfYo0BwxsXqNm01IGEUdYcSSLTEv9YCik/edit?usp=sharing"",""เบิกจ่ายกองทุน!CH82"")"),0)</f>
        <v>0</v>
      </c>
      <c r="T144" s="47">
        <f ca="1">IF(Q144&gt;0,S144*100/Q144,0)</f>
        <v>0</v>
      </c>
      <c r="U144" s="47">
        <f ca="1">IF(R144&gt;0,S144*100/R144,0)</f>
        <v>0</v>
      </c>
    </row>
    <row r="145" spans="1:21" ht="18.75" x14ac:dyDescent="0.25">
      <c r="A145" s="128"/>
      <c r="B145" s="41"/>
      <c r="C145" s="41"/>
      <c r="D145" s="42" t="s">
        <v>23</v>
      </c>
      <c r="E145" s="41"/>
      <c r="F145" s="41"/>
      <c r="G145" s="43"/>
      <c r="H145" s="137" t="s">
        <v>14</v>
      </c>
      <c r="I145" s="135"/>
      <c r="J145" s="135"/>
      <c r="K145" s="136"/>
      <c r="L145" s="548">
        <f ca="1">L146+L147</f>
        <v>0</v>
      </c>
      <c r="M145" s="47">
        <f ca="1">M146+M147</f>
        <v>0</v>
      </c>
      <c r="N145" s="47">
        <f ca="1">N146+N147</f>
        <v>0</v>
      </c>
      <c r="O145" s="47">
        <f ca="1">IF(L145&gt;0,N145*100/L145,0)</f>
        <v>0</v>
      </c>
      <c r="P145" s="47">
        <f ca="1">IF(M145&gt;0,N145*100/M145,0)</f>
        <v>0</v>
      </c>
      <c r="Q145" s="47">
        <f ca="1">Q146+Q147</f>
        <v>0</v>
      </c>
      <c r="R145" s="47">
        <f ca="1">R146+R147</f>
        <v>0</v>
      </c>
      <c r="S145" s="47">
        <f ca="1">S146+S147</f>
        <v>0</v>
      </c>
      <c r="T145" s="47">
        <f ca="1">IF(Q145&gt;0,S145*100/Q145,0)</f>
        <v>0</v>
      </c>
      <c r="U145" s="47">
        <f ca="1">IF(R145&gt;0,S145*100/R145,0)</f>
        <v>0</v>
      </c>
    </row>
    <row r="146" spans="1:21" ht="18.75" hidden="1" x14ac:dyDescent="0.25">
      <c r="A146" s="128"/>
      <c r="B146" s="41"/>
      <c r="C146" s="41"/>
      <c r="D146" s="41"/>
      <c r="E146" s="157" t="s">
        <v>20</v>
      </c>
      <c r="F146" s="41"/>
      <c r="G146" s="43"/>
      <c r="H146" s="160" t="s">
        <v>14</v>
      </c>
      <c r="I146" s="135"/>
      <c r="J146" s="135"/>
      <c r="K146" s="136"/>
      <c r="L146" s="549">
        <v>0</v>
      </c>
      <c r="M146" s="49">
        <v>0</v>
      </c>
      <c r="N146" s="49">
        <v>0</v>
      </c>
      <c r="O146" s="49">
        <f>IF(L146&gt;0,N146*100/L146,0)</f>
        <v>0</v>
      </c>
      <c r="P146" s="49">
        <f>IF(M146&gt;0,N146*100/M146,0)</f>
        <v>0</v>
      </c>
      <c r="Q146" s="49">
        <v>0</v>
      </c>
      <c r="R146" s="49">
        <v>0</v>
      </c>
      <c r="S146" s="49">
        <v>0</v>
      </c>
      <c r="T146" s="49">
        <f>IF(Q146&gt;0,S146*100/Q146,0)</f>
        <v>0</v>
      </c>
      <c r="U146" s="49">
        <f>IF(R146&gt;0,S146*100/R146,0)</f>
        <v>0</v>
      </c>
    </row>
    <row r="147" spans="1:21" ht="18.75" hidden="1" x14ac:dyDescent="0.25">
      <c r="A147" s="128"/>
      <c r="B147" s="41"/>
      <c r="C147" s="41"/>
      <c r="D147" s="41"/>
      <c r="E147" s="48" t="s">
        <v>21</v>
      </c>
      <c r="F147" s="41"/>
      <c r="G147" s="43"/>
      <c r="H147" s="137" t="s">
        <v>14</v>
      </c>
      <c r="I147" s="135"/>
      <c r="J147" s="135"/>
      <c r="K147" s="136"/>
      <c r="L147" s="548">
        <f ca="1">IFERROR(__xludf.DUMMYFUNCTION("IMPORTRANGE(""https://docs.google.com/spreadsheets/d/1-uDff_7J0KD5mKrp0Vvzr7lt3OU09vwQwhkpOPPYv2Y/edit?usp=sharing"",""งบพรบ!BT82"")"),0)</f>
        <v>0</v>
      </c>
      <c r="M147" s="47">
        <f ca="1">IFERROR(__xludf.DUMMYFUNCTION("IMPORTRANGE(""https://docs.google.com/spreadsheets/d/1-uDff_7J0KD5mKrp0Vvzr7lt3OU09vwQwhkpOPPYv2Y/edit?usp=sharing"",""งบพรบ!BW82"")"),0)</f>
        <v>0</v>
      </c>
      <c r="N147" s="47">
        <f ca="1">IFERROR(__xludf.DUMMYFUNCTION("IMPORTRANGE(""https://docs.google.com/spreadsheets/d/1-uDff_7J0KD5mKrp0Vvzr7lt3OU09vwQwhkpOPPYv2Y/edit?usp=sharing"",""งบพรบ!BY82"")"),0)</f>
        <v>0</v>
      </c>
      <c r="O147" s="47">
        <f ca="1">IF(L147&gt;0,N147*100/L147,0)</f>
        <v>0</v>
      </c>
      <c r="P147" s="47">
        <f ca="1">IF(M147&gt;0,N147*100/M147,0)</f>
        <v>0</v>
      </c>
      <c r="Q147" s="47">
        <f ca="1">IFERROR(__xludf.DUMMYFUNCTION("IMPORTRANGE(""https://docs.google.com/spreadsheets/d/1ItG2mGa2ceCfYo0BwxsXqNm01IGEUdYcSSLTEv9YCik/edit?usp=sharing"",""เบิกจ่ายกองทุน!CI82"")"),0)</f>
        <v>0</v>
      </c>
      <c r="R147" s="47">
        <f ca="1">IFERROR(__xludf.DUMMYFUNCTION("IMPORTRANGE(""https://docs.google.com/spreadsheets/d/1ItG2mGa2ceCfYo0BwxsXqNm01IGEUdYcSSLTEv9YCik/edit?usp=sharing"",""เบิกจ่ายกองทุน!CJ82"")"),0)</f>
        <v>0</v>
      </c>
      <c r="S147" s="47">
        <f ca="1">IFERROR(__xludf.DUMMYFUNCTION("IMPORTRANGE(""https://docs.google.com/spreadsheets/d/1ItG2mGa2ceCfYo0BwxsXqNm01IGEUdYcSSLTEv9YCik/edit?usp=sharing"",""เบิกจ่ายกองทุน!CK82"")"),0)</f>
        <v>0</v>
      </c>
      <c r="T147" s="47">
        <f ca="1">IF(Q147&gt;0,S147*100/Q147,0)</f>
        <v>0</v>
      </c>
      <c r="U147" s="47">
        <f ca="1">IF(R147&gt;0,S147*100/R147,0)</f>
        <v>0</v>
      </c>
    </row>
    <row r="148" spans="1:21" ht="19.5" x14ac:dyDescent="0.3">
      <c r="A148" s="138"/>
      <c r="B148" s="139"/>
      <c r="C148" s="386" t="s">
        <v>18</v>
      </c>
      <c r="D148" s="563" t="s">
        <v>38</v>
      </c>
      <c r="E148" s="141"/>
      <c r="F148" s="141"/>
      <c r="G148" s="142"/>
      <c r="H148" s="189"/>
      <c r="I148" s="45"/>
      <c r="J148" s="45"/>
      <c r="K148" s="46"/>
      <c r="L148" s="546"/>
      <c r="M148" s="46"/>
      <c r="N148" s="46"/>
      <c r="O148" s="46"/>
      <c r="P148" s="46"/>
      <c r="Q148" s="46"/>
      <c r="R148" s="46"/>
      <c r="S148" s="46"/>
      <c r="T148" s="46"/>
      <c r="U148" s="46"/>
    </row>
    <row r="149" spans="1:21" ht="18.75" x14ac:dyDescent="0.25">
      <c r="A149" s="128"/>
      <c r="B149" s="41"/>
      <c r="C149" s="41"/>
      <c r="D149" s="48" t="s">
        <v>63</v>
      </c>
      <c r="E149" s="41"/>
      <c r="F149" s="41"/>
      <c r="G149" s="43"/>
      <c r="H149" s="189"/>
      <c r="I149" s="45"/>
      <c r="J149" s="167">
        <v>0</v>
      </c>
      <c r="K149" s="46"/>
      <c r="L149" s="546"/>
      <c r="M149" s="46"/>
      <c r="N149" s="46"/>
      <c r="O149" s="46"/>
      <c r="P149" s="46"/>
      <c r="Q149" s="46"/>
      <c r="R149" s="46"/>
      <c r="S149" s="46"/>
      <c r="T149" s="46"/>
      <c r="U149" s="46"/>
    </row>
    <row r="150" spans="1:21" ht="19.5" x14ac:dyDescent="0.3">
      <c r="A150" s="128"/>
      <c r="B150" s="41"/>
      <c r="C150" s="41"/>
      <c r="D150" s="145"/>
      <c r="E150" s="129" t="s">
        <v>64</v>
      </c>
      <c r="F150" s="41"/>
      <c r="G150" s="43"/>
      <c r="H150" s="137" t="s">
        <v>35</v>
      </c>
      <c r="I150" s="152">
        <f ca="1">IFERROR(__xludf.DUMMYFUNCTION("IMPORTRANGE(""https://docs.google.com/spreadsheets/d/1eHaY18a8A9IcSdp1K8H6x8fbOy06t2VsZHhMHf-1x7Y/edit?usp=sharing"",""แผน!U82"")"),20)</f>
        <v>20</v>
      </c>
      <c r="J150" s="167">
        <v>0</v>
      </c>
      <c r="K150" s="47">
        <f ca="1">IF(I150&gt;0,J150*100/I150,0)</f>
        <v>0</v>
      </c>
      <c r="L150" s="546"/>
      <c r="M150" s="46"/>
      <c r="N150" s="46"/>
      <c r="O150" s="46"/>
      <c r="P150" s="46"/>
      <c r="Q150" s="46"/>
      <c r="R150" s="46"/>
      <c r="S150" s="46"/>
      <c r="T150" s="46"/>
      <c r="U150" s="46"/>
    </row>
    <row r="151" spans="1:21" ht="18.75" x14ac:dyDescent="0.25">
      <c r="A151" s="128"/>
      <c r="B151" s="41"/>
      <c r="C151" s="41"/>
      <c r="D151" s="145"/>
      <c r="E151" s="41"/>
      <c r="F151" s="41"/>
      <c r="G151" s="43"/>
      <c r="H151" s="137" t="s">
        <v>54</v>
      </c>
      <c r="I151" s="152">
        <f ca="1">IFERROR(__xludf.DUMMYFUNCTION("IMPORTRANGE(""https://docs.google.com/spreadsheets/d/1eHaY18a8A9IcSdp1K8H6x8fbOy06t2VsZHhMHf-1x7Y/edit?usp=sharing"",""แผน!V82"")"),2)</f>
        <v>2</v>
      </c>
      <c r="J151" s="167">
        <v>0</v>
      </c>
      <c r="K151" s="47">
        <f ca="1">IF(I151&gt;0,J151*100/I151,0)</f>
        <v>0</v>
      </c>
      <c r="L151" s="546"/>
      <c r="M151" s="46"/>
      <c r="N151" s="46"/>
      <c r="O151" s="46"/>
      <c r="P151" s="46"/>
      <c r="Q151" s="46"/>
      <c r="R151" s="46"/>
      <c r="S151" s="46"/>
      <c r="T151" s="46"/>
      <c r="U151" s="46"/>
    </row>
    <row r="152" spans="1:21" ht="19.5" x14ac:dyDescent="0.3">
      <c r="A152" s="128"/>
      <c r="B152" s="41"/>
      <c r="C152" s="41"/>
      <c r="D152" s="145"/>
      <c r="E152" s="129" t="s">
        <v>65</v>
      </c>
      <c r="F152" s="41"/>
      <c r="G152" s="43"/>
      <c r="H152" s="137" t="s">
        <v>35</v>
      </c>
      <c r="I152" s="152">
        <f ca="1">IFERROR(__xludf.DUMMYFUNCTION("IMPORTRANGE(""https://docs.google.com/spreadsheets/d/1eHaY18a8A9IcSdp1K8H6x8fbOy06t2VsZHhMHf-1x7Y/edit?usp=sharing"",""แผน!W82"")"),60)</f>
        <v>60</v>
      </c>
      <c r="J152" s="167">
        <v>0</v>
      </c>
      <c r="K152" s="47">
        <f ca="1">IF(I152&gt;0,J152*100/I152,0)</f>
        <v>0</v>
      </c>
      <c r="L152" s="546"/>
      <c r="M152" s="46"/>
      <c r="N152" s="46"/>
      <c r="O152" s="46"/>
      <c r="P152" s="46"/>
      <c r="Q152" s="46"/>
      <c r="R152" s="46"/>
      <c r="S152" s="46"/>
      <c r="T152" s="46"/>
      <c r="U152" s="46"/>
    </row>
    <row r="153" spans="1:21" ht="18.75" x14ac:dyDescent="0.25">
      <c r="A153" s="128"/>
      <c r="B153" s="41"/>
      <c r="C153" s="41"/>
      <c r="D153" s="41"/>
      <c r="E153" s="41"/>
      <c r="F153" s="41"/>
      <c r="G153" s="43"/>
      <c r="H153" s="137" t="s">
        <v>54</v>
      </c>
      <c r="I153" s="152">
        <f ca="1">IFERROR(__xludf.DUMMYFUNCTION("IMPORTRANGE(""https://docs.google.com/spreadsheets/d/1eHaY18a8A9IcSdp1K8H6x8fbOy06t2VsZHhMHf-1x7Y/edit?usp=sharing"",""แผน!X82"")"),6)</f>
        <v>6</v>
      </c>
      <c r="J153" s="167">
        <v>0</v>
      </c>
      <c r="K153" s="47">
        <f ca="1">IF(I153&gt;0,J153*100/I153,0)</f>
        <v>0</v>
      </c>
      <c r="L153" s="546"/>
      <c r="M153" s="46"/>
      <c r="N153" s="46"/>
      <c r="O153" s="46"/>
      <c r="P153" s="46"/>
      <c r="Q153" s="46"/>
      <c r="R153" s="46"/>
      <c r="S153" s="46"/>
      <c r="T153" s="46"/>
      <c r="U153" s="46"/>
    </row>
    <row r="154" spans="1:21" ht="18.75" x14ac:dyDescent="0.25">
      <c r="A154" s="128"/>
      <c r="B154" s="41"/>
      <c r="C154" s="41"/>
      <c r="D154" s="48" t="s">
        <v>66</v>
      </c>
      <c r="E154" s="41"/>
      <c r="F154" s="41"/>
      <c r="G154" s="43"/>
      <c r="H154" s="137" t="s">
        <v>61</v>
      </c>
      <c r="I154" s="152">
        <f ca="1">IFERROR(__xludf.DUMMYFUNCTION("IMPORTRANGE(""https://docs.google.com/spreadsheets/d/1eHaY18a8A9IcSdp1K8H6x8fbOy06t2VsZHhMHf-1x7Y/edit?usp=sharing"",""แผน!Y82"")"),2)</f>
        <v>2</v>
      </c>
      <c r="J154" s="167">
        <v>0</v>
      </c>
      <c r="K154" s="47">
        <f ca="1">IF(I154&gt;0,J154*100/I154,0)</f>
        <v>0</v>
      </c>
      <c r="L154" s="546"/>
      <c r="M154" s="46"/>
      <c r="N154" s="46"/>
      <c r="O154" s="46"/>
      <c r="P154" s="46"/>
      <c r="Q154" s="46"/>
      <c r="R154" s="46"/>
      <c r="S154" s="46"/>
      <c r="T154" s="46"/>
      <c r="U154" s="46"/>
    </row>
    <row r="155" spans="1:21" ht="19.5" hidden="1" x14ac:dyDescent="0.3">
      <c r="A155" s="118" t="s">
        <v>67</v>
      </c>
      <c r="B155" s="119"/>
      <c r="C155" s="179"/>
      <c r="D155" s="119"/>
      <c r="E155" s="119"/>
      <c r="F155" s="119"/>
      <c r="G155" s="119"/>
      <c r="H155" s="119"/>
      <c r="I155" s="180"/>
      <c r="J155" s="180"/>
      <c r="K155" s="181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</row>
    <row r="156" spans="1:21" ht="19.5" hidden="1" x14ac:dyDescent="0.3">
      <c r="A156" s="124"/>
      <c r="B156" s="29" t="s">
        <v>68</v>
      </c>
      <c r="C156" s="28"/>
      <c r="D156" s="28"/>
      <c r="E156" s="28"/>
      <c r="F156" s="28"/>
      <c r="G156" s="31"/>
      <c r="H156" s="184" t="s">
        <v>35</v>
      </c>
      <c r="I156" s="127">
        <f ca="1">I169</f>
        <v>0</v>
      </c>
      <c r="J156" s="127">
        <f>J169</f>
        <v>0</v>
      </c>
      <c r="K156" s="35">
        <f ca="1">IF(I156&gt;0,J156*100/I156,0)</f>
        <v>0</v>
      </c>
      <c r="L156" s="583"/>
      <c r="M156" s="34"/>
      <c r="N156" s="34"/>
      <c r="O156" s="34"/>
      <c r="P156" s="34"/>
      <c r="Q156" s="34"/>
      <c r="R156" s="34"/>
      <c r="S156" s="34"/>
      <c r="T156" s="34"/>
      <c r="U156" s="34"/>
    </row>
    <row r="157" spans="1:21" ht="19.5" hidden="1" x14ac:dyDescent="0.3">
      <c r="A157" s="128"/>
      <c r="B157" s="41"/>
      <c r="C157" s="129" t="s">
        <v>18</v>
      </c>
      <c r="D157" s="591" t="s">
        <v>19</v>
      </c>
      <c r="E157" s="41"/>
      <c r="F157" s="41"/>
      <c r="G157" s="43"/>
      <c r="H157" s="131" t="s">
        <v>14</v>
      </c>
      <c r="I157" s="45"/>
      <c r="J157" s="45"/>
      <c r="K157" s="46"/>
      <c r="L157" s="550">
        <f ca="1">L158+L159</f>
        <v>0</v>
      </c>
      <c r="M157" s="132">
        <f ca="1">M158+M159</f>
        <v>0</v>
      </c>
      <c r="N157" s="132">
        <f ca="1">N158+N159</f>
        <v>0</v>
      </c>
      <c r="O157" s="132">
        <f ca="1">IF(L157&gt;0,N157*100/L157,0)</f>
        <v>0</v>
      </c>
      <c r="P157" s="132">
        <f ca="1">IF(M157&gt;0,N157*100/M157,0)</f>
        <v>0</v>
      </c>
      <c r="Q157" s="132">
        <f ca="1">Q158+Q159</f>
        <v>0</v>
      </c>
      <c r="R157" s="132">
        <f ca="1">R158+R159</f>
        <v>0</v>
      </c>
      <c r="S157" s="132">
        <f ca="1">S158+S159</f>
        <v>0</v>
      </c>
      <c r="T157" s="132">
        <f ca="1">IF(Q157&gt;0,S157*100/Q157,0)</f>
        <v>0</v>
      </c>
      <c r="U157" s="132">
        <f ca="1">IF(R157&gt;0,S157*100/R157,0)</f>
        <v>0</v>
      </c>
    </row>
    <row r="158" spans="1:21" ht="18.75" hidden="1" x14ac:dyDescent="0.25">
      <c r="A158" s="128"/>
      <c r="B158" s="41"/>
      <c r="C158" s="41"/>
      <c r="D158" s="41"/>
      <c r="E158" s="157" t="s">
        <v>20</v>
      </c>
      <c r="F158" s="41"/>
      <c r="G158" s="43"/>
      <c r="H158" s="158" t="s">
        <v>14</v>
      </c>
      <c r="I158" s="45"/>
      <c r="J158" s="45"/>
      <c r="K158" s="46"/>
      <c r="L158" s="549">
        <f>L161+L164</f>
        <v>0</v>
      </c>
      <c r="M158" s="49">
        <f>M161+M164</f>
        <v>0</v>
      </c>
      <c r="N158" s="49">
        <f>N161+N164</f>
        <v>0</v>
      </c>
      <c r="O158" s="49">
        <f>IF(L158&gt;0,N158*100/L158,0)</f>
        <v>0</v>
      </c>
      <c r="P158" s="49">
        <f>IF(M158&gt;0,N158*100/M158,0)</f>
        <v>0</v>
      </c>
      <c r="Q158" s="49">
        <f>Q161+Q164</f>
        <v>0</v>
      </c>
      <c r="R158" s="49">
        <f>R161+R164</f>
        <v>0</v>
      </c>
      <c r="S158" s="49">
        <f>S161+S164</f>
        <v>0</v>
      </c>
      <c r="T158" s="49">
        <f>IF(Q158&gt;0,S158*100/Q158,0)</f>
        <v>0</v>
      </c>
      <c r="U158" s="49">
        <f>IF(R158&gt;0,S158*100/R158,0)</f>
        <v>0</v>
      </c>
    </row>
    <row r="159" spans="1:21" ht="18.75" hidden="1" x14ac:dyDescent="0.25">
      <c r="A159" s="128"/>
      <c r="B159" s="41"/>
      <c r="C159" s="41"/>
      <c r="D159" s="41"/>
      <c r="E159" s="48" t="s">
        <v>21</v>
      </c>
      <c r="F159" s="41"/>
      <c r="G159" s="43"/>
      <c r="H159" s="133" t="s">
        <v>14</v>
      </c>
      <c r="I159" s="45"/>
      <c r="J159" s="45"/>
      <c r="K159" s="46"/>
      <c r="L159" s="548">
        <f ca="1">L162+L165</f>
        <v>0</v>
      </c>
      <c r="M159" s="47">
        <f ca="1">M162+M165</f>
        <v>0</v>
      </c>
      <c r="N159" s="47">
        <f ca="1">N162+N165</f>
        <v>0</v>
      </c>
      <c r="O159" s="47">
        <f ca="1">IF(L159&gt;0,N159*100/L159,0)</f>
        <v>0</v>
      </c>
      <c r="P159" s="47">
        <f ca="1">IF(M159&gt;0,N159*100/M159,0)</f>
        <v>0</v>
      </c>
      <c r="Q159" s="47">
        <f ca="1">Q162+Q165</f>
        <v>0</v>
      </c>
      <c r="R159" s="47">
        <f ca="1">R162+R165</f>
        <v>0</v>
      </c>
      <c r="S159" s="47">
        <f ca="1">S162+S165</f>
        <v>0</v>
      </c>
      <c r="T159" s="47">
        <f ca="1">IF(Q159&gt;0,S159*100/Q159,0)</f>
        <v>0</v>
      </c>
      <c r="U159" s="47">
        <f ca="1">IF(R159&gt;0,S159*100/R159,0)</f>
        <v>0</v>
      </c>
    </row>
    <row r="160" spans="1:21" ht="18.75" hidden="1" x14ac:dyDescent="0.25">
      <c r="A160" s="128"/>
      <c r="B160" s="41"/>
      <c r="C160" s="41"/>
      <c r="D160" s="42" t="s">
        <v>22</v>
      </c>
      <c r="E160" s="41"/>
      <c r="F160" s="41"/>
      <c r="G160" s="43"/>
      <c r="H160" s="134" t="s">
        <v>14</v>
      </c>
      <c r="I160" s="135"/>
      <c r="J160" s="135"/>
      <c r="K160" s="136"/>
      <c r="L160" s="548">
        <f ca="1">L161+L162</f>
        <v>0</v>
      </c>
      <c r="M160" s="47">
        <f ca="1">M161+M162</f>
        <v>0</v>
      </c>
      <c r="N160" s="47">
        <f ca="1">N161+N162</f>
        <v>0</v>
      </c>
      <c r="O160" s="47">
        <f ca="1">IF(L160&gt;0,N160*100/L160,0)</f>
        <v>0</v>
      </c>
      <c r="P160" s="47">
        <f ca="1">IF(M160&gt;0,N160*100/M160,0)</f>
        <v>0</v>
      </c>
      <c r="Q160" s="47">
        <f ca="1">Q161+Q162</f>
        <v>0</v>
      </c>
      <c r="R160" s="47">
        <f ca="1">R161+R162</f>
        <v>0</v>
      </c>
      <c r="S160" s="47">
        <f ca="1">S161+S162</f>
        <v>0</v>
      </c>
      <c r="T160" s="47">
        <f ca="1">IF(Q160&gt;0,S160*100/Q160,0)</f>
        <v>0</v>
      </c>
      <c r="U160" s="47">
        <f ca="1">IF(R160&gt;0,S160*100/R160,0)</f>
        <v>0</v>
      </c>
    </row>
    <row r="161" spans="1:21" ht="18.75" hidden="1" x14ac:dyDescent="0.25">
      <c r="A161" s="128"/>
      <c r="B161" s="41"/>
      <c r="C161" s="41"/>
      <c r="D161" s="41"/>
      <c r="E161" s="157" t="s">
        <v>36</v>
      </c>
      <c r="F161" s="41"/>
      <c r="G161" s="43"/>
      <c r="H161" s="160" t="s">
        <v>14</v>
      </c>
      <c r="I161" s="135"/>
      <c r="J161" s="135"/>
      <c r="K161" s="136"/>
      <c r="L161" s="549">
        <v>0</v>
      </c>
      <c r="M161" s="49">
        <v>0</v>
      </c>
      <c r="N161" s="49">
        <v>0</v>
      </c>
      <c r="O161" s="49">
        <f>IF(L161&gt;0,N161*100/L161,0)</f>
        <v>0</v>
      </c>
      <c r="P161" s="49">
        <f>IF(M161&gt;0,N161*100/M161,0)</f>
        <v>0</v>
      </c>
      <c r="Q161" s="49">
        <v>0</v>
      </c>
      <c r="R161" s="49">
        <v>0</v>
      </c>
      <c r="S161" s="49">
        <v>0</v>
      </c>
      <c r="T161" s="49">
        <f>IF(Q161&gt;0,S161*100/Q161,0)</f>
        <v>0</v>
      </c>
      <c r="U161" s="49">
        <f>IF(R161&gt;0,S161*100/R161,0)</f>
        <v>0</v>
      </c>
    </row>
    <row r="162" spans="1:21" ht="18.75" hidden="1" x14ac:dyDescent="0.25">
      <c r="A162" s="128"/>
      <c r="B162" s="41"/>
      <c r="C162" s="41"/>
      <c r="D162" s="41"/>
      <c r="E162" s="48" t="s">
        <v>37</v>
      </c>
      <c r="F162" s="41"/>
      <c r="G162" s="43"/>
      <c r="H162" s="134" t="s">
        <v>14</v>
      </c>
      <c r="I162" s="135"/>
      <c r="J162" s="135"/>
      <c r="K162" s="136"/>
      <c r="L162" s="548">
        <f ca="1">IFERROR(__xludf.DUMMYFUNCTION("IMPORTRANGE(""https://docs.google.com/spreadsheets/d/1-uDff_7J0KD5mKrp0Vvzr7lt3OU09vwQwhkpOPPYv2Y/edit?usp=sharing"",""งบพรบ!CA82"")"),0)</f>
        <v>0</v>
      </c>
      <c r="M162" s="47">
        <f ca="1">IFERROR(__xludf.DUMMYFUNCTION("IMPORTRANGE(""https://docs.google.com/spreadsheets/d/1-uDff_7J0KD5mKrp0Vvzr7lt3OU09vwQwhkpOPPYv2Y/edit?usp=sharing"",""งบพรบ!CF82"")"),0)</f>
        <v>0</v>
      </c>
      <c r="N162" s="47">
        <f ca="1">IFERROR(__xludf.DUMMYFUNCTION("IMPORTRANGE(""https://docs.google.com/spreadsheets/d/1-uDff_7J0KD5mKrp0Vvzr7lt3OU09vwQwhkpOPPYv2Y/edit?usp=sharing"",""งบพรบ!CH82"")"),0)</f>
        <v>0</v>
      </c>
      <c r="O162" s="47">
        <f ca="1">IF(L162&gt;0,N162*100/L162,0)</f>
        <v>0</v>
      </c>
      <c r="P162" s="47">
        <f ca="1">IF(M162&gt;0,N162*100/M162,0)</f>
        <v>0</v>
      </c>
      <c r="Q162" s="47">
        <f ca="1">IFERROR(__xludf.DUMMYFUNCTION("IMPORTRANGE(""https://docs.google.com/spreadsheets/d/1ItG2mGa2ceCfYo0BwxsXqNm01IGEUdYcSSLTEv9YCik/edit?usp=sharing"",""เบิกจ่ายกองทุน!AM82"")"),0)</f>
        <v>0</v>
      </c>
      <c r="R162" s="47">
        <f ca="1">IFERROR(__xludf.DUMMYFUNCTION("IMPORTRANGE(""https://docs.google.com/spreadsheets/d/1ItG2mGa2ceCfYo0BwxsXqNm01IGEUdYcSSLTEv9YCik/edit?usp=sharing"",""เบิกจ่ายกองทุน!AN82"")"),0)</f>
        <v>0</v>
      </c>
      <c r="S162" s="47">
        <f ca="1">IFERROR(__xludf.DUMMYFUNCTION("IMPORTRANGE(""https://docs.google.com/spreadsheets/d/1ItG2mGa2ceCfYo0BwxsXqNm01IGEUdYcSSLTEv9YCik/edit?usp=sharing"",""เบิกจ่ายกองทุน!AO82"")"),0)</f>
        <v>0</v>
      </c>
      <c r="T162" s="47">
        <f ca="1">IF(Q162&gt;0,S162*100/Q162,0)</f>
        <v>0</v>
      </c>
      <c r="U162" s="47">
        <f ca="1">IF(R162&gt;0,S162*100/R162,0)</f>
        <v>0</v>
      </c>
    </row>
    <row r="163" spans="1:21" ht="18.75" hidden="1" x14ac:dyDescent="0.25">
      <c r="A163" s="128"/>
      <c r="B163" s="41"/>
      <c r="C163" s="41"/>
      <c r="D163" s="42" t="s">
        <v>23</v>
      </c>
      <c r="E163" s="41"/>
      <c r="F163" s="41"/>
      <c r="G163" s="43"/>
      <c r="H163" s="137" t="s">
        <v>14</v>
      </c>
      <c r="I163" s="135"/>
      <c r="J163" s="135"/>
      <c r="K163" s="136"/>
      <c r="L163" s="548">
        <f ca="1">L164+L165</f>
        <v>0</v>
      </c>
      <c r="M163" s="47">
        <f ca="1">M164+M165</f>
        <v>0</v>
      </c>
      <c r="N163" s="47">
        <f ca="1">N164+N165</f>
        <v>0</v>
      </c>
      <c r="O163" s="47">
        <f ca="1">IF(L163&gt;0,N163*100/L163,0)</f>
        <v>0</v>
      </c>
      <c r="P163" s="47">
        <f ca="1">IF(M163&gt;0,N163*100/M163,0)</f>
        <v>0</v>
      </c>
      <c r="Q163" s="47">
        <f>Q164+Q165</f>
        <v>0</v>
      </c>
      <c r="R163" s="47">
        <f>R164+R165</f>
        <v>0</v>
      </c>
      <c r="S163" s="47">
        <f>S164+S165</f>
        <v>0</v>
      </c>
      <c r="T163" s="47">
        <f>IF(Q163&gt;0,S163*100/Q163,0)</f>
        <v>0</v>
      </c>
      <c r="U163" s="47">
        <f>IF(R163&gt;0,S163*100/R163,0)</f>
        <v>0</v>
      </c>
    </row>
    <row r="164" spans="1:21" ht="18.75" hidden="1" x14ac:dyDescent="0.25">
      <c r="A164" s="128"/>
      <c r="B164" s="41"/>
      <c r="C164" s="41"/>
      <c r="D164" s="41"/>
      <c r="E164" s="157" t="s">
        <v>20</v>
      </c>
      <c r="F164" s="41"/>
      <c r="G164" s="43"/>
      <c r="H164" s="160" t="s">
        <v>14</v>
      </c>
      <c r="I164" s="135"/>
      <c r="J164" s="135"/>
      <c r="K164" s="136"/>
      <c r="L164" s="549">
        <v>0</v>
      </c>
      <c r="M164" s="49">
        <v>0</v>
      </c>
      <c r="N164" s="49">
        <v>0</v>
      </c>
      <c r="O164" s="49">
        <f>IF(L164&gt;0,N164*100/L164,0)</f>
        <v>0</v>
      </c>
      <c r="P164" s="49">
        <f>IF(M164&gt;0,N164*100/M164,0)</f>
        <v>0</v>
      </c>
      <c r="Q164" s="49">
        <v>0</v>
      </c>
      <c r="R164" s="49">
        <v>0</v>
      </c>
      <c r="S164" s="49">
        <v>0</v>
      </c>
      <c r="T164" s="49">
        <f>IF(Q164&gt;0,S164*100/Q164,0)</f>
        <v>0</v>
      </c>
      <c r="U164" s="49">
        <f>IF(R164&gt;0,S164*100/R164,0)</f>
        <v>0</v>
      </c>
    </row>
    <row r="165" spans="1:21" ht="18.75" hidden="1" x14ac:dyDescent="0.25">
      <c r="A165" s="128"/>
      <c r="B165" s="41"/>
      <c r="C165" s="41"/>
      <c r="D165" s="41"/>
      <c r="E165" s="48" t="s">
        <v>21</v>
      </c>
      <c r="F165" s="41"/>
      <c r="G165" s="43"/>
      <c r="H165" s="137" t="s">
        <v>14</v>
      </c>
      <c r="I165" s="135"/>
      <c r="J165" s="135"/>
      <c r="K165" s="136"/>
      <c r="L165" s="548">
        <f ca="1">IFERROR(__xludf.DUMMYFUNCTION("IMPORTRANGE(""https://docs.google.com/spreadsheets/d/1-uDff_7J0KD5mKrp0Vvzr7lt3OU09vwQwhkpOPPYv2Y/edit?usp=sharing"",""งบพรบ!CD82"")"),0)</f>
        <v>0</v>
      </c>
      <c r="M165" s="47">
        <f ca="1">IFERROR(__xludf.DUMMYFUNCTION("IMPORTRANGE(""https://docs.google.com/spreadsheets/d/1-uDff_7J0KD5mKrp0Vvzr7lt3OU09vwQwhkpOPPYv2Y/edit?usp=sharing"",""งบพรบ!CG82"")"),0)</f>
        <v>0</v>
      </c>
      <c r="N165" s="47">
        <f ca="1">IFERROR(__xludf.DUMMYFUNCTION("IMPORTRANGE(""https://docs.google.com/spreadsheets/d/1-uDff_7J0KD5mKrp0Vvzr7lt3OU09vwQwhkpOPPYv2Y/edit?usp=sharing"",""งบพรบ!CI82"")"),0)</f>
        <v>0</v>
      </c>
      <c r="O165" s="47">
        <f ca="1">IF(L165&gt;0,N165*100/L165,0)</f>
        <v>0</v>
      </c>
      <c r="P165" s="47">
        <f ca="1">IF(M165&gt;0,N165*100/M165,0)</f>
        <v>0</v>
      </c>
      <c r="Q165" s="47">
        <v>0</v>
      </c>
      <c r="R165" s="47">
        <v>0</v>
      </c>
      <c r="S165" s="47">
        <v>0</v>
      </c>
      <c r="T165" s="47">
        <f>IF(Q165&gt;0,S165*100/Q165,0)</f>
        <v>0</v>
      </c>
      <c r="U165" s="47">
        <f>IF(R165&gt;0,S165*100/R165,0)</f>
        <v>0</v>
      </c>
    </row>
    <row r="166" spans="1:21" ht="19.5" hidden="1" x14ac:dyDescent="0.3">
      <c r="A166" s="138"/>
      <c r="B166" s="139"/>
      <c r="C166" s="129" t="s">
        <v>18</v>
      </c>
      <c r="D166" s="563" t="s">
        <v>38</v>
      </c>
      <c r="E166" s="141"/>
      <c r="F166" s="141"/>
      <c r="G166" s="142"/>
      <c r="H166" s="189"/>
      <c r="I166" s="45"/>
      <c r="J166" s="45"/>
      <c r="K166" s="46"/>
      <c r="L166" s="546"/>
      <c r="M166" s="46"/>
      <c r="N166" s="46"/>
      <c r="O166" s="46"/>
      <c r="P166" s="46"/>
      <c r="Q166" s="46"/>
      <c r="R166" s="46"/>
      <c r="S166" s="46"/>
      <c r="T166" s="46"/>
      <c r="U166" s="46"/>
    </row>
    <row r="167" spans="1:21" ht="18.75" hidden="1" x14ac:dyDescent="0.25">
      <c r="A167" s="128"/>
      <c r="B167" s="41"/>
      <c r="C167" s="41"/>
      <c r="D167" s="48" t="s">
        <v>69</v>
      </c>
      <c r="E167" s="41"/>
      <c r="F167" s="41"/>
      <c r="G167" s="43"/>
      <c r="H167" s="137" t="s">
        <v>35</v>
      </c>
      <c r="I167" s="152">
        <f ca="1">IFERROR(__xludf.DUMMYFUNCTION("IMPORTRANGE(""https://docs.google.com/spreadsheets/d/1eHaY18a8A9IcSdp1K8H6x8fbOy06t2VsZHhMHf-1x7Y/edit?usp=sharing"",""แผน!Z82"")"),0)</f>
        <v>0</v>
      </c>
      <c r="J167" s="167">
        <v>0</v>
      </c>
      <c r="K167" s="47">
        <f ca="1">IF(I167&gt;0,J167*100/I167,0)</f>
        <v>0</v>
      </c>
      <c r="L167" s="546"/>
      <c r="M167" s="46"/>
      <c r="N167" s="46"/>
      <c r="O167" s="46"/>
      <c r="P167" s="46"/>
      <c r="Q167" s="46"/>
      <c r="R167" s="46"/>
      <c r="S167" s="46"/>
      <c r="T167" s="46"/>
      <c r="U167" s="46"/>
    </row>
    <row r="168" spans="1:21" ht="18.75" hidden="1" x14ac:dyDescent="0.25">
      <c r="A168" s="128"/>
      <c r="B168" s="41"/>
      <c r="C168" s="41"/>
      <c r="D168" s="157" t="s">
        <v>70</v>
      </c>
      <c r="E168" s="41"/>
      <c r="F168" s="41"/>
      <c r="G168" s="43"/>
      <c r="H168" s="493" t="s">
        <v>35</v>
      </c>
      <c r="I168" s="495">
        <f ca="1">IFERROR(__xludf.DUMMYFUNCTION("IMPORTRANGE(""https://docs.google.com/spreadsheets/d/1eHaY18a8A9IcSdp1K8H6x8fbOy06t2VsZHhMHf-1x7Y/edit?usp=sharing"",""แผน!Z82"")"),0)</f>
        <v>0</v>
      </c>
      <c r="J168" s="737">
        <v>0</v>
      </c>
      <c r="K168" s="49">
        <f ca="1">IF(I168&gt;0,J168*100/I168,0)</f>
        <v>0</v>
      </c>
      <c r="L168" s="546"/>
      <c r="M168" s="46"/>
      <c r="N168" s="46"/>
      <c r="O168" s="46"/>
      <c r="P168" s="46"/>
      <c r="Q168" s="46"/>
      <c r="R168" s="46"/>
      <c r="S168" s="46"/>
      <c r="T168" s="46"/>
      <c r="U168" s="46"/>
    </row>
    <row r="169" spans="1:21" ht="18.75" hidden="1" x14ac:dyDescent="0.25">
      <c r="A169" s="195"/>
      <c r="B169" s="1"/>
      <c r="C169" s="1"/>
      <c r="D169" s="496" t="s">
        <v>71</v>
      </c>
      <c r="E169" s="1"/>
      <c r="F169" s="1"/>
      <c r="G169" s="53"/>
      <c r="H169" s="774" t="s">
        <v>35</v>
      </c>
      <c r="I169" s="498">
        <f ca="1">IFERROR(__xludf.DUMMYFUNCTION("IMPORTRANGE(""https://docs.google.com/spreadsheets/d/1eHaY18a8A9IcSdp1K8H6x8fbOy06t2VsZHhMHf-1x7Y/edit?usp=sharing"",""แผน!Z82"")"),0)</f>
        <v>0</v>
      </c>
      <c r="J169" s="773">
        <v>0</v>
      </c>
      <c r="K169" s="772">
        <f ca="1">IF(I169&gt;0,J169*100/I169,0)</f>
        <v>0</v>
      </c>
      <c r="L169" s="545"/>
      <c r="M169" s="4"/>
      <c r="N169" s="4"/>
      <c r="O169" s="4"/>
      <c r="P169" s="4"/>
      <c r="Q169" s="4"/>
      <c r="R169" s="4"/>
      <c r="S169" s="4"/>
      <c r="T169" s="4"/>
      <c r="U169" s="4"/>
    </row>
    <row r="170" spans="1:21" ht="19.5" x14ac:dyDescent="0.3">
      <c r="A170" s="198" t="s">
        <v>72</v>
      </c>
      <c r="B170" s="199"/>
      <c r="C170" s="199"/>
      <c r="D170" s="199"/>
      <c r="E170" s="200"/>
      <c r="F170" s="200"/>
      <c r="G170" s="200"/>
      <c r="H170" s="200"/>
      <c r="I170" s="201"/>
      <c r="J170" s="201"/>
      <c r="K170" s="202"/>
      <c r="L170" s="202"/>
      <c r="M170" s="202"/>
      <c r="N170" s="202"/>
      <c r="O170" s="202"/>
      <c r="P170" s="203"/>
      <c r="Q170" s="202"/>
      <c r="R170" s="202"/>
      <c r="S170" s="202"/>
      <c r="T170" s="202"/>
      <c r="U170" s="203"/>
    </row>
    <row r="171" spans="1:21" ht="19.5" hidden="1" x14ac:dyDescent="0.3">
      <c r="A171" s="204" t="s">
        <v>73</v>
      </c>
      <c r="B171" s="205"/>
      <c r="C171" s="205"/>
      <c r="D171" s="206"/>
      <c r="E171" s="206"/>
      <c r="F171" s="206"/>
      <c r="G171" s="206"/>
      <c r="H171" s="207"/>
      <c r="I171" s="208"/>
      <c r="J171" s="208"/>
      <c r="K171" s="209"/>
      <c r="L171" s="771"/>
      <c r="M171" s="209"/>
      <c r="N171" s="209"/>
      <c r="O171" s="209"/>
      <c r="P171" s="209"/>
      <c r="Q171" s="209"/>
      <c r="R171" s="209"/>
      <c r="S171" s="209"/>
      <c r="T171" s="209"/>
      <c r="U171" s="209"/>
    </row>
    <row r="172" spans="1:21" ht="19.5" hidden="1" x14ac:dyDescent="0.3">
      <c r="A172" s="210"/>
      <c r="B172" s="211" t="s">
        <v>74</v>
      </c>
      <c r="C172" s="212"/>
      <c r="D172" s="141"/>
      <c r="E172" s="141"/>
      <c r="F172" s="141"/>
      <c r="G172" s="142"/>
      <c r="H172" s="213" t="s">
        <v>35</v>
      </c>
      <c r="I172" s="214">
        <f ca="1">I183+I184</f>
        <v>0</v>
      </c>
      <c r="J172" s="214">
        <f>J183+J184</f>
        <v>0</v>
      </c>
      <c r="K172" s="215">
        <f ca="1">IF(I172&gt;0,J172*100/I172,0)</f>
        <v>0</v>
      </c>
      <c r="L172" s="769"/>
      <c r="M172" s="216"/>
      <c r="N172" s="216"/>
      <c r="O172" s="216"/>
      <c r="P172" s="216"/>
      <c r="Q172" s="216"/>
      <c r="R172" s="216"/>
      <c r="S172" s="216"/>
      <c r="T172" s="216"/>
      <c r="U172" s="216"/>
    </row>
    <row r="173" spans="1:21" ht="19.5" hidden="1" x14ac:dyDescent="0.3">
      <c r="A173" s="128"/>
      <c r="B173" s="41"/>
      <c r="C173" s="129" t="s">
        <v>18</v>
      </c>
      <c r="D173" s="591" t="s">
        <v>19</v>
      </c>
      <c r="E173" s="41"/>
      <c r="F173" s="41"/>
      <c r="G173" s="43"/>
      <c r="H173" s="131" t="s">
        <v>14</v>
      </c>
      <c r="I173" s="45"/>
      <c r="J173" s="45"/>
      <c r="K173" s="46"/>
      <c r="L173" s="550">
        <f ca="1">L174+L175</f>
        <v>0</v>
      </c>
      <c r="M173" s="132">
        <f ca="1">M174+M175</f>
        <v>0</v>
      </c>
      <c r="N173" s="132">
        <f ca="1">N174+N175</f>
        <v>0</v>
      </c>
      <c r="O173" s="132">
        <f ca="1">IF(L173&gt;0,N173*100/L173,0)</f>
        <v>0</v>
      </c>
      <c r="P173" s="132">
        <f ca="1">IF(M173&gt;0,N173*100/M173,0)</f>
        <v>0</v>
      </c>
      <c r="Q173" s="132">
        <f ca="1">Q174+Q175</f>
        <v>0</v>
      </c>
      <c r="R173" s="132">
        <f ca="1">R174+R175</f>
        <v>0</v>
      </c>
      <c r="S173" s="132">
        <f ca="1">S174+S175</f>
        <v>0</v>
      </c>
      <c r="T173" s="132">
        <f ca="1">IF(Q173&gt;0,S173*100/Q173,0)</f>
        <v>0</v>
      </c>
      <c r="U173" s="132">
        <f ca="1">IF(R173&gt;0,S173*100/R173,0)</f>
        <v>0</v>
      </c>
    </row>
    <row r="174" spans="1:21" ht="18.75" hidden="1" x14ac:dyDescent="0.25">
      <c r="A174" s="128"/>
      <c r="B174" s="41"/>
      <c r="C174" s="41"/>
      <c r="D174" s="41"/>
      <c r="E174" s="157" t="s">
        <v>20</v>
      </c>
      <c r="F174" s="41"/>
      <c r="G174" s="43"/>
      <c r="H174" s="158" t="s">
        <v>14</v>
      </c>
      <c r="I174" s="45"/>
      <c r="J174" s="45"/>
      <c r="K174" s="46"/>
      <c r="L174" s="549">
        <f>L177+L180</f>
        <v>0</v>
      </c>
      <c r="M174" s="49">
        <f>M177+M180</f>
        <v>0</v>
      </c>
      <c r="N174" s="49">
        <f>N177+N180</f>
        <v>0</v>
      </c>
      <c r="O174" s="49">
        <f>IF(L174&gt;0,N174*100/L174,0)</f>
        <v>0</v>
      </c>
      <c r="P174" s="49">
        <f>IF(M174&gt;0,N174*100/M174,0)</f>
        <v>0</v>
      </c>
      <c r="Q174" s="49">
        <f>Q177+Q180</f>
        <v>0</v>
      </c>
      <c r="R174" s="49">
        <f>R177+R180</f>
        <v>0</v>
      </c>
      <c r="S174" s="49">
        <f>S177+S180</f>
        <v>0</v>
      </c>
      <c r="T174" s="49">
        <f>IF(Q174&gt;0,S174*100/Q174,0)</f>
        <v>0</v>
      </c>
      <c r="U174" s="49">
        <f>IF(R174&gt;0,S174*100/R174,0)</f>
        <v>0</v>
      </c>
    </row>
    <row r="175" spans="1:21" ht="18.75" hidden="1" x14ac:dyDescent="0.25">
      <c r="A175" s="128"/>
      <c r="B175" s="41"/>
      <c r="C175" s="41"/>
      <c r="D175" s="41"/>
      <c r="E175" s="48" t="s">
        <v>21</v>
      </c>
      <c r="F175" s="41"/>
      <c r="G175" s="43"/>
      <c r="H175" s="133" t="s">
        <v>14</v>
      </c>
      <c r="I175" s="45"/>
      <c r="J175" s="45"/>
      <c r="K175" s="46"/>
      <c r="L175" s="548">
        <f ca="1">L178+L181</f>
        <v>0</v>
      </c>
      <c r="M175" s="47">
        <f ca="1">M178+M181</f>
        <v>0</v>
      </c>
      <c r="N175" s="47">
        <f ca="1">N178+N181</f>
        <v>0</v>
      </c>
      <c r="O175" s="47">
        <f ca="1">IF(L175&gt;0,N175*100/L175,0)</f>
        <v>0</v>
      </c>
      <c r="P175" s="47">
        <f ca="1">IF(M175&gt;0,N175*100/M175,0)</f>
        <v>0</v>
      </c>
      <c r="Q175" s="47">
        <f ca="1">Q178+Q181</f>
        <v>0</v>
      </c>
      <c r="R175" s="47">
        <f ca="1">R178+R181</f>
        <v>0</v>
      </c>
      <c r="S175" s="47">
        <f ca="1">S178+S181</f>
        <v>0</v>
      </c>
      <c r="T175" s="47">
        <f ca="1">IF(Q175&gt;0,S175*100/Q175,0)</f>
        <v>0</v>
      </c>
      <c r="U175" s="47">
        <f ca="1">IF(R175&gt;0,S175*100/R175,0)</f>
        <v>0</v>
      </c>
    </row>
    <row r="176" spans="1:21" ht="18.75" hidden="1" x14ac:dyDescent="0.25">
      <c r="A176" s="128"/>
      <c r="B176" s="41"/>
      <c r="C176" s="41"/>
      <c r="D176" s="42" t="s">
        <v>22</v>
      </c>
      <c r="E176" s="41"/>
      <c r="F176" s="41"/>
      <c r="G176" s="43"/>
      <c r="H176" s="134" t="s">
        <v>14</v>
      </c>
      <c r="I176" s="135"/>
      <c r="J176" s="135"/>
      <c r="K176" s="136"/>
      <c r="L176" s="548">
        <f ca="1">L177+L178</f>
        <v>0</v>
      </c>
      <c r="M176" s="47">
        <f ca="1">M177+M178</f>
        <v>0</v>
      </c>
      <c r="N176" s="47">
        <f ca="1">N177+N178</f>
        <v>0</v>
      </c>
      <c r="O176" s="47">
        <f ca="1">IF(L176&gt;0,N176*100/L176,0)</f>
        <v>0</v>
      </c>
      <c r="P176" s="47">
        <f ca="1">IF(M176&gt;0,N176*100/M176,0)</f>
        <v>0</v>
      </c>
      <c r="Q176" s="47">
        <f ca="1">Q177+Q178</f>
        <v>0</v>
      </c>
      <c r="R176" s="47">
        <f ca="1">R177+R178</f>
        <v>0</v>
      </c>
      <c r="S176" s="47">
        <f ca="1">S177+S178</f>
        <v>0</v>
      </c>
      <c r="T176" s="47">
        <f ca="1">IF(Q176&gt;0,S176*100/Q176,0)</f>
        <v>0</v>
      </c>
      <c r="U176" s="47">
        <f ca="1">IF(R176&gt;0,S176*100/R176,0)</f>
        <v>0</v>
      </c>
    </row>
    <row r="177" spans="1:21" ht="18.75" hidden="1" x14ac:dyDescent="0.25">
      <c r="A177" s="128"/>
      <c r="B177" s="41"/>
      <c r="C177" s="41"/>
      <c r="D177" s="41"/>
      <c r="E177" s="157" t="s">
        <v>36</v>
      </c>
      <c r="F177" s="41"/>
      <c r="G177" s="43"/>
      <c r="H177" s="160" t="s">
        <v>14</v>
      </c>
      <c r="I177" s="135"/>
      <c r="J177" s="135"/>
      <c r="K177" s="136"/>
      <c r="L177" s="549">
        <v>0</v>
      </c>
      <c r="M177" s="49">
        <v>0</v>
      </c>
      <c r="N177" s="49">
        <v>0</v>
      </c>
      <c r="O177" s="49">
        <f>IF(L177&gt;0,N177*100/L177,0)</f>
        <v>0</v>
      </c>
      <c r="P177" s="49">
        <f>IF(M177&gt;0,N177*100/M177,0)</f>
        <v>0</v>
      </c>
      <c r="Q177" s="49">
        <v>0</v>
      </c>
      <c r="R177" s="49">
        <v>0</v>
      </c>
      <c r="S177" s="49">
        <v>0</v>
      </c>
      <c r="T177" s="49">
        <f>IF(Q177&gt;0,S177*100/Q177,0)</f>
        <v>0</v>
      </c>
      <c r="U177" s="49">
        <f>IF(R177&gt;0,S177*100/R177,0)</f>
        <v>0</v>
      </c>
    </row>
    <row r="178" spans="1:21" ht="18.75" hidden="1" x14ac:dyDescent="0.25">
      <c r="A178" s="128"/>
      <c r="B178" s="41"/>
      <c r="C178" s="41"/>
      <c r="D178" s="41"/>
      <c r="E178" s="48" t="s">
        <v>37</v>
      </c>
      <c r="F178" s="41"/>
      <c r="G178" s="43"/>
      <c r="H178" s="134" t="s">
        <v>14</v>
      </c>
      <c r="I178" s="135"/>
      <c r="J178" s="135"/>
      <c r="K178" s="136"/>
      <c r="L178" s="548">
        <f ca="1">IFERROR(__xludf.DUMMYFUNCTION("IMPORTRANGE(""https://docs.google.com/spreadsheets/d/1-uDff_7J0KD5mKrp0Vvzr7lt3OU09vwQwhkpOPPYv2Y/edit?usp=sharing"",""งบพรบ!CK82"")"),0)</f>
        <v>0</v>
      </c>
      <c r="M178" s="47">
        <f ca="1">IFERROR(__xludf.DUMMYFUNCTION("IMPORTRANGE(""https://docs.google.com/spreadsheets/d/1-uDff_7J0KD5mKrp0Vvzr7lt3OU09vwQwhkpOPPYv2Y/edit?usp=sharing"",""งบพรบ!CP82"")"),0)</f>
        <v>0</v>
      </c>
      <c r="N178" s="47">
        <f ca="1">IFERROR(__xludf.DUMMYFUNCTION("IMPORTRANGE(""https://docs.google.com/spreadsheets/d/1-uDff_7J0KD5mKrp0Vvzr7lt3OU09vwQwhkpOPPYv2Y/edit?usp=sharing"",""งบพรบ!CR82"")"),0)</f>
        <v>0</v>
      </c>
      <c r="O178" s="47">
        <f ca="1">IF(L178&gt;0,N178*100/L178,0)</f>
        <v>0</v>
      </c>
      <c r="P178" s="47">
        <f ca="1">IF(M178&gt;0,N178*100/M178,0)</f>
        <v>0</v>
      </c>
      <c r="Q178" s="47">
        <f ca="1">IFERROR(__xludf.DUMMYFUNCTION("IMPORTRANGE(""https://docs.google.com/spreadsheets/d/1ItG2mGa2ceCfYo0BwxsXqNm01IGEUdYcSSLTEv9YCik/edit?usp=sharing"",""เบิกจ่ายกองทุน!DG82"")"),0)</f>
        <v>0</v>
      </c>
      <c r="R178" s="47">
        <f ca="1">IFERROR(__xludf.DUMMYFUNCTION("IMPORTRANGE(""https://docs.google.com/spreadsheets/d/1ItG2mGa2ceCfYo0BwxsXqNm01IGEUdYcSSLTEv9YCik/edit?usp=sharing"",""เบิกจ่ายกองทุน!DH82"")"),0)</f>
        <v>0</v>
      </c>
      <c r="S178" s="47">
        <f ca="1">IFERROR(__xludf.DUMMYFUNCTION("IMPORTRANGE(""https://docs.google.com/spreadsheets/d/1ItG2mGa2ceCfYo0BwxsXqNm01IGEUdYcSSLTEv9YCik/edit?usp=sharing"",""เบิกจ่ายกองทุน!DI82"")"),0)</f>
        <v>0</v>
      </c>
      <c r="T178" s="47">
        <f ca="1">IF(Q178&gt;0,S178*100/Q178,0)</f>
        <v>0</v>
      </c>
      <c r="U178" s="47">
        <f ca="1">IF(R178&gt;0,S178*100/R178,0)</f>
        <v>0</v>
      </c>
    </row>
    <row r="179" spans="1:21" ht="18.75" hidden="1" x14ac:dyDescent="0.25">
      <c r="A179" s="128"/>
      <c r="B179" s="41"/>
      <c r="C179" s="41"/>
      <c r="D179" s="42" t="s">
        <v>23</v>
      </c>
      <c r="E179" s="41"/>
      <c r="F179" s="41"/>
      <c r="G179" s="43"/>
      <c r="H179" s="137" t="s">
        <v>14</v>
      </c>
      <c r="I179" s="135"/>
      <c r="J179" s="135"/>
      <c r="K179" s="136"/>
      <c r="L179" s="548">
        <f ca="1">L180+L181</f>
        <v>0</v>
      </c>
      <c r="M179" s="47">
        <f ca="1">M180+M181</f>
        <v>0</v>
      </c>
      <c r="N179" s="47">
        <f ca="1">N180+N181</f>
        <v>0</v>
      </c>
      <c r="O179" s="47">
        <f ca="1">IF(L179&gt;0,N179*100/L179,0)</f>
        <v>0</v>
      </c>
      <c r="P179" s="47">
        <f ca="1">IF(M179&gt;0,N179*100/M179,0)</f>
        <v>0</v>
      </c>
      <c r="Q179" s="47">
        <f>Q180+Q181</f>
        <v>0</v>
      </c>
      <c r="R179" s="47">
        <f>R180+R181</f>
        <v>0</v>
      </c>
      <c r="S179" s="47">
        <f>S180+S181</f>
        <v>0</v>
      </c>
      <c r="T179" s="47">
        <f>IF(Q179&gt;0,S179*100/Q179,0)</f>
        <v>0</v>
      </c>
      <c r="U179" s="47">
        <f>IF(R179&gt;0,S179*100/R179,0)</f>
        <v>0</v>
      </c>
    </row>
    <row r="180" spans="1:21" ht="18.75" hidden="1" x14ac:dyDescent="0.25">
      <c r="A180" s="128"/>
      <c r="B180" s="41"/>
      <c r="C180" s="41"/>
      <c r="D180" s="41"/>
      <c r="E180" s="157" t="s">
        <v>20</v>
      </c>
      <c r="F180" s="41"/>
      <c r="G180" s="43"/>
      <c r="H180" s="160" t="s">
        <v>14</v>
      </c>
      <c r="I180" s="135"/>
      <c r="J180" s="135"/>
      <c r="K180" s="136"/>
      <c r="L180" s="549">
        <v>0</v>
      </c>
      <c r="M180" s="49">
        <v>0</v>
      </c>
      <c r="N180" s="49">
        <v>0</v>
      </c>
      <c r="O180" s="49">
        <f>IF(L180&gt;0,N180*100/L180,0)</f>
        <v>0</v>
      </c>
      <c r="P180" s="49">
        <f>IF(M180&gt;0,N180*100/M180,0)</f>
        <v>0</v>
      </c>
      <c r="Q180" s="49">
        <v>0</v>
      </c>
      <c r="R180" s="49">
        <v>0</v>
      </c>
      <c r="S180" s="49">
        <v>0</v>
      </c>
      <c r="T180" s="49">
        <f>IF(Q180&gt;0,S180*100/Q180,0)</f>
        <v>0</v>
      </c>
      <c r="U180" s="49">
        <f>IF(R180&gt;0,S180*100/R180,0)</f>
        <v>0</v>
      </c>
    </row>
    <row r="181" spans="1:21" ht="18.75" hidden="1" x14ac:dyDescent="0.25">
      <c r="A181" s="128"/>
      <c r="B181" s="41"/>
      <c r="C181" s="41"/>
      <c r="D181" s="41"/>
      <c r="E181" s="48" t="s">
        <v>21</v>
      </c>
      <c r="F181" s="41"/>
      <c r="G181" s="43"/>
      <c r="H181" s="137" t="s">
        <v>14</v>
      </c>
      <c r="I181" s="135"/>
      <c r="J181" s="135"/>
      <c r="K181" s="136"/>
      <c r="L181" s="548">
        <f ca="1">IFERROR(__xludf.DUMMYFUNCTION("IMPORTRANGE(""https://docs.google.com/spreadsheets/d/1-uDff_7J0KD5mKrp0Vvzr7lt3OU09vwQwhkpOPPYv2Y/edit?usp=sharing"",""งบพรบ!CN82"")"),0)</f>
        <v>0</v>
      </c>
      <c r="M181" s="47">
        <f ca="1">IFERROR(__xludf.DUMMYFUNCTION("IMPORTRANGE(""https://docs.google.com/spreadsheets/d/1-uDff_7J0KD5mKrp0Vvzr7lt3OU09vwQwhkpOPPYv2Y/edit?usp=sharing"",""งบพรบ!CQ82"")"),0)</f>
        <v>0</v>
      </c>
      <c r="N181" s="47">
        <f ca="1">IFERROR(__xludf.DUMMYFUNCTION("IMPORTRANGE(""https://docs.google.com/spreadsheets/d/1-uDff_7J0KD5mKrp0Vvzr7lt3OU09vwQwhkpOPPYv2Y/edit?usp=sharing"",""งบพรบ!CS82"")"),0)</f>
        <v>0</v>
      </c>
      <c r="O181" s="47">
        <f ca="1">IF(L181&gt;0,N181*100/L181,0)</f>
        <v>0</v>
      </c>
      <c r="P181" s="47">
        <f ca="1">IF(M181&gt;0,N181*100/M181,0)</f>
        <v>0</v>
      </c>
      <c r="Q181" s="47">
        <v>0</v>
      </c>
      <c r="R181" s="47">
        <v>0</v>
      </c>
      <c r="S181" s="47">
        <v>0</v>
      </c>
      <c r="T181" s="47">
        <f>IF(Q181&gt;0,S181*100/Q181,0)</f>
        <v>0</v>
      </c>
      <c r="U181" s="47">
        <f>IF(R181&gt;0,S181*100/R181,0)</f>
        <v>0</v>
      </c>
    </row>
    <row r="182" spans="1:21" ht="19.5" hidden="1" x14ac:dyDescent="0.3">
      <c r="A182" s="138"/>
      <c r="B182" s="139"/>
      <c r="C182" s="129" t="s">
        <v>18</v>
      </c>
      <c r="D182" s="563" t="s">
        <v>38</v>
      </c>
      <c r="E182" s="141"/>
      <c r="F182" s="141"/>
      <c r="G182" s="142"/>
      <c r="H182" s="189"/>
      <c r="I182" s="45"/>
      <c r="J182" s="45"/>
      <c r="K182" s="46"/>
      <c r="L182" s="546"/>
      <c r="M182" s="46"/>
      <c r="N182" s="46"/>
      <c r="O182" s="46"/>
      <c r="P182" s="46"/>
      <c r="Q182" s="46"/>
      <c r="R182" s="46"/>
      <c r="S182" s="46"/>
      <c r="T182" s="46"/>
      <c r="U182" s="46"/>
    </row>
    <row r="183" spans="1:21" ht="18.75" hidden="1" x14ac:dyDescent="0.25">
      <c r="A183" s="217"/>
      <c r="B183" s="41"/>
      <c r="C183" s="159"/>
      <c r="D183" s="218" t="s">
        <v>75</v>
      </c>
      <c r="E183" s="41"/>
      <c r="F183" s="41"/>
      <c r="G183" s="43"/>
      <c r="H183" s="219" t="s">
        <v>35</v>
      </c>
      <c r="I183" s="152">
        <f ca="1">IFERROR(__xludf.DUMMYFUNCTION("IMPORTRANGE(""https://docs.google.com/spreadsheets/d/1eHaY18a8A9IcSdp1K8H6x8fbOy06t2VsZHhMHf-1x7Y/edit?usp=sharing"",""แผน!AA82"")"),0)</f>
        <v>0</v>
      </c>
      <c r="J183" s="167">
        <v>0</v>
      </c>
      <c r="K183" s="47">
        <f ca="1">IF(I183&gt;0,J183*100/I183,0)</f>
        <v>0</v>
      </c>
      <c r="L183" s="546"/>
      <c r="M183" s="46"/>
      <c r="N183" s="46"/>
      <c r="O183" s="46"/>
      <c r="P183" s="46"/>
      <c r="Q183" s="46"/>
      <c r="R183" s="46"/>
      <c r="S183" s="46"/>
      <c r="T183" s="46"/>
      <c r="U183" s="46"/>
    </row>
    <row r="184" spans="1:21" ht="18.75" hidden="1" x14ac:dyDescent="0.25">
      <c r="A184" s="217"/>
      <c r="B184" s="159"/>
      <c r="C184" s="159"/>
      <c r="D184" s="345" t="s">
        <v>76</v>
      </c>
      <c r="E184" s="41"/>
      <c r="F184" s="41"/>
      <c r="G184" s="43"/>
      <c r="H184" s="770" t="s">
        <v>35</v>
      </c>
      <c r="I184" s="495">
        <v>0</v>
      </c>
      <c r="J184" s="495">
        <v>0</v>
      </c>
      <c r="K184" s="49">
        <f>IF(I184&gt;0,J184*100/I184,0)</f>
        <v>0</v>
      </c>
      <c r="L184" s="546"/>
      <c r="M184" s="46"/>
      <c r="N184" s="46"/>
      <c r="O184" s="46"/>
      <c r="P184" s="46"/>
      <c r="Q184" s="46"/>
      <c r="R184" s="46"/>
      <c r="S184" s="46"/>
      <c r="T184" s="46"/>
      <c r="U184" s="46"/>
    </row>
    <row r="185" spans="1:21" ht="19.5" x14ac:dyDescent="0.3">
      <c r="A185" s="210"/>
      <c r="B185" s="211" t="s">
        <v>77</v>
      </c>
      <c r="C185" s="212"/>
      <c r="D185" s="141"/>
      <c r="E185" s="141"/>
      <c r="F185" s="141"/>
      <c r="G185" s="142"/>
      <c r="H185" s="213" t="s">
        <v>35</v>
      </c>
      <c r="I185" s="214">
        <f ca="1">I230+I231</f>
        <v>0</v>
      </c>
      <c r="J185" s="214">
        <f>J230+J231</f>
        <v>0</v>
      </c>
      <c r="K185" s="215">
        <f ca="1">IF(I185&gt;0,J185*100/I185,0)</f>
        <v>0</v>
      </c>
      <c r="L185" s="769"/>
      <c r="M185" s="216"/>
      <c r="N185" s="216"/>
      <c r="O185" s="216"/>
      <c r="P185" s="216"/>
      <c r="Q185" s="216"/>
      <c r="R185" s="216"/>
      <c r="S185" s="216"/>
      <c r="T185" s="216"/>
      <c r="U185" s="216"/>
    </row>
    <row r="186" spans="1:21" ht="19.5" x14ac:dyDescent="0.3">
      <c r="A186" s="128"/>
      <c r="B186" s="41"/>
      <c r="C186" s="386" t="s">
        <v>18</v>
      </c>
      <c r="D186" s="591" t="s">
        <v>19</v>
      </c>
      <c r="E186" s="41"/>
      <c r="F186" s="41"/>
      <c r="G186" s="43"/>
      <c r="H186" s="131" t="s">
        <v>14</v>
      </c>
      <c r="I186" s="45"/>
      <c r="J186" s="45"/>
      <c r="K186" s="46"/>
      <c r="L186" s="550">
        <f ca="1">L187+L188</f>
        <v>66200</v>
      </c>
      <c r="M186" s="132">
        <f ca="1">M187+M188</f>
        <v>66200</v>
      </c>
      <c r="N186" s="132">
        <f ca="1">N187+N188</f>
        <v>2000</v>
      </c>
      <c r="O186" s="132">
        <f ca="1">IF(L186&gt;0,N186*100/L186,0)</f>
        <v>3.0211480362537766</v>
      </c>
      <c r="P186" s="132">
        <f ca="1">IF(M186&gt;0,N186*100/M186,0)</f>
        <v>3.0211480362537766</v>
      </c>
      <c r="Q186" s="132">
        <f ca="1">Q187+Q188</f>
        <v>28000</v>
      </c>
      <c r="R186" s="132">
        <f ca="1">R187+R188</f>
        <v>28000</v>
      </c>
      <c r="S186" s="132">
        <f ca="1">S187+S188</f>
        <v>0</v>
      </c>
      <c r="T186" s="132">
        <f ca="1">IF(Q186&gt;0,S186*100/Q186,0)</f>
        <v>0</v>
      </c>
      <c r="U186" s="132">
        <f ca="1">IF(R186&gt;0,S186*100/R186,0)</f>
        <v>0</v>
      </c>
    </row>
    <row r="187" spans="1:21" ht="18.75" hidden="1" x14ac:dyDescent="0.25">
      <c r="A187" s="128"/>
      <c r="B187" s="41"/>
      <c r="C187" s="41"/>
      <c r="D187" s="41"/>
      <c r="E187" s="157" t="s">
        <v>20</v>
      </c>
      <c r="F187" s="41"/>
      <c r="G187" s="43"/>
      <c r="H187" s="158" t="s">
        <v>14</v>
      </c>
      <c r="I187" s="45"/>
      <c r="J187" s="45"/>
      <c r="K187" s="46"/>
      <c r="L187" s="549">
        <f>L190+L193</f>
        <v>0</v>
      </c>
      <c r="M187" s="49">
        <f>M190+M193</f>
        <v>0</v>
      </c>
      <c r="N187" s="49">
        <f>N190+N193</f>
        <v>0</v>
      </c>
      <c r="O187" s="49">
        <f>IF(L187&gt;0,N187*100/L187,0)</f>
        <v>0</v>
      </c>
      <c r="P187" s="49">
        <f>IF(M187&gt;0,N187*100/M187,0)</f>
        <v>0</v>
      </c>
      <c r="Q187" s="49">
        <f>Q190+Q193</f>
        <v>0</v>
      </c>
      <c r="R187" s="49">
        <f>R190+R193</f>
        <v>0</v>
      </c>
      <c r="S187" s="49">
        <f>S190+S193</f>
        <v>0</v>
      </c>
      <c r="T187" s="49">
        <f>IF(Q187&gt;0,S187*100/Q187,0)</f>
        <v>0</v>
      </c>
      <c r="U187" s="49">
        <f>IF(R187&gt;0,S187*100/R187,0)</f>
        <v>0</v>
      </c>
    </row>
    <row r="188" spans="1:21" ht="18.75" hidden="1" x14ac:dyDescent="0.25">
      <c r="A188" s="128"/>
      <c r="B188" s="41"/>
      <c r="C188" s="41"/>
      <c r="D188" s="41"/>
      <c r="E188" s="48" t="s">
        <v>21</v>
      </c>
      <c r="F188" s="41"/>
      <c r="G188" s="43"/>
      <c r="H188" s="133" t="s">
        <v>14</v>
      </c>
      <c r="I188" s="45"/>
      <c r="J188" s="45"/>
      <c r="K188" s="46"/>
      <c r="L188" s="548">
        <f ca="1">L191+L194</f>
        <v>66200</v>
      </c>
      <c r="M188" s="47">
        <f ca="1">M191+M194</f>
        <v>66200</v>
      </c>
      <c r="N188" s="47">
        <f ca="1">N191+N194</f>
        <v>2000</v>
      </c>
      <c r="O188" s="47">
        <f ca="1">IF(L188&gt;0,N188*100/L188,0)</f>
        <v>3.0211480362537766</v>
      </c>
      <c r="P188" s="47">
        <f ca="1">IF(M188&gt;0,N188*100/M188,0)</f>
        <v>3.0211480362537766</v>
      </c>
      <c r="Q188" s="47">
        <f ca="1">Q191+Q194</f>
        <v>28000</v>
      </c>
      <c r="R188" s="47">
        <f ca="1">R191+R194</f>
        <v>28000</v>
      </c>
      <c r="S188" s="47">
        <f ca="1">S191+S194</f>
        <v>0</v>
      </c>
      <c r="T188" s="47">
        <f ca="1">IF(Q188&gt;0,S188*100/Q188,0)</f>
        <v>0</v>
      </c>
      <c r="U188" s="47">
        <f ca="1">IF(R188&gt;0,S188*100/R188,0)</f>
        <v>0</v>
      </c>
    </row>
    <row r="189" spans="1:21" ht="18.75" x14ac:dyDescent="0.25">
      <c r="A189" s="128"/>
      <c r="B189" s="41"/>
      <c r="C189" s="41"/>
      <c r="D189" s="42" t="s">
        <v>22</v>
      </c>
      <c r="E189" s="41"/>
      <c r="F189" s="41"/>
      <c r="G189" s="43"/>
      <c r="H189" s="134" t="s">
        <v>14</v>
      </c>
      <c r="I189" s="135"/>
      <c r="J189" s="135"/>
      <c r="K189" s="136"/>
      <c r="L189" s="548">
        <f ca="1">L190+L191</f>
        <v>66200</v>
      </c>
      <c r="M189" s="47">
        <f ca="1">M190+M191</f>
        <v>66200</v>
      </c>
      <c r="N189" s="47">
        <f ca="1">N190+N191</f>
        <v>2000</v>
      </c>
      <c r="O189" s="47">
        <f ca="1">IF(L189&gt;0,N189*100/L189,0)</f>
        <v>3.0211480362537766</v>
      </c>
      <c r="P189" s="47">
        <f ca="1">IF(M189&gt;0,N189*100/M189,0)</f>
        <v>3.0211480362537766</v>
      </c>
      <c r="Q189" s="47">
        <f ca="1">Q190+Q191</f>
        <v>28000</v>
      </c>
      <c r="R189" s="47">
        <f ca="1">R190+R191</f>
        <v>28000</v>
      </c>
      <c r="S189" s="47">
        <f ca="1">S190+S191</f>
        <v>0</v>
      </c>
      <c r="T189" s="47">
        <f ca="1">IF(Q189&gt;0,S189*100/Q189,0)</f>
        <v>0</v>
      </c>
      <c r="U189" s="47">
        <f ca="1">IF(R189&gt;0,S189*100/R189,0)</f>
        <v>0</v>
      </c>
    </row>
    <row r="190" spans="1:21" ht="18.75" hidden="1" x14ac:dyDescent="0.25">
      <c r="A190" s="128"/>
      <c r="B190" s="41"/>
      <c r="C190" s="41"/>
      <c r="D190" s="41"/>
      <c r="E190" s="157" t="s">
        <v>36</v>
      </c>
      <c r="F190" s="41"/>
      <c r="G190" s="43"/>
      <c r="H190" s="160" t="s">
        <v>14</v>
      </c>
      <c r="I190" s="135"/>
      <c r="J190" s="135"/>
      <c r="K190" s="136"/>
      <c r="L190" s="549">
        <v>0</v>
      </c>
      <c r="M190" s="49">
        <v>0</v>
      </c>
      <c r="N190" s="49">
        <v>0</v>
      </c>
      <c r="O190" s="49">
        <f>IF(L190&gt;0,N190*100/L190,0)</f>
        <v>0</v>
      </c>
      <c r="P190" s="49">
        <f>IF(M190&gt;0,N190*100/M190,0)</f>
        <v>0</v>
      </c>
      <c r="Q190" s="49">
        <v>0</v>
      </c>
      <c r="R190" s="49">
        <v>0</v>
      </c>
      <c r="S190" s="49">
        <v>0</v>
      </c>
      <c r="T190" s="49">
        <f>IF(Q190&gt;0,S190*100/Q190,0)</f>
        <v>0</v>
      </c>
      <c r="U190" s="49">
        <f>IF(R190&gt;0,S190*100/R190,0)</f>
        <v>0</v>
      </c>
    </row>
    <row r="191" spans="1:21" ht="18.75" hidden="1" x14ac:dyDescent="0.25">
      <c r="A191" s="128"/>
      <c r="B191" s="41"/>
      <c r="C191" s="41"/>
      <c r="D191" s="41"/>
      <c r="E191" s="48" t="s">
        <v>37</v>
      </c>
      <c r="F191" s="41"/>
      <c r="G191" s="43"/>
      <c r="H191" s="134" t="s">
        <v>14</v>
      </c>
      <c r="I191" s="135"/>
      <c r="J191" s="135"/>
      <c r="K191" s="136"/>
      <c r="L191" s="548">
        <f ca="1">IFERROR(__xludf.DUMMYFUNCTION("IMPORTRANGE(""https://docs.google.com/spreadsheets/d/1-uDff_7J0KD5mKrp0Vvzr7lt3OU09vwQwhkpOPPYv2Y/edit?usp=sharing"",""งบพรบ!CU82"")"),66200)</f>
        <v>66200</v>
      </c>
      <c r="M191" s="47">
        <f ca="1">IFERROR(__xludf.DUMMYFUNCTION("IMPORTRANGE(""https://docs.google.com/spreadsheets/d/1-uDff_7J0KD5mKrp0Vvzr7lt3OU09vwQwhkpOPPYv2Y/edit?usp=sharing"",""งบพรบ!CZ82"")"),66200)</f>
        <v>66200</v>
      </c>
      <c r="N191" s="47">
        <f ca="1">IFERROR(__xludf.DUMMYFUNCTION("IMPORTRANGE(""https://docs.google.com/spreadsheets/d/1-uDff_7J0KD5mKrp0Vvzr7lt3OU09vwQwhkpOPPYv2Y/edit?usp=sharing"",""งบพรบ!DB82"")"),2000)</f>
        <v>2000</v>
      </c>
      <c r="O191" s="47">
        <f ca="1">IF(L191&gt;0,N191*100/L191,0)</f>
        <v>3.0211480362537766</v>
      </c>
      <c r="P191" s="47">
        <f ca="1">IF(M191&gt;0,N191*100/M191,0)</f>
        <v>3.0211480362537766</v>
      </c>
      <c r="Q191" s="47">
        <f ca="1">IFERROR(__xludf.DUMMYFUNCTION("IMPORTRANGE(""https://docs.google.com/spreadsheets/d/1ItG2mGa2ceCfYo0BwxsXqNm01IGEUdYcSSLTEv9YCik/edit?usp=sharing"",""เบิกจ่ายกองทุน!BQ82"")"),28000)</f>
        <v>28000</v>
      </c>
      <c r="R191" s="47">
        <f ca="1">IFERROR(__xludf.DUMMYFUNCTION("IMPORTRANGE(""https://docs.google.com/spreadsheets/d/1ItG2mGa2ceCfYo0BwxsXqNm01IGEUdYcSSLTEv9YCik/edit?usp=sharing"",""เบิกจ่ายกองทุน!BR82"")"),28000)</f>
        <v>28000</v>
      </c>
      <c r="S191" s="47">
        <f ca="1">IFERROR(__xludf.DUMMYFUNCTION("IMPORTRANGE(""https://docs.google.com/spreadsheets/d/1ItG2mGa2ceCfYo0BwxsXqNm01IGEUdYcSSLTEv9YCik/edit?usp=sharing"",""เบิกจ่ายกองทุน!BS82"")"),0)</f>
        <v>0</v>
      </c>
      <c r="T191" s="47">
        <f ca="1">IF(Q191&gt;0,S191*100/Q191,0)</f>
        <v>0</v>
      </c>
      <c r="U191" s="47">
        <f ca="1">IF(R191&gt;0,S191*100/R191,0)</f>
        <v>0</v>
      </c>
    </row>
    <row r="192" spans="1:21" ht="18.75" x14ac:dyDescent="0.25">
      <c r="A192" s="128"/>
      <c r="B192" s="41"/>
      <c r="C192" s="41"/>
      <c r="D192" s="42" t="s">
        <v>23</v>
      </c>
      <c r="E192" s="41"/>
      <c r="F192" s="41"/>
      <c r="G192" s="43"/>
      <c r="H192" s="137" t="s">
        <v>14</v>
      </c>
      <c r="I192" s="135"/>
      <c r="J192" s="135"/>
      <c r="K192" s="136"/>
      <c r="L192" s="548">
        <f ca="1">L193+L194</f>
        <v>0</v>
      </c>
      <c r="M192" s="47">
        <f ca="1">M193+M194</f>
        <v>0</v>
      </c>
      <c r="N192" s="47">
        <f ca="1">N193+N194</f>
        <v>0</v>
      </c>
      <c r="O192" s="47">
        <f ca="1">IF(L192&gt;0,N192*100/L192,0)</f>
        <v>0</v>
      </c>
      <c r="P192" s="47">
        <f ca="1">IF(M192&gt;0,N192*100/M192,0)</f>
        <v>0</v>
      </c>
      <c r="Q192" s="47">
        <f ca="1">Q193+Q194</f>
        <v>0</v>
      </c>
      <c r="R192" s="47">
        <f ca="1">R193+R194</f>
        <v>0</v>
      </c>
      <c r="S192" s="47">
        <f ca="1">S193+S194</f>
        <v>0</v>
      </c>
      <c r="T192" s="47">
        <f ca="1">IF(Q192&gt;0,S192*100/Q192,0)</f>
        <v>0</v>
      </c>
      <c r="U192" s="47">
        <f ca="1">IF(R192&gt;0,S192*100/R192,0)</f>
        <v>0</v>
      </c>
    </row>
    <row r="193" spans="1:21" ht="18.75" hidden="1" x14ac:dyDescent="0.25">
      <c r="A193" s="128"/>
      <c r="B193" s="41"/>
      <c r="C193" s="41"/>
      <c r="D193" s="41"/>
      <c r="E193" s="157" t="s">
        <v>20</v>
      </c>
      <c r="F193" s="41"/>
      <c r="G193" s="43"/>
      <c r="H193" s="160" t="s">
        <v>14</v>
      </c>
      <c r="I193" s="135"/>
      <c r="J193" s="135"/>
      <c r="K193" s="136"/>
      <c r="L193" s="549">
        <v>0</v>
      </c>
      <c r="M193" s="49">
        <v>0</v>
      </c>
      <c r="N193" s="49">
        <v>0</v>
      </c>
      <c r="O193" s="49">
        <f>IF(L193&gt;0,N193*100/L193,0)</f>
        <v>0</v>
      </c>
      <c r="P193" s="49">
        <f>IF(M193&gt;0,N193*100/M193,0)</f>
        <v>0</v>
      </c>
      <c r="Q193" s="49">
        <v>0</v>
      </c>
      <c r="R193" s="49">
        <v>0</v>
      </c>
      <c r="S193" s="49">
        <v>0</v>
      </c>
      <c r="T193" s="49">
        <f>IF(Q193&gt;0,S193*100/Q193,0)</f>
        <v>0</v>
      </c>
      <c r="U193" s="49">
        <f>IF(R193&gt;0,S193*100/R193,0)</f>
        <v>0</v>
      </c>
    </row>
    <row r="194" spans="1:21" ht="18.75" hidden="1" x14ac:dyDescent="0.25">
      <c r="A194" s="128"/>
      <c r="B194" s="41"/>
      <c r="C194" s="41"/>
      <c r="D194" s="41"/>
      <c r="E194" s="48" t="s">
        <v>21</v>
      </c>
      <c r="F194" s="41"/>
      <c r="G194" s="43"/>
      <c r="H194" s="137" t="s">
        <v>14</v>
      </c>
      <c r="I194" s="135"/>
      <c r="J194" s="135"/>
      <c r="K194" s="136"/>
      <c r="L194" s="548">
        <f ca="1">IFERROR(__xludf.DUMMYFUNCTION("IMPORTRANGE(""https://docs.google.com/spreadsheets/d/1-uDff_7J0KD5mKrp0Vvzr7lt3OU09vwQwhkpOPPYv2Y/edit?usp=sharing"",""งบพรบ!CX82"")"),0)</f>
        <v>0</v>
      </c>
      <c r="M194" s="47">
        <f ca="1">IFERROR(__xludf.DUMMYFUNCTION("IMPORTRANGE(""https://docs.google.com/spreadsheets/d/1-uDff_7J0KD5mKrp0Vvzr7lt3OU09vwQwhkpOPPYv2Y/edit?usp=sharing"",""งบพรบ!DA82"")"),0)</f>
        <v>0</v>
      </c>
      <c r="N194" s="47">
        <f ca="1">IFERROR(__xludf.DUMMYFUNCTION("IMPORTRANGE(""https://docs.google.com/spreadsheets/d/1-uDff_7J0KD5mKrp0Vvzr7lt3OU09vwQwhkpOPPYv2Y/edit?usp=sharing"",""งบพรบ!DC82"")"),0)</f>
        <v>0</v>
      </c>
      <c r="O194" s="47">
        <f ca="1">IF(L194&gt;0,N194*100/L194,0)</f>
        <v>0</v>
      </c>
      <c r="P194" s="47">
        <f ca="1">IF(M194&gt;0,N194*100/M194,0)</f>
        <v>0</v>
      </c>
      <c r="Q194" s="47">
        <f ca="1">IFERROR(__xludf.DUMMYFUNCTION("IMPORTRANGE(""https://docs.google.com/spreadsheets/d/1ItG2mGa2ceCfYo0BwxsXqNm01IGEUdYcSSLTEv9YCik/edit?usp=sharing"",""เบิกจ่ายกองทุน!BT82"")"),0)</f>
        <v>0</v>
      </c>
      <c r="R194" s="47">
        <f ca="1">IFERROR(__xludf.DUMMYFUNCTION("IMPORTRANGE(""https://docs.google.com/spreadsheets/d/1ItG2mGa2ceCfYo0BwxsXqNm01IGEUdYcSSLTEv9YCik/edit?usp=sharing"",""เบิกจ่ายกองทุน!BU82"")"),0)</f>
        <v>0</v>
      </c>
      <c r="S194" s="47">
        <f ca="1">IFERROR(__xludf.DUMMYFUNCTION("IMPORTRANGE(""https://docs.google.com/spreadsheets/d/1ItG2mGa2ceCfYo0BwxsXqNm01IGEUdYcSSLTEv9YCik/edit?usp=sharing"",""เบิกจ่ายกองทุน!BV82"")"),0)</f>
        <v>0</v>
      </c>
      <c r="T194" s="47">
        <f ca="1">IF(Q194&gt;0,S194*100/Q194,0)</f>
        <v>0</v>
      </c>
      <c r="U194" s="47">
        <f ca="1">IF(R194&gt;0,S194*100/R194,0)</f>
        <v>0</v>
      </c>
    </row>
    <row r="195" spans="1:21" ht="19.5" x14ac:dyDescent="0.3">
      <c r="A195" s="222"/>
      <c r="B195" s="223"/>
      <c r="C195" s="224" t="s">
        <v>78</v>
      </c>
      <c r="D195" s="225"/>
      <c r="E195" s="225"/>
      <c r="F195" s="225"/>
      <c r="G195" s="226"/>
      <c r="H195" s="227" t="s">
        <v>79</v>
      </c>
      <c r="I195" s="228">
        <f ca="1">I198</f>
        <v>4</v>
      </c>
      <c r="J195" s="228">
        <f>J198</f>
        <v>0</v>
      </c>
      <c r="K195" s="229">
        <f ca="1">IF(I195&gt;0,J195*100/I195,0)</f>
        <v>0</v>
      </c>
      <c r="L195" s="686"/>
      <c r="M195" s="230"/>
      <c r="N195" s="230"/>
      <c r="O195" s="230"/>
      <c r="P195" s="230"/>
      <c r="Q195" s="230"/>
      <c r="R195" s="230"/>
      <c r="S195" s="230"/>
      <c r="T195" s="230"/>
      <c r="U195" s="230"/>
    </row>
    <row r="196" spans="1:21" ht="19.5" x14ac:dyDescent="0.3">
      <c r="A196" s="128"/>
      <c r="B196" s="41"/>
      <c r="C196" s="386" t="s">
        <v>18</v>
      </c>
      <c r="D196" s="765" t="s">
        <v>19</v>
      </c>
      <c r="E196" s="41"/>
      <c r="F196" s="41"/>
      <c r="G196" s="43"/>
      <c r="H196" s="232" t="s">
        <v>14</v>
      </c>
      <c r="I196" s="45"/>
      <c r="J196" s="45"/>
      <c r="K196" s="46"/>
      <c r="L196" s="550">
        <f ca="1">IFERROR(__xludf.DUMMYFUNCTION("IMPORTRANGE(""https://docs.google.com/spreadsheets/d/1eHaY18a8A9IcSdp1K8H6x8fbOy06t2VsZHhMHf-1x7Y/edit?usp=sharing"",""แผน!AB82"")"),6000)</f>
        <v>6000</v>
      </c>
      <c r="M196" s="46"/>
      <c r="N196" s="768">
        <v>2000</v>
      </c>
      <c r="O196" s="132">
        <f ca="1">IF(L196&gt;0,N196*100/L196,0)</f>
        <v>33.333333333333336</v>
      </c>
      <c r="P196" s="132">
        <f>IF(M196&gt;0,N196*100/M196,0)</f>
        <v>0</v>
      </c>
      <c r="Q196" s="46"/>
      <c r="R196" s="46"/>
      <c r="S196" s="46"/>
      <c r="T196" s="46"/>
      <c r="U196" s="46"/>
    </row>
    <row r="197" spans="1:21" ht="19.5" x14ac:dyDescent="0.3">
      <c r="A197" s="138"/>
      <c r="B197" s="139"/>
      <c r="C197" s="386" t="s">
        <v>18</v>
      </c>
      <c r="D197" s="563" t="s">
        <v>38</v>
      </c>
      <c r="E197" s="141"/>
      <c r="F197" s="141"/>
      <c r="G197" s="142"/>
      <c r="H197" s="143"/>
      <c r="I197" s="45"/>
      <c r="J197" s="45"/>
      <c r="K197" s="46"/>
      <c r="L197" s="546"/>
      <c r="M197" s="46"/>
      <c r="N197" s="46"/>
      <c r="O197" s="46"/>
      <c r="P197" s="46"/>
      <c r="Q197" s="46"/>
      <c r="R197" s="46"/>
      <c r="S197" s="46"/>
      <c r="T197" s="46"/>
      <c r="U197" s="46"/>
    </row>
    <row r="198" spans="1:21" ht="18.75" x14ac:dyDescent="0.25">
      <c r="A198" s="138"/>
      <c r="B198" s="139"/>
      <c r="C198" s="139"/>
      <c r="D198" s="149" t="s">
        <v>80</v>
      </c>
      <c r="E198" s="145"/>
      <c r="F198" s="145"/>
      <c r="G198" s="143"/>
      <c r="H198" s="150" t="s">
        <v>79</v>
      </c>
      <c r="I198" s="152">
        <f ca="1">IFERROR(__xludf.DUMMYFUNCTION("IMPORTRANGE(""https://docs.google.com/spreadsheets/d/1eHaY18a8A9IcSdp1K8H6x8fbOy06t2VsZHhMHf-1x7Y/edit?usp=sharing"",""แผน!AE82"")"),4)</f>
        <v>4</v>
      </c>
      <c r="J198" s="167">
        <v>0</v>
      </c>
      <c r="K198" s="47">
        <f ca="1">IF(I198&gt;0,J198*100/I198,0)</f>
        <v>0</v>
      </c>
      <c r="L198" s="546"/>
      <c r="M198" s="46"/>
      <c r="N198" s="46"/>
      <c r="O198" s="46"/>
      <c r="P198" s="46"/>
      <c r="Q198" s="46"/>
      <c r="R198" s="46"/>
      <c r="S198" s="46"/>
      <c r="T198" s="46"/>
      <c r="U198" s="46"/>
    </row>
    <row r="199" spans="1:21" ht="18.75" x14ac:dyDescent="0.25">
      <c r="A199" s="138"/>
      <c r="B199" s="139"/>
      <c r="C199" s="139"/>
      <c r="D199" s="149" t="s">
        <v>81</v>
      </c>
      <c r="E199" s="145"/>
      <c r="F199" s="145"/>
      <c r="G199" s="143"/>
      <c r="H199" s="219" t="s">
        <v>35</v>
      </c>
      <c r="I199" s="45"/>
      <c r="J199" s="152">
        <f>J200+J201</f>
        <v>0</v>
      </c>
      <c r="K199" s="46"/>
      <c r="L199" s="546"/>
      <c r="M199" s="46"/>
      <c r="N199" s="46"/>
      <c r="O199" s="46"/>
      <c r="P199" s="46"/>
      <c r="Q199" s="46"/>
      <c r="R199" s="46"/>
      <c r="S199" s="46"/>
      <c r="T199" s="46"/>
      <c r="U199" s="46"/>
    </row>
    <row r="200" spans="1:21" ht="18.75" x14ac:dyDescent="0.25">
      <c r="A200" s="138"/>
      <c r="B200" s="139"/>
      <c r="C200" s="139"/>
      <c r="D200" s="139"/>
      <c r="E200" s="149" t="s">
        <v>82</v>
      </c>
      <c r="F200" s="145"/>
      <c r="G200" s="143"/>
      <c r="H200" s="219" t="s">
        <v>35</v>
      </c>
      <c r="I200" s="45"/>
      <c r="J200" s="167">
        <v>0</v>
      </c>
      <c r="K200" s="46"/>
      <c r="L200" s="546"/>
      <c r="M200" s="46"/>
      <c r="N200" s="46"/>
      <c r="O200" s="46"/>
      <c r="P200" s="46"/>
      <c r="Q200" s="46"/>
      <c r="R200" s="46"/>
      <c r="S200" s="46"/>
      <c r="T200" s="46"/>
      <c r="U200" s="46"/>
    </row>
    <row r="201" spans="1:21" ht="18.75" x14ac:dyDescent="0.25">
      <c r="A201" s="138"/>
      <c r="B201" s="139"/>
      <c r="C201" s="139"/>
      <c r="D201" s="139"/>
      <c r="E201" s="149" t="s">
        <v>83</v>
      </c>
      <c r="F201" s="145"/>
      <c r="G201" s="143"/>
      <c r="H201" s="219" t="s">
        <v>35</v>
      </c>
      <c r="I201" s="45"/>
      <c r="J201" s="167">
        <v>0</v>
      </c>
      <c r="K201" s="46"/>
      <c r="L201" s="546"/>
      <c r="M201" s="46"/>
      <c r="N201" s="46"/>
      <c r="O201" s="46"/>
      <c r="P201" s="46"/>
      <c r="Q201" s="46"/>
      <c r="R201" s="46"/>
      <c r="S201" s="46"/>
      <c r="T201" s="46"/>
      <c r="U201" s="46"/>
    </row>
    <row r="202" spans="1:21" ht="19.5" x14ac:dyDescent="0.3">
      <c r="A202" s="222"/>
      <c r="B202" s="223"/>
      <c r="C202" s="224" t="s">
        <v>84</v>
      </c>
      <c r="D202" s="225"/>
      <c r="E202" s="225"/>
      <c r="F202" s="225"/>
      <c r="G202" s="226"/>
      <c r="H202" s="234" t="s">
        <v>85</v>
      </c>
      <c r="I202" s="228">
        <f ca="1">I209</f>
        <v>2</v>
      </c>
      <c r="J202" s="228">
        <f>J209</f>
        <v>0</v>
      </c>
      <c r="K202" s="229">
        <f ca="1">IF(I202&gt;0,J202*100/I202,0)</f>
        <v>0</v>
      </c>
      <c r="L202" s="686"/>
      <c r="M202" s="230"/>
      <c r="N202" s="230"/>
      <c r="O202" s="230"/>
      <c r="P202" s="230"/>
      <c r="Q202" s="230"/>
      <c r="R202" s="230"/>
      <c r="S202" s="230"/>
      <c r="T202" s="230"/>
      <c r="U202" s="230"/>
    </row>
    <row r="203" spans="1:21" ht="19.5" x14ac:dyDescent="0.3">
      <c r="A203" s="128"/>
      <c r="B203" s="41"/>
      <c r="C203" s="386" t="s">
        <v>18</v>
      </c>
      <c r="D203" s="765" t="s">
        <v>19</v>
      </c>
      <c r="E203" s="41"/>
      <c r="F203" s="41"/>
      <c r="G203" s="43"/>
      <c r="H203" s="232" t="s">
        <v>14</v>
      </c>
      <c r="I203" s="135"/>
      <c r="J203" s="135"/>
      <c r="K203" s="136"/>
      <c r="L203" s="550">
        <f ca="1">L204+L205+L206+L207</f>
        <v>10000</v>
      </c>
      <c r="M203" s="46"/>
      <c r="N203" s="132">
        <f>N204+N205+N206+N207</f>
        <v>0</v>
      </c>
      <c r="O203" s="132">
        <f ca="1">IF(L203&gt;0,N203*100/L203,0)</f>
        <v>0</v>
      </c>
      <c r="P203" s="132">
        <f>IF(M203&gt;0,N203*100/M203,0)</f>
        <v>0</v>
      </c>
      <c r="Q203" s="767">
        <f ca="1">Q204+Q205+Q206+Q207</f>
        <v>28000</v>
      </c>
      <c r="R203" s="177"/>
      <c r="S203" s="766">
        <f>S204+S205+S206+S207</f>
        <v>0</v>
      </c>
      <c r="T203" s="766">
        <f ca="1">IF(Q203&gt;0,S203*100/Q203,0)</f>
        <v>0</v>
      </c>
      <c r="U203" s="766">
        <f>IF(R203&gt;0,S203*100/R203,0)</f>
        <v>0</v>
      </c>
    </row>
    <row r="204" spans="1:21" ht="18.75" x14ac:dyDescent="0.25">
      <c r="A204" s="128"/>
      <c r="B204" s="159"/>
      <c r="C204" s="41"/>
      <c r="D204" s="394" t="s">
        <v>312</v>
      </c>
      <c r="E204" s="41"/>
      <c r="F204" s="41"/>
      <c r="G204" s="43"/>
      <c r="H204" s="134" t="s">
        <v>14</v>
      </c>
      <c r="I204" s="135"/>
      <c r="J204" s="135"/>
      <c r="K204" s="136"/>
      <c r="L204" s="548">
        <f ca="1">IFERROR(__xludf.DUMMYFUNCTION("IMPORTRANGE(""https://docs.google.com/spreadsheets/d/1eHaY18a8A9IcSdp1K8H6x8fbOy06t2VsZHhMHf-1x7Y/edit?usp=sharing"",""แผน!AG82"")"),2000)</f>
        <v>2000</v>
      </c>
      <c r="M204" s="46"/>
      <c r="N204" s="742">
        <v>0</v>
      </c>
      <c r="O204" s="136"/>
      <c r="P204" s="46"/>
      <c r="Q204" s="548">
        <v>0</v>
      </c>
      <c r="R204" s="46"/>
      <c r="S204" s="47">
        <v>0</v>
      </c>
      <c r="T204" s="136"/>
      <c r="U204" s="46"/>
    </row>
    <row r="205" spans="1:21" ht="18.75" x14ac:dyDescent="0.25">
      <c r="A205" s="217"/>
      <c r="B205" s="159"/>
      <c r="C205" s="41"/>
      <c r="D205" s="48" t="s">
        <v>310</v>
      </c>
      <c r="E205" s="41"/>
      <c r="F205" s="41"/>
      <c r="G205" s="43"/>
      <c r="H205" s="44" t="s">
        <v>14</v>
      </c>
      <c r="I205" s="45"/>
      <c r="J205" s="45"/>
      <c r="K205" s="46"/>
      <c r="L205" s="548">
        <f ca="1">IFERROR(__xludf.DUMMYFUNCTION("IMPORTRANGE(""https://docs.google.com/spreadsheets/d/1eHaY18a8A9IcSdp1K8H6x8fbOy06t2VsZHhMHf-1x7Y/edit?usp=sharing"",""แผน!AH82"")"),0)</f>
        <v>0</v>
      </c>
      <c r="M205" s="46"/>
      <c r="N205" s="742">
        <v>0</v>
      </c>
      <c r="O205" s="136"/>
      <c r="P205" s="46"/>
      <c r="Q205" s="548">
        <v>0</v>
      </c>
      <c r="R205" s="46"/>
      <c r="S205" s="47">
        <v>0</v>
      </c>
      <c r="T205" s="136"/>
      <c r="U205" s="46"/>
    </row>
    <row r="206" spans="1:21" ht="18.75" x14ac:dyDescent="0.25">
      <c r="A206" s="217"/>
      <c r="B206" s="159"/>
      <c r="C206" s="41"/>
      <c r="D206" s="48" t="s">
        <v>88</v>
      </c>
      <c r="E206" s="41"/>
      <c r="F206" s="41"/>
      <c r="G206" s="43"/>
      <c r="H206" s="44" t="s">
        <v>14</v>
      </c>
      <c r="I206" s="45"/>
      <c r="J206" s="45"/>
      <c r="K206" s="46"/>
      <c r="L206" s="548">
        <f ca="1">IFERROR(__xludf.DUMMYFUNCTION("IMPORTRANGE(""https://docs.google.com/spreadsheets/d/1eHaY18a8A9IcSdp1K8H6x8fbOy06t2VsZHhMHf-1x7Y/edit?usp=sharing"",""แผน!AI82"")"),0)</f>
        <v>0</v>
      </c>
      <c r="M206" s="46"/>
      <c r="N206" s="742">
        <v>0</v>
      </c>
      <c r="O206" s="136"/>
      <c r="P206" s="46"/>
      <c r="Q206" s="548">
        <f ca="1">IFERROR(__xludf.DUMMYFUNCTION("IMPORTRANGE(""https://docs.google.com/spreadsheets/d/1eHaY18a8A9IcSdp1K8H6x8fbOy06t2VsZHhMHf-1x7Y/edit?usp=sharing"",""แผน!LV82"")"),28000)</f>
        <v>28000</v>
      </c>
      <c r="R206" s="46"/>
      <c r="S206" s="742">
        <v>0</v>
      </c>
      <c r="T206" s="136"/>
      <c r="U206" s="46"/>
    </row>
    <row r="207" spans="1:21" ht="18.75" x14ac:dyDescent="0.25">
      <c r="A207" s="217"/>
      <c r="B207" s="159"/>
      <c r="C207" s="41"/>
      <c r="D207" s="48" t="s">
        <v>89</v>
      </c>
      <c r="E207" s="41"/>
      <c r="F207" s="41"/>
      <c r="G207" s="43"/>
      <c r="H207" s="44" t="s">
        <v>14</v>
      </c>
      <c r="I207" s="45"/>
      <c r="J207" s="45"/>
      <c r="K207" s="46"/>
      <c r="L207" s="548">
        <f ca="1">IFERROR(__xludf.DUMMYFUNCTION("IMPORTRANGE(""https://docs.google.com/spreadsheets/d/1eHaY18a8A9IcSdp1K8H6x8fbOy06t2VsZHhMHf-1x7Y/edit?usp=sharing"",""แผน!AJ82"")"),8000)</f>
        <v>8000</v>
      </c>
      <c r="M207" s="46"/>
      <c r="N207" s="742">
        <v>0</v>
      </c>
      <c r="O207" s="136"/>
      <c r="P207" s="46"/>
      <c r="Q207" s="548">
        <v>0</v>
      </c>
      <c r="R207" s="46"/>
      <c r="S207" s="47">
        <v>0</v>
      </c>
      <c r="T207" s="136"/>
      <c r="U207" s="46"/>
    </row>
    <row r="208" spans="1:21" ht="19.5" x14ac:dyDescent="0.3">
      <c r="A208" s="138"/>
      <c r="B208" s="139"/>
      <c r="C208" s="386" t="s">
        <v>18</v>
      </c>
      <c r="D208" s="563" t="s">
        <v>38</v>
      </c>
      <c r="E208" s="141"/>
      <c r="F208" s="141"/>
      <c r="G208" s="142"/>
      <c r="H208" s="143"/>
      <c r="I208" s="135"/>
      <c r="J208" s="135"/>
      <c r="K208" s="136"/>
      <c r="L208" s="558"/>
      <c r="M208" s="136"/>
      <c r="N208" s="136"/>
      <c r="O208" s="136"/>
      <c r="P208" s="136"/>
      <c r="Q208" s="558"/>
      <c r="R208" s="136"/>
      <c r="S208" s="136"/>
      <c r="T208" s="136"/>
      <c r="U208" s="136"/>
    </row>
    <row r="209" spans="1:21" ht="18.75" x14ac:dyDescent="0.25">
      <c r="A209" s="138"/>
      <c r="B209" s="139"/>
      <c r="C209" s="139"/>
      <c r="D209" s="144" t="s">
        <v>90</v>
      </c>
      <c r="E209" s="145"/>
      <c r="F209" s="145"/>
      <c r="G209" s="143"/>
      <c r="H209" s="237" t="s">
        <v>85</v>
      </c>
      <c r="I209" s="152">
        <f ca="1">IFERROR(__xludf.DUMMYFUNCTION("IMPORTRANGE(""https://docs.google.com/spreadsheets/d/1eHaY18a8A9IcSdp1K8H6x8fbOy06t2VsZHhMHf-1x7Y/edit?usp=sharing"",""แผน!AK82"")"),2)</f>
        <v>2</v>
      </c>
      <c r="J209" s="167">
        <v>0</v>
      </c>
      <c r="K209" s="153">
        <f ca="1">IF(I209&gt;0,J209*100/I209,0)</f>
        <v>0</v>
      </c>
      <c r="L209" s="546"/>
      <c r="M209" s="46"/>
      <c r="N209" s="46"/>
      <c r="O209" s="46"/>
      <c r="P209" s="46"/>
      <c r="Q209" s="546"/>
      <c r="R209" s="46"/>
      <c r="S209" s="46"/>
      <c r="T209" s="46"/>
      <c r="U209" s="46"/>
    </row>
    <row r="210" spans="1:21" ht="18.75" x14ac:dyDescent="0.25">
      <c r="A210" s="138"/>
      <c r="B210" s="139"/>
      <c r="C210" s="139"/>
      <c r="D210" s="149" t="s">
        <v>50</v>
      </c>
      <c r="E210" s="145"/>
      <c r="F210" s="145"/>
      <c r="G210" s="143"/>
      <c r="H210" s="143"/>
      <c r="I210" s="45"/>
      <c r="J210" s="45"/>
      <c r="K210" s="136"/>
      <c r="L210" s="546"/>
      <c r="M210" s="46"/>
      <c r="N210" s="46"/>
      <c r="O210" s="46"/>
      <c r="P210" s="46"/>
      <c r="Q210" s="546"/>
      <c r="R210" s="46"/>
      <c r="S210" s="46"/>
      <c r="T210" s="46"/>
      <c r="U210" s="46"/>
    </row>
    <row r="211" spans="1:21" ht="18.75" x14ac:dyDescent="0.25">
      <c r="A211" s="138"/>
      <c r="B211" s="139"/>
      <c r="C211" s="139"/>
      <c r="D211" s="145"/>
      <c r="E211" s="149" t="s">
        <v>91</v>
      </c>
      <c r="F211" s="145"/>
      <c r="G211" s="143"/>
      <c r="H211" s="237" t="s">
        <v>85</v>
      </c>
      <c r="I211" s="152">
        <f ca="1">IFERROR(__xludf.DUMMYFUNCTION("IMPORTRANGE(""https://docs.google.com/spreadsheets/d/1eHaY18a8A9IcSdp1K8H6x8fbOy06t2VsZHhMHf-1x7Y/edit?usp=sharing"",""แผน!JX82"")"),1)</f>
        <v>1</v>
      </c>
      <c r="J211" s="167">
        <v>0</v>
      </c>
      <c r="K211" s="153">
        <f ca="1">IF(I211&gt;0,J211*100/I211,0)</f>
        <v>0</v>
      </c>
      <c r="L211" s="546"/>
      <c r="M211" s="46"/>
      <c r="N211" s="46"/>
      <c r="O211" s="46"/>
      <c r="P211" s="46"/>
      <c r="Q211" s="546"/>
      <c r="R211" s="46"/>
      <c r="S211" s="46"/>
      <c r="T211" s="46"/>
      <c r="U211" s="46"/>
    </row>
    <row r="212" spans="1:21" ht="18.75" x14ac:dyDescent="0.25">
      <c r="A212" s="138"/>
      <c r="B212" s="139"/>
      <c r="C212" s="139"/>
      <c r="D212" s="145"/>
      <c r="E212" s="149" t="s">
        <v>92</v>
      </c>
      <c r="F212" s="145"/>
      <c r="G212" s="145"/>
      <c r="H212" s="150" t="s">
        <v>93</v>
      </c>
      <c r="I212" s="152">
        <f ca="1">IFERROR(__xludf.DUMMYFUNCTION("IMPORTRANGE(""https://docs.google.com/spreadsheets/d/1eHaY18a8A9IcSdp1K8H6x8fbOy06t2VsZHhMHf-1x7Y/edit?usp=sharing"",""แผน!JY82"")"),0)</f>
        <v>0</v>
      </c>
      <c r="J212" s="167">
        <v>0</v>
      </c>
      <c r="K212" s="153">
        <f ca="1">IF(I212&gt;0,J212*100/I212,0)</f>
        <v>0</v>
      </c>
      <c r="L212" s="546"/>
      <c r="M212" s="46"/>
      <c r="N212" s="46"/>
      <c r="O212" s="46"/>
      <c r="P212" s="46"/>
      <c r="Q212" s="546"/>
      <c r="R212" s="46"/>
      <c r="S212" s="46"/>
      <c r="T212" s="46"/>
      <c r="U212" s="46"/>
    </row>
    <row r="213" spans="1:21" ht="19.5" hidden="1" x14ac:dyDescent="0.3">
      <c r="A213" s="222"/>
      <c r="B213" s="223"/>
      <c r="C213" s="224" t="s">
        <v>94</v>
      </c>
      <c r="D213" s="225"/>
      <c r="E213" s="225"/>
      <c r="F213" s="225"/>
      <c r="G213" s="226"/>
      <c r="H213" s="234" t="s">
        <v>85</v>
      </c>
      <c r="I213" s="228">
        <f ca="1">I220</f>
        <v>0</v>
      </c>
      <c r="J213" s="228">
        <f>J220</f>
        <v>0</v>
      </c>
      <c r="K213" s="229">
        <f ca="1">IF(I213&gt;0,J213*100/I213,0)</f>
        <v>0</v>
      </c>
      <c r="L213" s="686"/>
      <c r="M213" s="230"/>
      <c r="N213" s="230"/>
      <c r="O213" s="230"/>
      <c r="P213" s="230"/>
      <c r="Q213" s="686"/>
      <c r="R213" s="230"/>
      <c r="S213" s="230"/>
      <c r="T213" s="230"/>
      <c r="U213" s="230"/>
    </row>
    <row r="214" spans="1:21" ht="19.5" hidden="1" x14ac:dyDescent="0.3">
      <c r="A214" s="128"/>
      <c r="B214" s="41"/>
      <c r="C214" s="129" t="s">
        <v>18</v>
      </c>
      <c r="D214" s="765" t="s">
        <v>19</v>
      </c>
      <c r="E214" s="41"/>
      <c r="F214" s="41"/>
      <c r="G214" s="43"/>
      <c r="H214" s="232" t="s">
        <v>14</v>
      </c>
      <c r="I214" s="135"/>
      <c r="J214" s="135"/>
      <c r="K214" s="136"/>
      <c r="L214" s="550">
        <f ca="1">L215+L216+L217</f>
        <v>0</v>
      </c>
      <c r="M214" s="46"/>
      <c r="N214" s="132">
        <f>N215+N216+N217</f>
        <v>0</v>
      </c>
      <c r="O214" s="132">
        <f ca="1">IF(L214&gt;0,N214*100/L214,0)</f>
        <v>0</v>
      </c>
      <c r="P214" s="132">
        <f>IF(M214&gt;0,N214*100/M214,0)</f>
        <v>0</v>
      </c>
      <c r="Q214" s="550">
        <f ca="1">Q215+Q216+Q217</f>
        <v>0</v>
      </c>
      <c r="R214" s="46"/>
      <c r="S214" s="132">
        <f>S215+S216+S217</f>
        <v>0</v>
      </c>
      <c r="T214" s="132">
        <f ca="1">IF(Q214&gt;0,S214*100/Q214,0)</f>
        <v>0</v>
      </c>
      <c r="U214" s="132">
        <f>IF(R214&gt;0,S214*100/R214,0)</f>
        <v>0</v>
      </c>
    </row>
    <row r="215" spans="1:21" ht="18.75" hidden="1" x14ac:dyDescent="0.25">
      <c r="A215" s="128"/>
      <c r="B215" s="159"/>
      <c r="C215" s="41"/>
      <c r="D215" s="48" t="s">
        <v>86</v>
      </c>
      <c r="E215" s="41"/>
      <c r="F215" s="41"/>
      <c r="G215" s="43"/>
      <c r="H215" s="134" t="s">
        <v>14</v>
      </c>
      <c r="I215" s="135"/>
      <c r="J215" s="135"/>
      <c r="K215" s="136"/>
      <c r="L215" s="548">
        <f ca="1">IFERROR(__xludf.DUMMYFUNCTION("IMPORTRANGE(""https://docs.google.com/spreadsheets/d/1eHaY18a8A9IcSdp1K8H6x8fbOy06t2VsZHhMHf-1x7Y/edit?usp=sharing"",""แผน!AM82"")"),0)</f>
        <v>0</v>
      </c>
      <c r="M215" s="46"/>
      <c r="N215" s="742">
        <v>0</v>
      </c>
      <c r="O215" s="136"/>
      <c r="P215" s="46"/>
      <c r="Q215" s="548">
        <v>0</v>
      </c>
      <c r="R215" s="46"/>
      <c r="S215" s="47">
        <v>0</v>
      </c>
      <c r="T215" s="136"/>
      <c r="U215" s="46"/>
    </row>
    <row r="216" spans="1:21" ht="18.75" hidden="1" x14ac:dyDescent="0.25">
      <c r="A216" s="217"/>
      <c r="B216" s="159"/>
      <c r="C216" s="159"/>
      <c r="D216" s="48" t="s">
        <v>95</v>
      </c>
      <c r="E216" s="41"/>
      <c r="F216" s="41"/>
      <c r="G216" s="43"/>
      <c r="H216" s="134" t="s">
        <v>14</v>
      </c>
      <c r="I216" s="45"/>
      <c r="J216" s="45"/>
      <c r="K216" s="46"/>
      <c r="L216" s="548">
        <f ca="1">IFERROR(__xludf.DUMMYFUNCTION("IMPORTRANGE(""https://docs.google.com/spreadsheets/d/1eHaY18a8A9IcSdp1K8H6x8fbOy06t2VsZHhMHf-1x7Y/edit?usp=sharing"",""แผน!AN82"")"),0)</f>
        <v>0</v>
      </c>
      <c r="M216" s="46"/>
      <c r="N216" s="742">
        <v>0</v>
      </c>
      <c r="O216" s="136"/>
      <c r="P216" s="46"/>
      <c r="Q216" s="548">
        <v>0</v>
      </c>
      <c r="R216" s="46"/>
      <c r="S216" s="47">
        <v>0</v>
      </c>
      <c r="T216" s="136"/>
      <c r="U216" s="46"/>
    </row>
    <row r="217" spans="1:21" ht="18.75" hidden="1" x14ac:dyDescent="0.25">
      <c r="A217" s="217"/>
      <c r="B217" s="159"/>
      <c r="C217" s="159"/>
      <c r="D217" s="48" t="s">
        <v>88</v>
      </c>
      <c r="E217" s="41"/>
      <c r="F217" s="41"/>
      <c r="G217" s="43"/>
      <c r="H217" s="134" t="s">
        <v>14</v>
      </c>
      <c r="I217" s="45"/>
      <c r="J217" s="45"/>
      <c r="K217" s="46"/>
      <c r="L217" s="548">
        <f ca="1">IFERROR(__xludf.DUMMYFUNCTION("IMPORTRANGE(""https://docs.google.com/spreadsheets/d/1eHaY18a8A9IcSdp1K8H6x8fbOy06t2VsZHhMHf-1x7Y/edit?usp=sharing"",""แผน!AO82"")"),0)</f>
        <v>0</v>
      </c>
      <c r="M217" s="46"/>
      <c r="N217" s="742">
        <v>0</v>
      </c>
      <c r="O217" s="136"/>
      <c r="P217" s="46"/>
      <c r="Q217" s="548">
        <f ca="1">IFERROR(__xludf.DUMMYFUNCTION("IMPORTRANGE(""https://docs.google.com/spreadsheets/d/1eHaY18a8A9IcSdp1K8H6x8fbOy06t2VsZHhMHf-1x7Y/edit?usp=sharing"",""แผน!LY82"")"),0)</f>
        <v>0</v>
      </c>
      <c r="R217" s="46"/>
      <c r="S217" s="742">
        <v>0</v>
      </c>
      <c r="T217" s="136"/>
      <c r="U217" s="46"/>
    </row>
    <row r="218" spans="1:21" ht="19.5" hidden="1" x14ac:dyDescent="0.3">
      <c r="A218" s="138"/>
      <c r="B218" s="139"/>
      <c r="C218" s="162" t="s">
        <v>18</v>
      </c>
      <c r="D218" s="563" t="s">
        <v>38</v>
      </c>
      <c r="E218" s="141"/>
      <c r="F218" s="141"/>
      <c r="G218" s="142"/>
      <c r="H218" s="143"/>
      <c r="I218" s="135"/>
      <c r="J218" s="45"/>
      <c r="K218" s="46"/>
      <c r="L218" s="546"/>
      <c r="M218" s="46"/>
      <c r="N218" s="46"/>
      <c r="O218" s="136"/>
      <c r="P218" s="136"/>
      <c r="Q218" s="546"/>
      <c r="R218" s="46"/>
      <c r="S218" s="46"/>
      <c r="T218" s="136"/>
      <c r="U218" s="136"/>
    </row>
    <row r="219" spans="1:21" ht="18.75" hidden="1" x14ac:dyDescent="0.25">
      <c r="A219" s="138"/>
      <c r="B219" s="139"/>
      <c r="C219" s="139"/>
      <c r="D219" s="144" t="s">
        <v>96</v>
      </c>
      <c r="E219" s="145"/>
      <c r="F219" s="145"/>
      <c r="G219" s="143"/>
      <c r="H219" s="237" t="s">
        <v>85</v>
      </c>
      <c r="I219" s="152">
        <f ca="1">IFERROR(__xludf.DUMMYFUNCTION("IMPORTRANGE(""https://docs.google.com/spreadsheets/d/1eHaY18a8A9IcSdp1K8H6x8fbOy06t2VsZHhMHf-1x7Y/edit?usp=sharing"",""แผน!AP82"")"),0)</f>
        <v>0</v>
      </c>
      <c r="J219" s="167">
        <v>0</v>
      </c>
      <c r="K219" s="47">
        <f ca="1">IF(I219&gt;0,J219*100/I219,0)</f>
        <v>0</v>
      </c>
      <c r="L219" s="546"/>
      <c r="M219" s="46"/>
      <c r="N219" s="46"/>
      <c r="O219" s="46"/>
      <c r="P219" s="46"/>
      <c r="Q219" s="546"/>
      <c r="R219" s="46"/>
      <c r="S219" s="46"/>
      <c r="T219" s="46"/>
      <c r="U219" s="46"/>
    </row>
    <row r="220" spans="1:21" ht="18.75" hidden="1" x14ac:dyDescent="0.25">
      <c r="A220" s="138"/>
      <c r="B220" s="139"/>
      <c r="C220" s="139"/>
      <c r="D220" s="144" t="s">
        <v>97</v>
      </c>
      <c r="E220" s="145"/>
      <c r="F220" s="145"/>
      <c r="G220" s="143"/>
      <c r="H220" s="237" t="s">
        <v>85</v>
      </c>
      <c r="I220" s="152">
        <f ca="1">IFERROR(__xludf.DUMMYFUNCTION("IMPORTRANGE(""https://docs.google.com/spreadsheets/d/1eHaY18a8A9IcSdp1K8H6x8fbOy06t2VsZHhMHf-1x7Y/edit?usp=sharing"",""แผน!AP82"")"),0)</f>
        <v>0</v>
      </c>
      <c r="J220" s="167">
        <v>0</v>
      </c>
      <c r="K220" s="47">
        <f ca="1">IF(I220&gt;0,J220*100/I220,0)</f>
        <v>0</v>
      </c>
      <c r="L220" s="546"/>
      <c r="M220" s="46"/>
      <c r="N220" s="46"/>
      <c r="O220" s="46"/>
      <c r="P220" s="46"/>
      <c r="Q220" s="546"/>
      <c r="R220" s="46"/>
      <c r="S220" s="46"/>
      <c r="T220" s="46"/>
      <c r="U220" s="46"/>
    </row>
    <row r="221" spans="1:21" ht="19.5" x14ac:dyDescent="0.3">
      <c r="A221" s="222"/>
      <c r="B221" s="223"/>
      <c r="C221" s="224" t="s">
        <v>98</v>
      </c>
      <c r="D221" s="225"/>
      <c r="E221" s="225"/>
      <c r="F221" s="225"/>
      <c r="G221" s="226"/>
      <c r="H221" s="227" t="s">
        <v>99</v>
      </c>
      <c r="I221" s="228">
        <f ca="1">I229</f>
        <v>10000</v>
      </c>
      <c r="J221" s="228">
        <f>J229</f>
        <v>0</v>
      </c>
      <c r="K221" s="229">
        <f ca="1">IF(I221&gt;0,J221*100/I221,0)</f>
        <v>0</v>
      </c>
      <c r="L221" s="686"/>
      <c r="M221" s="230"/>
      <c r="N221" s="230"/>
      <c r="O221" s="230"/>
      <c r="P221" s="230"/>
      <c r="Q221" s="230"/>
      <c r="R221" s="230"/>
      <c r="S221" s="230"/>
      <c r="T221" s="230"/>
      <c r="U221" s="230"/>
    </row>
    <row r="222" spans="1:21" ht="19.5" x14ac:dyDescent="0.3">
      <c r="A222" s="128"/>
      <c r="B222" s="41"/>
      <c r="C222" s="386" t="s">
        <v>18</v>
      </c>
      <c r="D222" s="765" t="s">
        <v>19</v>
      </c>
      <c r="E222" s="41"/>
      <c r="F222" s="41"/>
      <c r="G222" s="43"/>
      <c r="H222" s="232" t="s">
        <v>14</v>
      </c>
      <c r="I222" s="135"/>
      <c r="J222" s="135"/>
      <c r="K222" s="136"/>
      <c r="L222" s="550">
        <f ca="1">L223+L224+L225</f>
        <v>4500</v>
      </c>
      <c r="M222" s="46"/>
      <c r="N222" s="132">
        <f>N223+N224+N225</f>
        <v>0</v>
      </c>
      <c r="O222" s="132">
        <f ca="1">IF(L222&gt;0,N222*100/L222,0)</f>
        <v>0</v>
      </c>
      <c r="P222" s="132">
        <f>IF(M222&gt;0,N222*100/M222,0)</f>
        <v>0</v>
      </c>
      <c r="Q222" s="46"/>
      <c r="R222" s="46"/>
      <c r="S222" s="46"/>
      <c r="T222" s="46"/>
      <c r="U222" s="46"/>
    </row>
    <row r="223" spans="1:21" ht="18.75" x14ac:dyDescent="0.25">
      <c r="A223" s="128"/>
      <c r="B223" s="159"/>
      <c r="C223" s="41"/>
      <c r="D223" s="394" t="s">
        <v>311</v>
      </c>
      <c r="E223" s="41"/>
      <c r="F223" s="41"/>
      <c r="G223" s="43"/>
      <c r="H223" s="134" t="s">
        <v>14</v>
      </c>
      <c r="I223" s="135"/>
      <c r="J223" s="135"/>
      <c r="K223" s="136"/>
      <c r="L223" s="548">
        <f ca="1">IFERROR(__xludf.DUMMYFUNCTION("IMPORTRANGE(""https://docs.google.com/spreadsheets/d/1eHaY18a8A9IcSdp1K8H6x8fbOy06t2VsZHhMHf-1x7Y/edit?usp=sharing"",""แผน!AR82"")"),3000)</f>
        <v>3000</v>
      </c>
      <c r="M223" s="46"/>
      <c r="N223" s="742">
        <v>0</v>
      </c>
      <c r="O223" s="136"/>
      <c r="P223" s="46"/>
      <c r="Q223" s="46"/>
      <c r="R223" s="46"/>
      <c r="S223" s="46"/>
      <c r="T223" s="136"/>
      <c r="U223" s="46"/>
    </row>
    <row r="224" spans="1:21" ht="18.75" x14ac:dyDescent="0.25">
      <c r="A224" s="217"/>
      <c r="B224" s="159"/>
      <c r="C224" s="159"/>
      <c r="D224" s="48" t="s">
        <v>310</v>
      </c>
      <c r="E224" s="41"/>
      <c r="F224" s="41"/>
      <c r="G224" s="43"/>
      <c r="H224" s="134" t="s">
        <v>14</v>
      </c>
      <c r="I224" s="45"/>
      <c r="J224" s="45"/>
      <c r="K224" s="46"/>
      <c r="L224" s="548">
        <f ca="1">IFERROR(__xludf.DUMMYFUNCTION("IMPORTRANGE(""https://docs.google.com/spreadsheets/d/1eHaY18a8A9IcSdp1K8H6x8fbOy06t2VsZHhMHf-1x7Y/edit?usp=sharing"",""แผน!AS82"")"),1500)</f>
        <v>1500</v>
      </c>
      <c r="M224" s="46"/>
      <c r="N224" s="742">
        <v>0</v>
      </c>
      <c r="O224" s="136"/>
      <c r="P224" s="46"/>
      <c r="Q224" s="46"/>
      <c r="R224" s="46"/>
      <c r="S224" s="46"/>
      <c r="T224" s="136"/>
      <c r="U224" s="46"/>
    </row>
    <row r="225" spans="1:21" ht="18.75" x14ac:dyDescent="0.25">
      <c r="A225" s="217"/>
      <c r="B225" s="159"/>
      <c r="C225" s="159"/>
      <c r="D225" s="48" t="s">
        <v>88</v>
      </c>
      <c r="E225" s="41"/>
      <c r="F225" s="41"/>
      <c r="G225" s="43"/>
      <c r="H225" s="134" t="s">
        <v>14</v>
      </c>
      <c r="I225" s="45"/>
      <c r="J225" s="45"/>
      <c r="K225" s="46"/>
      <c r="L225" s="548">
        <f ca="1">IFERROR(__xludf.DUMMYFUNCTION("IMPORTRANGE(""https://docs.google.com/spreadsheets/d/1eHaY18a8A9IcSdp1K8H6x8fbOy06t2VsZHhMHf-1x7Y/edit?usp=sharing"",""แผน!AT82"")"),0)</f>
        <v>0</v>
      </c>
      <c r="M225" s="46"/>
      <c r="N225" s="742">
        <v>0</v>
      </c>
      <c r="O225" s="136"/>
      <c r="P225" s="46"/>
      <c r="Q225" s="46"/>
      <c r="R225" s="46"/>
      <c r="S225" s="46"/>
      <c r="T225" s="136"/>
      <c r="U225" s="46"/>
    </row>
    <row r="226" spans="1:21" ht="19.5" x14ac:dyDescent="0.3">
      <c r="A226" s="138"/>
      <c r="B226" s="139"/>
      <c r="C226" s="386" t="s">
        <v>18</v>
      </c>
      <c r="D226" s="563" t="s">
        <v>38</v>
      </c>
      <c r="E226" s="141"/>
      <c r="F226" s="141"/>
      <c r="G226" s="142"/>
      <c r="H226" s="143"/>
      <c r="I226" s="135"/>
      <c r="J226" s="135"/>
      <c r="K226" s="136"/>
      <c r="L226" s="558"/>
      <c r="M226" s="136"/>
      <c r="N226" s="136"/>
      <c r="O226" s="136"/>
      <c r="P226" s="136"/>
      <c r="Q226" s="136"/>
      <c r="R226" s="136"/>
      <c r="S226" s="136"/>
      <c r="T226" s="136"/>
      <c r="U226" s="136"/>
    </row>
    <row r="227" spans="1:21" ht="18.75" x14ac:dyDescent="0.25">
      <c r="A227" s="138"/>
      <c r="B227" s="139"/>
      <c r="C227" s="139"/>
      <c r="D227" s="48" t="s">
        <v>101</v>
      </c>
      <c r="E227" s="145"/>
      <c r="F227" s="145"/>
      <c r="G227" s="143"/>
      <c r="H227" s="143"/>
      <c r="I227" s="45"/>
      <c r="J227" s="45"/>
      <c r="K227" s="136"/>
      <c r="L227" s="558"/>
      <c r="M227" s="136"/>
      <c r="N227" s="136"/>
      <c r="O227" s="136"/>
      <c r="P227" s="136"/>
      <c r="Q227" s="136"/>
      <c r="R227" s="136"/>
      <c r="S227" s="136"/>
      <c r="T227" s="136"/>
      <c r="U227" s="136"/>
    </row>
    <row r="228" spans="1:21" ht="18.75" x14ac:dyDescent="0.25">
      <c r="A228" s="138"/>
      <c r="B228" s="139"/>
      <c r="C228" s="139"/>
      <c r="D228" s="139"/>
      <c r="E228" s="144" t="s">
        <v>102</v>
      </c>
      <c r="F228" s="145"/>
      <c r="G228" s="143"/>
      <c r="H228" s="150" t="s">
        <v>99</v>
      </c>
      <c r="I228" s="152">
        <f ca="1">IFERROR(__xludf.DUMMYFUNCTION("IMPORTRANGE(""https://docs.google.com/spreadsheets/d/1eHaY18a8A9IcSdp1K8H6x8fbOy06t2VsZHhMHf-1x7Y/edit?usp=sharing"",""แผน!AV82"")"),10000)</f>
        <v>10000</v>
      </c>
      <c r="J228" s="167">
        <v>0</v>
      </c>
      <c r="K228" s="153">
        <f ca="1">IF(I228&gt;0,J228*100/I228,0)</f>
        <v>0</v>
      </c>
      <c r="L228" s="558"/>
      <c r="M228" s="136"/>
      <c r="N228" s="136"/>
      <c r="O228" s="136"/>
      <c r="P228" s="136"/>
      <c r="Q228" s="136"/>
      <c r="R228" s="136"/>
      <c r="S228" s="136"/>
      <c r="T228" s="136"/>
      <c r="U228" s="136"/>
    </row>
    <row r="229" spans="1:21" ht="18.75" x14ac:dyDescent="0.25">
      <c r="A229" s="138"/>
      <c r="B229" s="139"/>
      <c r="C229" s="139"/>
      <c r="D229" s="139"/>
      <c r="E229" s="144" t="s">
        <v>103</v>
      </c>
      <c r="F229" s="145"/>
      <c r="G229" s="143"/>
      <c r="H229" s="150" t="s">
        <v>99</v>
      </c>
      <c r="I229" s="152">
        <f ca="1">IFERROR(__xludf.DUMMYFUNCTION("IMPORTRANGE(""https://docs.google.com/spreadsheets/d/1eHaY18a8A9IcSdp1K8H6x8fbOy06t2VsZHhMHf-1x7Y/edit?usp=sharing"",""แผน!AV82"")"),10000)</f>
        <v>10000</v>
      </c>
      <c r="J229" s="167">
        <v>0</v>
      </c>
      <c r="K229" s="153">
        <f ca="1">IF(I229&gt;0,J229*100/I229,0)</f>
        <v>0</v>
      </c>
      <c r="L229" s="546"/>
      <c r="M229" s="46"/>
      <c r="N229" s="46"/>
      <c r="O229" s="46"/>
      <c r="P229" s="46"/>
      <c r="Q229" s="46"/>
      <c r="R229" s="46"/>
      <c r="S229" s="46"/>
      <c r="T229" s="46"/>
      <c r="U229" s="46"/>
    </row>
    <row r="230" spans="1:21" ht="18.75" x14ac:dyDescent="0.25">
      <c r="A230" s="138"/>
      <c r="B230" s="139"/>
      <c r="C230" s="139"/>
      <c r="D230" s="48" t="s">
        <v>104</v>
      </c>
      <c r="E230" s="145"/>
      <c r="F230" s="145"/>
      <c r="G230" s="143"/>
      <c r="H230" s="150" t="s">
        <v>35</v>
      </c>
      <c r="I230" s="152">
        <f ca="1">IFERROR(__xludf.DUMMYFUNCTION("IMPORTRANGE(""https://docs.google.com/spreadsheets/d/1eHaY18a8A9IcSdp1K8H6x8fbOy06t2VsZHhMHf-1x7Y/edit?usp=sharing"",""แผน!AU82"")"),0)</f>
        <v>0</v>
      </c>
      <c r="J230" s="167">
        <v>0</v>
      </c>
      <c r="K230" s="153">
        <f ca="1">IF(I230&gt;0,J230*100/I230,0)</f>
        <v>0</v>
      </c>
      <c r="L230" s="546"/>
      <c r="M230" s="46"/>
      <c r="N230" s="46"/>
      <c r="O230" s="46"/>
      <c r="P230" s="46"/>
      <c r="Q230" s="46"/>
      <c r="R230" s="46"/>
      <c r="S230" s="46"/>
      <c r="T230" s="46"/>
      <c r="U230" s="46"/>
    </row>
    <row r="231" spans="1:21" ht="19.5" hidden="1" x14ac:dyDescent="0.3">
      <c r="A231" s="764"/>
      <c r="B231" s="763"/>
      <c r="C231" s="748" t="s">
        <v>105</v>
      </c>
      <c r="D231" s="762"/>
      <c r="E231" s="762"/>
      <c r="F231" s="762"/>
      <c r="G231" s="761"/>
      <c r="H231" s="747" t="s">
        <v>35</v>
      </c>
      <c r="I231" s="746">
        <f ca="1">I242+I253</f>
        <v>0</v>
      </c>
      <c r="J231" s="746">
        <f>J242+J253</f>
        <v>0</v>
      </c>
      <c r="K231" s="745">
        <f ca="1">IF(I231&gt;0,J231*100/I231,0)</f>
        <v>0</v>
      </c>
      <c r="L231" s="686"/>
      <c r="M231" s="230"/>
      <c r="N231" s="230"/>
      <c r="O231" s="230"/>
      <c r="P231" s="230"/>
      <c r="Q231" s="230"/>
      <c r="R231" s="230"/>
      <c r="S231" s="230"/>
      <c r="T231" s="230"/>
      <c r="U231" s="230"/>
    </row>
    <row r="232" spans="1:21" ht="19.5" hidden="1" x14ac:dyDescent="0.3">
      <c r="A232" s="623"/>
      <c r="B232" s="622"/>
      <c r="C232" s="744" t="s">
        <v>18</v>
      </c>
      <c r="D232" s="560" t="s">
        <v>19</v>
      </c>
      <c r="E232" s="622"/>
      <c r="F232" s="622"/>
      <c r="G232" s="621"/>
      <c r="H232" s="490" t="s">
        <v>14</v>
      </c>
      <c r="I232" s="620"/>
      <c r="J232" s="620"/>
      <c r="K232" s="619"/>
      <c r="L232" s="760">
        <f ca="1">L243+L254</f>
        <v>0</v>
      </c>
      <c r="M232" s="46"/>
      <c r="N232" s="759">
        <f>N243+N254</f>
        <v>0</v>
      </c>
      <c r="O232" s="46"/>
      <c r="P232" s="46"/>
      <c r="Q232" s="758">
        <v>0</v>
      </c>
      <c r="R232" s="758">
        <v>0</v>
      </c>
      <c r="S232" s="758">
        <v>0</v>
      </c>
      <c r="T232" s="46"/>
      <c r="U232" s="46"/>
    </row>
    <row r="233" spans="1:21" ht="18.75" hidden="1" x14ac:dyDescent="0.25">
      <c r="A233" s="623"/>
      <c r="B233" s="755"/>
      <c r="C233" s="622"/>
      <c r="D233" s="157" t="s">
        <v>86</v>
      </c>
      <c r="E233" s="622"/>
      <c r="F233" s="622"/>
      <c r="G233" s="621"/>
      <c r="H233" s="160" t="s">
        <v>14</v>
      </c>
      <c r="I233" s="620"/>
      <c r="J233" s="620"/>
      <c r="K233" s="619"/>
      <c r="L233" s="549">
        <f ca="1">L244+L255</f>
        <v>0</v>
      </c>
      <c r="M233" s="46"/>
      <c r="N233" s="49">
        <f>N244+N255</f>
        <v>0</v>
      </c>
      <c r="O233" s="46"/>
      <c r="P233" s="46"/>
      <c r="Q233" s="757">
        <v>0</v>
      </c>
      <c r="R233" s="176">
        <v>0</v>
      </c>
      <c r="S233" s="176">
        <v>0</v>
      </c>
      <c r="T233" s="46"/>
      <c r="U233" s="46"/>
    </row>
    <row r="234" spans="1:21" ht="18.75" hidden="1" x14ac:dyDescent="0.25">
      <c r="A234" s="756"/>
      <c r="B234" s="755"/>
      <c r="C234" s="755"/>
      <c r="D234" s="157" t="s">
        <v>88</v>
      </c>
      <c r="E234" s="622"/>
      <c r="F234" s="622"/>
      <c r="G234" s="621"/>
      <c r="H234" s="160" t="s">
        <v>14</v>
      </c>
      <c r="I234" s="626"/>
      <c r="J234" s="626"/>
      <c r="K234" s="625"/>
      <c r="L234" s="549">
        <f ca="1">L245+L256</f>
        <v>0</v>
      </c>
      <c r="M234" s="46"/>
      <c r="N234" s="49">
        <f>N245+N256</f>
        <v>0</v>
      </c>
      <c r="O234" s="46"/>
      <c r="P234" s="46"/>
      <c r="Q234" s="548">
        <v>0</v>
      </c>
      <c r="R234" s="47">
        <v>0</v>
      </c>
      <c r="S234" s="47">
        <v>0</v>
      </c>
      <c r="T234" s="46"/>
      <c r="U234" s="46"/>
    </row>
    <row r="235" spans="1:21" ht="18.75" hidden="1" x14ac:dyDescent="0.25">
      <c r="A235" s="756"/>
      <c r="B235" s="755"/>
      <c r="C235" s="755"/>
      <c r="D235" s="157" t="s">
        <v>106</v>
      </c>
      <c r="E235" s="622"/>
      <c r="F235" s="622"/>
      <c r="G235" s="621"/>
      <c r="H235" s="160" t="s">
        <v>14</v>
      </c>
      <c r="I235" s="626"/>
      <c r="J235" s="626"/>
      <c r="K235" s="625"/>
      <c r="L235" s="549">
        <f ca="1">L246+L257</f>
        <v>0</v>
      </c>
      <c r="M235" s="46"/>
      <c r="N235" s="49">
        <f>N246+N257</f>
        <v>0</v>
      </c>
      <c r="O235" s="46"/>
      <c r="P235" s="46"/>
      <c r="Q235" s="548">
        <v>0</v>
      </c>
      <c r="R235" s="47">
        <v>0</v>
      </c>
      <c r="S235" s="47">
        <v>0</v>
      </c>
      <c r="T235" s="46"/>
      <c r="U235" s="46"/>
    </row>
    <row r="236" spans="1:21" ht="18.75" hidden="1" x14ac:dyDescent="0.25">
      <c r="A236" s="756"/>
      <c r="B236" s="755"/>
      <c r="C236" s="755"/>
      <c r="D236" s="157" t="s">
        <v>107</v>
      </c>
      <c r="E236" s="622"/>
      <c r="F236" s="622"/>
      <c r="G236" s="621"/>
      <c r="H236" s="160" t="s">
        <v>14</v>
      </c>
      <c r="I236" s="626"/>
      <c r="J236" s="626"/>
      <c r="K236" s="625"/>
      <c r="L236" s="549">
        <f ca="1">L247+L258</f>
        <v>0</v>
      </c>
      <c r="M236" s="46"/>
      <c r="N236" s="49">
        <f>N247+N258</f>
        <v>0</v>
      </c>
      <c r="O236" s="46"/>
      <c r="P236" s="46"/>
      <c r="Q236" s="548">
        <v>0</v>
      </c>
      <c r="R236" s="47">
        <v>0</v>
      </c>
      <c r="S236" s="47">
        <v>0</v>
      </c>
      <c r="T236" s="46"/>
      <c r="U236" s="46"/>
    </row>
    <row r="237" spans="1:21" ht="19.5" hidden="1" x14ac:dyDescent="0.3">
      <c r="A237" s="752"/>
      <c r="B237" s="751"/>
      <c r="C237" s="741" t="s">
        <v>18</v>
      </c>
      <c r="D237" s="582" t="s">
        <v>38</v>
      </c>
      <c r="E237" s="754"/>
      <c r="F237" s="754"/>
      <c r="G237" s="753"/>
      <c r="H237" s="749"/>
      <c r="I237" s="620"/>
      <c r="J237" s="626"/>
      <c r="K237" s="625"/>
      <c r="L237" s="546"/>
      <c r="M237" s="46"/>
      <c r="N237" s="46"/>
      <c r="O237" s="136"/>
      <c r="P237" s="136"/>
      <c r="Q237" s="46"/>
      <c r="R237" s="46"/>
      <c r="S237" s="46"/>
      <c r="T237" s="136"/>
      <c r="U237" s="136"/>
    </row>
    <row r="238" spans="1:21" ht="18.75" hidden="1" x14ac:dyDescent="0.25">
      <c r="A238" s="752"/>
      <c r="B238" s="751"/>
      <c r="C238" s="751"/>
      <c r="D238" s="190" t="s">
        <v>108</v>
      </c>
      <c r="E238" s="750"/>
      <c r="F238" s="750"/>
      <c r="G238" s="749"/>
      <c r="H238" s="738" t="s">
        <v>35</v>
      </c>
      <c r="I238" s="495">
        <f ca="1">I249+I260</f>
        <v>0</v>
      </c>
      <c r="J238" s="495">
        <f>J249+J260</f>
        <v>0</v>
      </c>
      <c r="K238" s="49">
        <f ca="1">IF(I238&gt;0,J238*100/I238,0)</f>
        <v>0</v>
      </c>
      <c r="L238" s="546"/>
      <c r="M238" s="46"/>
      <c r="N238" s="46"/>
      <c r="O238" s="46"/>
      <c r="P238" s="46"/>
      <c r="Q238" s="46"/>
      <c r="R238" s="46"/>
      <c r="S238" s="46"/>
      <c r="T238" s="46"/>
      <c r="U238" s="46"/>
    </row>
    <row r="239" spans="1:21" ht="18.75" hidden="1" x14ac:dyDescent="0.25">
      <c r="A239" s="752"/>
      <c r="B239" s="751"/>
      <c r="C239" s="751"/>
      <c r="D239" s="740" t="s">
        <v>43</v>
      </c>
      <c r="E239" s="750"/>
      <c r="F239" s="750"/>
      <c r="G239" s="749"/>
      <c r="H239" s="749"/>
      <c r="I239" s="626"/>
      <c r="J239" s="626"/>
      <c r="K239" s="625"/>
      <c r="L239" s="546"/>
      <c r="M239" s="46"/>
      <c r="N239" s="46"/>
      <c r="O239" s="136"/>
      <c r="P239" s="136"/>
      <c r="Q239" s="46"/>
      <c r="R239" s="46"/>
      <c r="S239" s="46"/>
      <c r="T239" s="136"/>
      <c r="U239" s="136"/>
    </row>
    <row r="240" spans="1:21" ht="18.75" hidden="1" x14ac:dyDescent="0.25">
      <c r="A240" s="752"/>
      <c r="B240" s="751"/>
      <c r="C240" s="751"/>
      <c r="D240" s="751"/>
      <c r="E240" s="739" t="s">
        <v>109</v>
      </c>
      <c r="F240" s="750"/>
      <c r="G240" s="749"/>
      <c r="H240" s="738" t="s">
        <v>35</v>
      </c>
      <c r="I240" s="495">
        <f>I251+I262</f>
        <v>0</v>
      </c>
      <c r="J240" s="495">
        <f>J251+J262</f>
        <v>0</v>
      </c>
      <c r="K240" s="49">
        <f>IF(I240&gt;0,J240*100/I240,0)</f>
        <v>0</v>
      </c>
      <c r="L240" s="546"/>
      <c r="M240" s="46"/>
      <c r="N240" s="46"/>
      <c r="O240" s="46"/>
      <c r="P240" s="46"/>
      <c r="Q240" s="46"/>
      <c r="R240" s="46"/>
      <c r="S240" s="46"/>
      <c r="T240" s="46"/>
      <c r="U240" s="46"/>
    </row>
    <row r="241" spans="1:21" ht="18.75" hidden="1" x14ac:dyDescent="0.25">
      <c r="A241" s="752"/>
      <c r="B241" s="751"/>
      <c r="C241" s="751"/>
      <c r="D241" s="751"/>
      <c r="E241" s="739" t="s">
        <v>110</v>
      </c>
      <c r="F241" s="750"/>
      <c r="G241" s="749"/>
      <c r="H241" s="738" t="s">
        <v>61</v>
      </c>
      <c r="I241" s="495">
        <f>I252+I263</f>
        <v>0</v>
      </c>
      <c r="J241" s="495">
        <f>J252+J263</f>
        <v>0</v>
      </c>
      <c r="K241" s="49">
        <f>IF(I241&gt;0,J241*100/I241,0)</f>
        <v>0</v>
      </c>
      <c r="L241" s="546"/>
      <c r="M241" s="46"/>
      <c r="N241" s="46"/>
      <c r="O241" s="46"/>
      <c r="P241" s="46"/>
      <c r="Q241" s="46"/>
      <c r="R241" s="46"/>
      <c r="S241" s="46"/>
      <c r="T241" s="46"/>
      <c r="U241" s="46"/>
    </row>
    <row r="242" spans="1:21" ht="19.5" hidden="1" x14ac:dyDescent="0.3">
      <c r="A242" s="222"/>
      <c r="B242" s="223"/>
      <c r="C242" s="748" t="s">
        <v>111</v>
      </c>
      <c r="D242" s="225"/>
      <c r="E242" s="225"/>
      <c r="F242" s="225"/>
      <c r="G242" s="226"/>
      <c r="H242" s="747" t="s">
        <v>35</v>
      </c>
      <c r="I242" s="746">
        <f ca="1">I249</f>
        <v>0</v>
      </c>
      <c r="J242" s="746">
        <f>J249</f>
        <v>0</v>
      </c>
      <c r="K242" s="745">
        <f ca="1">IF(I242&gt;0,J242*100/I242,0)</f>
        <v>0</v>
      </c>
      <c r="L242" s="686"/>
      <c r="M242" s="230"/>
      <c r="N242" s="230"/>
      <c r="O242" s="230"/>
      <c r="P242" s="230"/>
      <c r="Q242" s="230"/>
      <c r="R242" s="230"/>
      <c r="S242" s="230"/>
      <c r="T242" s="230"/>
      <c r="U242" s="230"/>
    </row>
    <row r="243" spans="1:21" ht="19.5" hidden="1" x14ac:dyDescent="0.3">
      <c r="A243" s="128"/>
      <c r="B243" s="41"/>
      <c r="C243" s="744" t="s">
        <v>18</v>
      </c>
      <c r="D243" s="560" t="s">
        <v>19</v>
      </c>
      <c r="E243" s="41"/>
      <c r="F243" s="41"/>
      <c r="G243" s="43"/>
      <c r="H243" s="490" t="s">
        <v>14</v>
      </c>
      <c r="I243" s="135"/>
      <c r="J243" s="135"/>
      <c r="K243" s="136"/>
      <c r="L243" s="550">
        <f ca="1">L244+L245+L246+L247</f>
        <v>0</v>
      </c>
      <c r="M243" s="46"/>
      <c r="N243" s="132">
        <f>N244+N245+N246+N247</f>
        <v>0</v>
      </c>
      <c r="O243" s="132">
        <f ca="1">IF(L243&gt;0,N243*100/L243,0)</f>
        <v>0</v>
      </c>
      <c r="P243" s="132">
        <f>IF(M243&gt;0,N243*100/M243,0)</f>
        <v>0</v>
      </c>
      <c r="Q243" s="46"/>
      <c r="R243" s="46"/>
      <c r="S243" s="46"/>
      <c r="T243" s="46"/>
      <c r="U243" s="46"/>
    </row>
    <row r="244" spans="1:21" ht="18.75" hidden="1" x14ac:dyDescent="0.25">
      <c r="A244" s="128"/>
      <c r="B244" s="159"/>
      <c r="C244" s="41"/>
      <c r="D244" s="157" t="s">
        <v>86</v>
      </c>
      <c r="E244" s="41"/>
      <c r="F244" s="41"/>
      <c r="G244" s="43"/>
      <c r="H244" s="160" t="s">
        <v>14</v>
      </c>
      <c r="I244" s="135"/>
      <c r="J244" s="135"/>
      <c r="K244" s="136"/>
      <c r="L244" s="548">
        <f ca="1">IFERROR(__xludf.DUMMYFUNCTION("IMPORTRANGE(""https://docs.google.com/spreadsheets/d/1eHaY18a8A9IcSdp1K8H6x8fbOy06t2VsZHhMHf-1x7Y/edit?usp=sharing"",""แผน!AX82"")"),0)</f>
        <v>0</v>
      </c>
      <c r="M244" s="46"/>
      <c r="N244" s="742">
        <v>0</v>
      </c>
      <c r="O244" s="46"/>
      <c r="P244" s="46"/>
      <c r="Q244" s="46"/>
      <c r="R244" s="46"/>
      <c r="S244" s="46"/>
      <c r="T244" s="46"/>
      <c r="U244" s="46"/>
    </row>
    <row r="245" spans="1:21" ht="18.75" hidden="1" x14ac:dyDescent="0.25">
      <c r="A245" s="217"/>
      <c r="B245" s="159"/>
      <c r="C245" s="159"/>
      <c r="D245" s="157" t="s">
        <v>88</v>
      </c>
      <c r="E245" s="41"/>
      <c r="F245" s="41"/>
      <c r="G245" s="43"/>
      <c r="H245" s="160" t="s">
        <v>14</v>
      </c>
      <c r="I245" s="45"/>
      <c r="J245" s="45"/>
      <c r="K245" s="46"/>
      <c r="L245" s="548">
        <f ca="1">IFERROR(__xludf.DUMMYFUNCTION("IMPORTRANGE(""https://docs.google.com/spreadsheets/d/1eHaY18a8A9IcSdp1K8H6x8fbOy06t2VsZHhMHf-1x7Y/edit?usp=sharing"",""แผน!AY82"")"),0)</f>
        <v>0</v>
      </c>
      <c r="M245" s="46"/>
      <c r="N245" s="742">
        <v>0</v>
      </c>
      <c r="O245" s="46"/>
      <c r="P245" s="46"/>
      <c r="Q245" s="46"/>
      <c r="R245" s="46"/>
      <c r="S245" s="46"/>
      <c r="T245" s="46"/>
      <c r="U245" s="46"/>
    </row>
    <row r="246" spans="1:21" ht="18.75" hidden="1" x14ac:dyDescent="0.25">
      <c r="A246" s="217"/>
      <c r="B246" s="159"/>
      <c r="C246" s="159"/>
      <c r="D246" s="157" t="s">
        <v>106</v>
      </c>
      <c r="E246" s="41"/>
      <c r="F246" s="41"/>
      <c r="G246" s="43"/>
      <c r="H246" s="160" t="s">
        <v>14</v>
      </c>
      <c r="I246" s="45"/>
      <c r="J246" s="45"/>
      <c r="K246" s="46"/>
      <c r="L246" s="548">
        <f ca="1">IFERROR(__xludf.DUMMYFUNCTION("IMPORTRANGE(""https://docs.google.com/spreadsheets/d/1eHaY18a8A9IcSdp1K8H6x8fbOy06t2VsZHhMHf-1x7Y/edit?usp=sharing"",""แผน!AZ82"")"),0)</f>
        <v>0</v>
      </c>
      <c r="M246" s="46"/>
      <c r="N246" s="742">
        <v>0</v>
      </c>
      <c r="O246" s="46"/>
      <c r="P246" s="46"/>
      <c r="Q246" s="46"/>
      <c r="R246" s="46"/>
      <c r="S246" s="46"/>
      <c r="T246" s="46"/>
      <c r="U246" s="46"/>
    </row>
    <row r="247" spans="1:21" ht="18.75" hidden="1" x14ac:dyDescent="0.25">
      <c r="A247" s="217"/>
      <c r="B247" s="159"/>
      <c r="C247" s="159"/>
      <c r="D247" s="157" t="s">
        <v>107</v>
      </c>
      <c r="E247" s="41"/>
      <c r="F247" s="41"/>
      <c r="G247" s="43"/>
      <c r="H247" s="160" t="s">
        <v>14</v>
      </c>
      <c r="I247" s="45"/>
      <c r="J247" s="45"/>
      <c r="K247" s="46"/>
      <c r="L247" s="548">
        <f ca="1">IFERROR(__xludf.DUMMYFUNCTION("IMPORTRANGE(""https://docs.google.com/spreadsheets/d/1eHaY18a8A9IcSdp1K8H6x8fbOy06t2VsZHhMHf-1x7Y/edit?usp=sharing"",""แผน!BA82"")"),0)</f>
        <v>0</v>
      </c>
      <c r="M247" s="46"/>
      <c r="N247" s="742">
        <v>0</v>
      </c>
      <c r="O247" s="46"/>
      <c r="P247" s="46"/>
      <c r="Q247" s="46"/>
      <c r="R247" s="46"/>
      <c r="S247" s="46"/>
      <c r="T247" s="46"/>
      <c r="U247" s="46"/>
    </row>
    <row r="248" spans="1:21" ht="19.5" hidden="1" x14ac:dyDescent="0.3">
      <c r="A248" s="138"/>
      <c r="B248" s="139"/>
      <c r="C248" s="741" t="s">
        <v>18</v>
      </c>
      <c r="D248" s="582" t="s">
        <v>38</v>
      </c>
      <c r="E248" s="141"/>
      <c r="F248" s="141"/>
      <c r="G248" s="142"/>
      <c r="H248" s="143"/>
      <c r="I248" s="135"/>
      <c r="J248" s="45"/>
      <c r="K248" s="46"/>
      <c r="L248" s="546"/>
      <c r="M248" s="46"/>
      <c r="N248" s="46"/>
      <c r="O248" s="136"/>
      <c r="P248" s="136"/>
      <c r="Q248" s="46"/>
      <c r="R248" s="46"/>
      <c r="S248" s="46"/>
      <c r="T248" s="136"/>
      <c r="U248" s="136"/>
    </row>
    <row r="249" spans="1:21" ht="18.75" hidden="1" x14ac:dyDescent="0.25">
      <c r="A249" s="138"/>
      <c r="B249" s="139"/>
      <c r="C249" s="139"/>
      <c r="D249" s="190" t="s">
        <v>108</v>
      </c>
      <c r="E249" s="145"/>
      <c r="F249" s="145"/>
      <c r="G249" s="143"/>
      <c r="H249" s="738" t="s">
        <v>35</v>
      </c>
      <c r="I249" s="495">
        <f ca="1">IFERROR(__xludf.DUMMYFUNCTION("IMPORTRANGE(""https://docs.google.com/spreadsheets/d/1eHaY18a8A9IcSdp1K8H6x8fbOy06t2VsZHhMHf-1x7Y/edit?usp=sharing"",""แผน!BG82"")"),0)</f>
        <v>0</v>
      </c>
      <c r="J249" s="737">
        <v>0</v>
      </c>
      <c r="K249" s="49">
        <f ca="1">IF(I249&gt;0,J249*100/I249,0)</f>
        <v>0</v>
      </c>
      <c r="L249" s="546"/>
      <c r="M249" s="46"/>
      <c r="N249" s="46"/>
      <c r="O249" s="46"/>
      <c r="P249" s="46"/>
      <c r="Q249" s="46"/>
      <c r="R249" s="46"/>
      <c r="S249" s="46"/>
      <c r="T249" s="46"/>
      <c r="U249" s="46"/>
    </row>
    <row r="250" spans="1:21" ht="18.75" hidden="1" x14ac:dyDescent="0.25">
      <c r="A250" s="138"/>
      <c r="B250" s="139"/>
      <c r="C250" s="139"/>
      <c r="D250" s="740" t="s">
        <v>43</v>
      </c>
      <c r="E250" s="145"/>
      <c r="F250" s="145"/>
      <c r="G250" s="143"/>
      <c r="H250" s="143"/>
      <c r="I250" s="45"/>
      <c r="J250" s="45"/>
      <c r="K250" s="46"/>
      <c r="L250" s="546"/>
      <c r="M250" s="46"/>
      <c r="N250" s="46"/>
      <c r="O250" s="136"/>
      <c r="P250" s="136"/>
      <c r="Q250" s="46"/>
      <c r="R250" s="46"/>
      <c r="S250" s="46"/>
      <c r="T250" s="136"/>
      <c r="U250" s="136"/>
    </row>
    <row r="251" spans="1:21" ht="18.75" hidden="1" x14ac:dyDescent="0.25">
      <c r="A251" s="138"/>
      <c r="B251" s="139"/>
      <c r="C251" s="139"/>
      <c r="D251" s="139"/>
      <c r="E251" s="739" t="s">
        <v>109</v>
      </c>
      <c r="F251" s="145"/>
      <c r="G251" s="143"/>
      <c r="H251" s="738" t="s">
        <v>35</v>
      </c>
      <c r="I251" s="495">
        <v>0</v>
      </c>
      <c r="J251" s="737">
        <v>0</v>
      </c>
      <c r="K251" s="49">
        <f>IF(I251&gt;0,J251*100/I251,0)</f>
        <v>0</v>
      </c>
      <c r="L251" s="546"/>
      <c r="M251" s="46"/>
      <c r="N251" s="46"/>
      <c r="O251" s="46"/>
      <c r="P251" s="46"/>
      <c r="Q251" s="46"/>
      <c r="R251" s="46"/>
      <c r="S251" s="46"/>
      <c r="T251" s="46"/>
      <c r="U251" s="46"/>
    </row>
    <row r="252" spans="1:21" ht="18.75" hidden="1" x14ac:dyDescent="0.25">
      <c r="A252" s="138"/>
      <c r="B252" s="139"/>
      <c r="C252" s="139"/>
      <c r="D252" s="139"/>
      <c r="E252" s="739" t="s">
        <v>110</v>
      </c>
      <c r="F252" s="145"/>
      <c r="G252" s="143"/>
      <c r="H252" s="738" t="s">
        <v>61</v>
      </c>
      <c r="I252" s="495">
        <v>0</v>
      </c>
      <c r="J252" s="737">
        <v>0</v>
      </c>
      <c r="K252" s="49">
        <f>IF(I252&gt;0,J252*100/I252,0)</f>
        <v>0</v>
      </c>
      <c r="L252" s="546"/>
      <c r="M252" s="46"/>
      <c r="N252" s="46"/>
      <c r="O252" s="46"/>
      <c r="P252" s="46"/>
      <c r="Q252" s="46"/>
      <c r="R252" s="46"/>
      <c r="S252" s="46"/>
      <c r="T252" s="46"/>
      <c r="U252" s="46"/>
    </row>
    <row r="253" spans="1:21" ht="19.5" hidden="1" x14ac:dyDescent="0.3">
      <c r="A253" s="222"/>
      <c r="B253" s="223"/>
      <c r="C253" s="748" t="s">
        <v>112</v>
      </c>
      <c r="D253" s="225"/>
      <c r="E253" s="225"/>
      <c r="F253" s="225"/>
      <c r="G253" s="226"/>
      <c r="H253" s="747" t="s">
        <v>35</v>
      </c>
      <c r="I253" s="746">
        <f ca="1">I260</f>
        <v>0</v>
      </c>
      <c r="J253" s="746">
        <f>J260</f>
        <v>0</v>
      </c>
      <c r="K253" s="745">
        <f ca="1">IF(I253&gt;0,J253*100/I253,0)</f>
        <v>0</v>
      </c>
      <c r="L253" s="686"/>
      <c r="M253" s="230"/>
      <c r="N253" s="230"/>
      <c r="O253" s="230"/>
      <c r="P253" s="230"/>
      <c r="Q253" s="230"/>
      <c r="R253" s="230"/>
      <c r="S253" s="230"/>
      <c r="T253" s="230"/>
      <c r="U253" s="230"/>
    </row>
    <row r="254" spans="1:21" ht="19.5" hidden="1" x14ac:dyDescent="0.3">
      <c r="A254" s="128"/>
      <c r="B254" s="41"/>
      <c r="C254" s="744" t="s">
        <v>18</v>
      </c>
      <c r="D254" s="743" t="s">
        <v>19</v>
      </c>
      <c r="E254" s="41"/>
      <c r="F254" s="41"/>
      <c r="G254" s="43"/>
      <c r="H254" s="490" t="s">
        <v>14</v>
      </c>
      <c r="I254" s="135"/>
      <c r="J254" s="135"/>
      <c r="K254" s="136"/>
      <c r="L254" s="550">
        <f ca="1">L255+L256+L257+L258</f>
        <v>0</v>
      </c>
      <c r="M254" s="46"/>
      <c r="N254" s="132">
        <f>N255+N256+N257+N258</f>
        <v>0</v>
      </c>
      <c r="O254" s="132">
        <f ca="1">IF(L254&gt;0,N254*100/L254,0)</f>
        <v>0</v>
      </c>
      <c r="P254" s="132">
        <f>IF(M254&gt;0,N254*100/M254,0)</f>
        <v>0</v>
      </c>
      <c r="Q254" s="46"/>
      <c r="R254" s="46"/>
      <c r="S254" s="46"/>
      <c r="T254" s="46"/>
      <c r="U254" s="46"/>
    </row>
    <row r="255" spans="1:21" ht="18.75" hidden="1" x14ac:dyDescent="0.25">
      <c r="A255" s="128"/>
      <c r="B255" s="159"/>
      <c r="C255" s="41"/>
      <c r="D255" s="157" t="s">
        <v>86</v>
      </c>
      <c r="E255" s="41"/>
      <c r="F255" s="41"/>
      <c r="G255" s="43"/>
      <c r="H255" s="160" t="s">
        <v>14</v>
      </c>
      <c r="I255" s="135"/>
      <c r="J255" s="135"/>
      <c r="K255" s="136"/>
      <c r="L255" s="548">
        <f ca="1">IFERROR(__xludf.DUMMYFUNCTION("IMPORTRANGE(""https://docs.google.com/spreadsheets/d/1eHaY18a8A9IcSdp1K8H6x8fbOy06t2VsZHhMHf-1x7Y/edit?usp=sharing"",""แผน!BB82"")"),0)</f>
        <v>0</v>
      </c>
      <c r="M255" s="46"/>
      <c r="N255" s="742">
        <v>0</v>
      </c>
      <c r="O255" s="46"/>
      <c r="P255" s="46"/>
      <c r="Q255" s="46"/>
      <c r="R255" s="46"/>
      <c r="S255" s="46"/>
      <c r="T255" s="46"/>
      <c r="U255" s="46"/>
    </row>
    <row r="256" spans="1:21" ht="18.75" hidden="1" x14ac:dyDescent="0.25">
      <c r="A256" s="217"/>
      <c r="B256" s="159"/>
      <c r="C256" s="159"/>
      <c r="D256" s="157" t="s">
        <v>88</v>
      </c>
      <c r="E256" s="41"/>
      <c r="F256" s="41"/>
      <c r="G256" s="43"/>
      <c r="H256" s="160" t="s">
        <v>14</v>
      </c>
      <c r="I256" s="45"/>
      <c r="J256" s="45"/>
      <c r="K256" s="46"/>
      <c r="L256" s="548">
        <f ca="1">IFERROR(__xludf.DUMMYFUNCTION("IMPORTRANGE(""https://docs.google.com/spreadsheets/d/1eHaY18a8A9IcSdp1K8H6x8fbOy06t2VsZHhMHf-1x7Y/edit?usp=sharing"",""แผน!BC82"")"),0)</f>
        <v>0</v>
      </c>
      <c r="M256" s="46"/>
      <c r="N256" s="742">
        <v>0</v>
      </c>
      <c r="O256" s="46"/>
      <c r="P256" s="46"/>
      <c r="Q256" s="46"/>
      <c r="R256" s="46"/>
      <c r="S256" s="46"/>
      <c r="T256" s="46"/>
      <c r="U256" s="46"/>
    </row>
    <row r="257" spans="1:21" ht="18.75" hidden="1" x14ac:dyDescent="0.25">
      <c r="A257" s="217"/>
      <c r="B257" s="159"/>
      <c r="C257" s="159"/>
      <c r="D257" s="157" t="s">
        <v>106</v>
      </c>
      <c r="E257" s="41"/>
      <c r="F257" s="41"/>
      <c r="G257" s="43"/>
      <c r="H257" s="160" t="s">
        <v>14</v>
      </c>
      <c r="I257" s="45"/>
      <c r="J257" s="45"/>
      <c r="K257" s="46"/>
      <c r="L257" s="548">
        <f ca="1">IFERROR(__xludf.DUMMYFUNCTION("IMPORTRANGE(""https://docs.google.com/spreadsheets/d/1eHaY18a8A9IcSdp1K8H6x8fbOy06t2VsZHhMHf-1x7Y/edit?usp=sharing"",""แผน!BD82"")"),0)</f>
        <v>0</v>
      </c>
      <c r="M257" s="46"/>
      <c r="N257" s="742">
        <v>0</v>
      </c>
      <c r="O257" s="46"/>
      <c r="P257" s="46"/>
      <c r="Q257" s="46"/>
      <c r="R257" s="46"/>
      <c r="S257" s="46"/>
      <c r="T257" s="46"/>
      <c r="U257" s="46"/>
    </row>
    <row r="258" spans="1:21" ht="18.75" hidden="1" x14ac:dyDescent="0.25">
      <c r="A258" s="217"/>
      <c r="B258" s="159"/>
      <c r="C258" s="159"/>
      <c r="D258" s="157" t="s">
        <v>107</v>
      </c>
      <c r="E258" s="41"/>
      <c r="F258" s="41"/>
      <c r="G258" s="43"/>
      <c r="H258" s="160" t="s">
        <v>14</v>
      </c>
      <c r="I258" s="45"/>
      <c r="J258" s="45"/>
      <c r="K258" s="46"/>
      <c r="L258" s="548">
        <f ca="1">IFERROR(__xludf.DUMMYFUNCTION("IMPORTRANGE(""https://docs.google.com/spreadsheets/d/1eHaY18a8A9IcSdp1K8H6x8fbOy06t2VsZHhMHf-1x7Y/edit?usp=sharing"",""แผน!BE82"")"),0)</f>
        <v>0</v>
      </c>
      <c r="M258" s="46"/>
      <c r="N258" s="742">
        <v>0</v>
      </c>
      <c r="O258" s="46"/>
      <c r="P258" s="46"/>
      <c r="Q258" s="46"/>
      <c r="R258" s="46"/>
      <c r="S258" s="46"/>
      <c r="T258" s="46"/>
      <c r="U258" s="46"/>
    </row>
    <row r="259" spans="1:21" ht="19.5" hidden="1" x14ac:dyDescent="0.3">
      <c r="A259" s="138"/>
      <c r="B259" s="139"/>
      <c r="C259" s="741" t="s">
        <v>18</v>
      </c>
      <c r="D259" s="582" t="s">
        <v>38</v>
      </c>
      <c r="E259" s="141"/>
      <c r="F259" s="141"/>
      <c r="G259" s="142"/>
      <c r="H259" s="143"/>
      <c r="I259" s="135"/>
      <c r="J259" s="45"/>
      <c r="K259" s="46"/>
      <c r="L259" s="546"/>
      <c r="M259" s="46"/>
      <c r="N259" s="46"/>
      <c r="O259" s="136"/>
      <c r="P259" s="136"/>
      <c r="Q259" s="46"/>
      <c r="R259" s="46"/>
      <c r="S259" s="46"/>
      <c r="T259" s="136"/>
      <c r="U259" s="136"/>
    </row>
    <row r="260" spans="1:21" ht="18.75" hidden="1" x14ac:dyDescent="0.25">
      <c r="A260" s="138"/>
      <c r="B260" s="139"/>
      <c r="C260" s="139"/>
      <c r="D260" s="190" t="s">
        <v>108</v>
      </c>
      <c r="E260" s="145"/>
      <c r="F260" s="145"/>
      <c r="G260" s="143"/>
      <c r="H260" s="738" t="s">
        <v>35</v>
      </c>
      <c r="I260" s="495">
        <f ca="1">IFERROR(__xludf.DUMMYFUNCTION("IMPORTRANGE(""https://docs.google.com/spreadsheets/d/1eHaY18a8A9IcSdp1K8H6x8fbOy06t2VsZHhMHf-1x7Y/edit?usp=sharing"",""แผน!BH82"")"),0)</f>
        <v>0</v>
      </c>
      <c r="J260" s="737">
        <v>0</v>
      </c>
      <c r="K260" s="49">
        <f ca="1">IF(I260&gt;0,J260*100/I260,0)</f>
        <v>0</v>
      </c>
      <c r="L260" s="546"/>
      <c r="M260" s="46"/>
      <c r="N260" s="46"/>
      <c r="O260" s="46"/>
      <c r="P260" s="46"/>
      <c r="Q260" s="46"/>
      <c r="R260" s="46"/>
      <c r="S260" s="46"/>
      <c r="T260" s="46"/>
      <c r="U260" s="46"/>
    </row>
    <row r="261" spans="1:21" ht="18.75" hidden="1" x14ac:dyDescent="0.25">
      <c r="A261" s="138"/>
      <c r="B261" s="139"/>
      <c r="C261" s="139"/>
      <c r="D261" s="740" t="s">
        <v>43</v>
      </c>
      <c r="E261" s="145"/>
      <c r="F261" s="145"/>
      <c r="G261" s="143"/>
      <c r="H261" s="143"/>
      <c r="I261" s="45"/>
      <c r="J261" s="45"/>
      <c r="K261" s="46"/>
      <c r="L261" s="546"/>
      <c r="M261" s="46"/>
      <c r="N261" s="46"/>
      <c r="O261" s="136"/>
      <c r="P261" s="136"/>
      <c r="Q261" s="46"/>
      <c r="R261" s="46"/>
      <c r="S261" s="46"/>
      <c r="T261" s="136"/>
      <c r="U261" s="136"/>
    </row>
    <row r="262" spans="1:21" ht="18.75" hidden="1" x14ac:dyDescent="0.25">
      <c r="A262" s="138"/>
      <c r="B262" s="139"/>
      <c r="C262" s="139"/>
      <c r="D262" s="139"/>
      <c r="E262" s="739" t="s">
        <v>109</v>
      </c>
      <c r="F262" s="145"/>
      <c r="G262" s="143"/>
      <c r="H262" s="738" t="s">
        <v>35</v>
      </c>
      <c r="I262" s="45"/>
      <c r="J262" s="737">
        <v>0</v>
      </c>
      <c r="K262" s="49">
        <f>IF(I262&gt;0,J262*100/I262,0)</f>
        <v>0</v>
      </c>
      <c r="L262" s="546"/>
      <c r="M262" s="46"/>
      <c r="N262" s="46"/>
      <c r="O262" s="46"/>
      <c r="P262" s="46"/>
      <c r="Q262" s="46"/>
      <c r="R262" s="46"/>
      <c r="S262" s="46"/>
      <c r="T262" s="46"/>
      <c r="U262" s="46"/>
    </row>
    <row r="263" spans="1:21" ht="18.75" hidden="1" x14ac:dyDescent="0.25">
      <c r="A263" s="138"/>
      <c r="B263" s="139"/>
      <c r="C263" s="139"/>
      <c r="D263" s="139"/>
      <c r="E263" s="739" t="s">
        <v>110</v>
      </c>
      <c r="F263" s="145"/>
      <c r="G263" s="143"/>
      <c r="H263" s="738" t="s">
        <v>61</v>
      </c>
      <c r="I263" s="45"/>
      <c r="J263" s="737">
        <v>0</v>
      </c>
      <c r="K263" s="49">
        <f>IF(I263&gt;0,J263*100/I263,0)</f>
        <v>0</v>
      </c>
      <c r="L263" s="546"/>
      <c r="M263" s="46"/>
      <c r="N263" s="46"/>
      <c r="O263" s="46"/>
      <c r="P263" s="46"/>
      <c r="Q263" s="46"/>
      <c r="R263" s="46"/>
      <c r="S263" s="46"/>
      <c r="T263" s="46"/>
      <c r="U263" s="46"/>
    </row>
    <row r="264" spans="1:21" ht="19.5" x14ac:dyDescent="0.3">
      <c r="A264" s="736" t="s">
        <v>113</v>
      </c>
      <c r="B264" s="735"/>
      <c r="C264" s="735"/>
      <c r="D264" s="734"/>
      <c r="E264" s="734"/>
      <c r="F264" s="734"/>
      <c r="G264" s="733"/>
      <c r="H264" s="733"/>
      <c r="I264" s="732"/>
      <c r="J264" s="732"/>
      <c r="K264" s="730"/>
      <c r="L264" s="771"/>
      <c r="M264" s="209"/>
      <c r="N264" s="209"/>
      <c r="O264" s="209"/>
      <c r="P264" s="209"/>
      <c r="Q264" s="209"/>
      <c r="R264" s="209"/>
      <c r="S264" s="209"/>
      <c r="T264" s="209"/>
      <c r="U264" s="209"/>
    </row>
    <row r="265" spans="1:21" ht="19.5" x14ac:dyDescent="0.3">
      <c r="A265" s="729"/>
      <c r="B265" s="728" t="s">
        <v>114</v>
      </c>
      <c r="C265" s="727"/>
      <c r="D265" s="435"/>
      <c r="E265" s="435"/>
      <c r="F265" s="435"/>
      <c r="G265" s="436"/>
      <c r="H265" s="726" t="s">
        <v>35</v>
      </c>
      <c r="I265" s="725">
        <f ca="1">I276</f>
        <v>22</v>
      </c>
      <c r="J265" s="725">
        <f>J276</f>
        <v>0</v>
      </c>
      <c r="K265" s="724">
        <f ca="1">IF(I265&gt;0,J265*100/I265,0)</f>
        <v>0</v>
      </c>
      <c r="L265" s="769"/>
      <c r="M265" s="216"/>
      <c r="N265" s="216"/>
      <c r="O265" s="216"/>
      <c r="P265" s="216"/>
      <c r="Q265" s="216"/>
      <c r="R265" s="216"/>
      <c r="S265" s="216"/>
      <c r="T265" s="216"/>
      <c r="U265" s="216"/>
    </row>
    <row r="266" spans="1:21" ht="19.5" x14ac:dyDescent="0.3">
      <c r="A266" s="416"/>
      <c r="B266" s="424"/>
      <c r="C266" s="386" t="s">
        <v>18</v>
      </c>
      <c r="D266" s="418" t="s">
        <v>19</v>
      </c>
      <c r="E266" s="424"/>
      <c r="F266" s="424"/>
      <c r="G266" s="425"/>
      <c r="H266" s="627" t="s">
        <v>14</v>
      </c>
      <c r="I266" s="420"/>
      <c r="J266" s="420"/>
      <c r="K266" s="332"/>
      <c r="L266" s="550">
        <f ca="1">L267+L268</f>
        <v>5000</v>
      </c>
      <c r="M266" s="132">
        <f ca="1">M267+M268</f>
        <v>22320</v>
      </c>
      <c r="N266" s="132">
        <f ca="1">N267+N268</f>
        <v>22320</v>
      </c>
      <c r="O266" s="132">
        <f ca="1">IF(L266&gt;0,N266*100/L266,0)</f>
        <v>446.4</v>
      </c>
      <c r="P266" s="132">
        <f ca="1">IF(M266&gt;0,N266*100/M266,0)</f>
        <v>100</v>
      </c>
      <c r="Q266" s="132">
        <f ca="1">Q267+Q268</f>
        <v>50660</v>
      </c>
      <c r="R266" s="132">
        <f ca="1">R267+R268</f>
        <v>50660</v>
      </c>
      <c r="S266" s="132">
        <f ca="1">S267+S268</f>
        <v>47486</v>
      </c>
      <c r="T266" s="132">
        <f ca="1">IF(Q266&gt;0,S266*100/Q266,0)</f>
        <v>93.734701934465065</v>
      </c>
      <c r="U266" s="132">
        <f ca="1">IF(R266&gt;0,S266*100/R266,0)</f>
        <v>93.734701934465065</v>
      </c>
    </row>
    <row r="267" spans="1:21" ht="18.75" hidden="1" x14ac:dyDescent="0.25">
      <c r="A267" s="623"/>
      <c r="B267" s="622"/>
      <c r="C267" s="622"/>
      <c r="D267" s="622"/>
      <c r="E267" s="157" t="s">
        <v>20</v>
      </c>
      <c r="F267" s="622"/>
      <c r="G267" s="621"/>
      <c r="H267" s="158" t="s">
        <v>14</v>
      </c>
      <c r="I267" s="626"/>
      <c r="J267" s="626"/>
      <c r="K267" s="625"/>
      <c r="L267" s="549">
        <f>L270+L273</f>
        <v>0</v>
      </c>
      <c r="M267" s="49">
        <f>M270+M273</f>
        <v>0</v>
      </c>
      <c r="N267" s="49">
        <f>N270+N273</f>
        <v>0</v>
      </c>
      <c r="O267" s="49">
        <f>IF(L267&gt;0,N267*100/L267,0)</f>
        <v>0</v>
      </c>
      <c r="P267" s="49">
        <f>IF(M267&gt;0,N267*100/M267,0)</f>
        <v>0</v>
      </c>
      <c r="Q267" s="49">
        <f>Q270+Q273</f>
        <v>0</v>
      </c>
      <c r="R267" s="49">
        <f>R270+R273</f>
        <v>0</v>
      </c>
      <c r="S267" s="49">
        <f>S270+S273</f>
        <v>0</v>
      </c>
      <c r="T267" s="49">
        <f>IF(Q267&gt;0,S267*100/Q267,0)</f>
        <v>0</v>
      </c>
      <c r="U267" s="49">
        <f>IF(R267&gt;0,S267*100/R267,0)</f>
        <v>0</v>
      </c>
    </row>
    <row r="268" spans="1:21" ht="18.75" hidden="1" x14ac:dyDescent="0.25">
      <c r="A268" s="416"/>
      <c r="B268" s="424"/>
      <c r="C268" s="424"/>
      <c r="D268" s="424"/>
      <c r="E268" s="423" t="s">
        <v>21</v>
      </c>
      <c r="F268" s="424"/>
      <c r="G268" s="425"/>
      <c r="H268" s="329" t="s">
        <v>14</v>
      </c>
      <c r="I268" s="420"/>
      <c r="J268" s="420"/>
      <c r="K268" s="332"/>
      <c r="L268" s="548">
        <f ca="1">L271+L274</f>
        <v>5000</v>
      </c>
      <c r="M268" s="47">
        <f ca="1">M271+M274</f>
        <v>22320</v>
      </c>
      <c r="N268" s="47">
        <f ca="1">N271+N274</f>
        <v>22320</v>
      </c>
      <c r="O268" s="47">
        <f ca="1">IF(L268&gt;0,N268*100/L268,0)</f>
        <v>446.4</v>
      </c>
      <c r="P268" s="47">
        <f ca="1">IF(M268&gt;0,N268*100/M268,0)</f>
        <v>100</v>
      </c>
      <c r="Q268" s="47">
        <f ca="1">Q271+Q274</f>
        <v>50660</v>
      </c>
      <c r="R268" s="47">
        <f ca="1">R271+R274</f>
        <v>50660</v>
      </c>
      <c r="S268" s="47">
        <f ca="1">S271+S274</f>
        <v>47486</v>
      </c>
      <c r="T268" s="47">
        <f ca="1">IF(Q268&gt;0,S268*100/Q268,0)</f>
        <v>93.734701934465065</v>
      </c>
      <c r="U268" s="47">
        <f ca="1">IF(R268&gt;0,S268*100/R268,0)</f>
        <v>93.734701934465065</v>
      </c>
    </row>
    <row r="269" spans="1:21" ht="18.75" x14ac:dyDescent="0.25">
      <c r="A269" s="416"/>
      <c r="B269" s="424"/>
      <c r="C269" s="424"/>
      <c r="D269" s="624" t="s">
        <v>22</v>
      </c>
      <c r="E269" s="424"/>
      <c r="F269" s="424"/>
      <c r="G269" s="425"/>
      <c r="H269" s="426" t="s">
        <v>14</v>
      </c>
      <c r="I269" s="428"/>
      <c r="J269" s="428"/>
      <c r="K269" s="429"/>
      <c r="L269" s="548">
        <f ca="1">L270+L271</f>
        <v>5000</v>
      </c>
      <c r="M269" s="47">
        <f ca="1">M270+M271</f>
        <v>22320</v>
      </c>
      <c r="N269" s="47">
        <f ca="1">N270+N271</f>
        <v>22320</v>
      </c>
      <c r="O269" s="47">
        <f ca="1">IF(L269&gt;0,N269*100/L269,0)</f>
        <v>446.4</v>
      </c>
      <c r="P269" s="47">
        <f ca="1">IF(M269&gt;0,N269*100/M269,0)</f>
        <v>100</v>
      </c>
      <c r="Q269" s="47">
        <f ca="1">Q270+Q271</f>
        <v>50660</v>
      </c>
      <c r="R269" s="47">
        <f ca="1">R270+R271</f>
        <v>50660</v>
      </c>
      <c r="S269" s="47">
        <f ca="1">S270+S271</f>
        <v>47486</v>
      </c>
      <c r="T269" s="47">
        <f ca="1">IF(Q269&gt;0,S269*100/Q269,0)</f>
        <v>93.734701934465065</v>
      </c>
      <c r="U269" s="47">
        <f ca="1">IF(R269&gt;0,S269*100/R269,0)</f>
        <v>93.734701934465065</v>
      </c>
    </row>
    <row r="270" spans="1:21" ht="18.75" hidden="1" x14ac:dyDescent="0.25">
      <c r="A270" s="623"/>
      <c r="B270" s="622"/>
      <c r="C270" s="622"/>
      <c r="D270" s="622"/>
      <c r="E270" s="157" t="s">
        <v>36</v>
      </c>
      <c r="F270" s="622"/>
      <c r="G270" s="621"/>
      <c r="H270" s="160" t="s">
        <v>14</v>
      </c>
      <c r="I270" s="620"/>
      <c r="J270" s="620"/>
      <c r="K270" s="619"/>
      <c r="L270" s="549">
        <v>0</v>
      </c>
      <c r="M270" s="49">
        <v>0</v>
      </c>
      <c r="N270" s="49">
        <v>0</v>
      </c>
      <c r="O270" s="49">
        <f>IF(L270&gt;0,N270*100/L270,0)</f>
        <v>0</v>
      </c>
      <c r="P270" s="49">
        <f>IF(M270&gt;0,N270*100/M270,0)</f>
        <v>0</v>
      </c>
      <c r="Q270" s="49">
        <v>0</v>
      </c>
      <c r="R270" s="49">
        <v>0</v>
      </c>
      <c r="S270" s="49">
        <v>0</v>
      </c>
      <c r="T270" s="49">
        <f>IF(Q270&gt;0,S270*100/Q270,0)</f>
        <v>0</v>
      </c>
      <c r="U270" s="49">
        <f>IF(R270&gt;0,S270*100/R270,0)</f>
        <v>0</v>
      </c>
    </row>
    <row r="271" spans="1:21" ht="18.75" hidden="1" x14ac:dyDescent="0.25">
      <c r="A271" s="416"/>
      <c r="B271" s="424"/>
      <c r="C271" s="424"/>
      <c r="D271" s="424"/>
      <c r="E271" s="423" t="s">
        <v>37</v>
      </c>
      <c r="F271" s="424"/>
      <c r="G271" s="425"/>
      <c r="H271" s="426" t="s">
        <v>14</v>
      </c>
      <c r="I271" s="428"/>
      <c r="J271" s="428"/>
      <c r="K271" s="429"/>
      <c r="L271" s="548">
        <f ca="1">IFERROR(__xludf.DUMMYFUNCTION("IMPORTRANGE(""https://docs.google.com/spreadsheets/d/1-uDff_7J0KD5mKrp0Vvzr7lt3OU09vwQwhkpOPPYv2Y/edit?usp=sharing"",""งบพรบ!DE82"")"),5000)</f>
        <v>5000</v>
      </c>
      <c r="M271" s="47">
        <f ca="1">IFERROR(__xludf.DUMMYFUNCTION("IMPORTRANGE(""https://docs.google.com/spreadsheets/d/1-uDff_7J0KD5mKrp0Vvzr7lt3OU09vwQwhkpOPPYv2Y/edit?usp=sharing"",""งบพรบ!DJ82"")"),22320)</f>
        <v>22320</v>
      </c>
      <c r="N271" s="47">
        <f ca="1">IFERROR(__xludf.DUMMYFUNCTION("IMPORTRANGE(""https://docs.google.com/spreadsheets/d/1-uDff_7J0KD5mKrp0Vvzr7lt3OU09vwQwhkpOPPYv2Y/edit?usp=sharing"",""งบพรบ!DL82"")"),22320)</f>
        <v>22320</v>
      </c>
      <c r="O271" s="47">
        <f ca="1">IF(L271&gt;0,N271*100/L271,0)</f>
        <v>446.4</v>
      </c>
      <c r="P271" s="47">
        <f ca="1">IF(M271&gt;0,N271*100/M271,0)</f>
        <v>100</v>
      </c>
      <c r="Q271" s="47">
        <f ca="1">IFERROR(__xludf.DUMMYFUNCTION("IMPORTRANGE(""https://docs.google.com/spreadsheets/d/1ItG2mGa2ceCfYo0BwxsXqNm01IGEUdYcSSLTEv9YCik/edit?usp=sharing"",""เบิกจ่ายกองทุน!AP82"")"),50660)</f>
        <v>50660</v>
      </c>
      <c r="R271" s="47">
        <f ca="1">IFERROR(__xludf.DUMMYFUNCTION("IMPORTRANGE(""https://docs.google.com/spreadsheets/d/1ItG2mGa2ceCfYo0BwxsXqNm01IGEUdYcSSLTEv9YCik/edit?usp=sharing"",""เบิกจ่ายกองทุน!AQ82"")"),50660)</f>
        <v>50660</v>
      </c>
      <c r="S271" s="47">
        <f ca="1">IFERROR(__xludf.DUMMYFUNCTION("IMPORTRANGE(""https://docs.google.com/spreadsheets/d/1ItG2mGa2ceCfYo0BwxsXqNm01IGEUdYcSSLTEv9YCik/edit?usp=sharing"",""เบิกจ่ายกองทุน!AR82"")"),47486)</f>
        <v>47486</v>
      </c>
      <c r="T271" s="47">
        <f ca="1">IF(Q271&gt;0,S271*100/Q271,0)</f>
        <v>93.734701934465065</v>
      </c>
      <c r="U271" s="47">
        <f ca="1">IF(R271&gt;0,S271*100/R271,0)</f>
        <v>93.734701934465065</v>
      </c>
    </row>
    <row r="272" spans="1:21" ht="18.75" x14ac:dyDescent="0.25">
      <c r="A272" s="416"/>
      <c r="B272" s="424"/>
      <c r="C272" s="424"/>
      <c r="D272" s="624" t="s">
        <v>23</v>
      </c>
      <c r="E272" s="424"/>
      <c r="F272" s="424"/>
      <c r="G272" s="425"/>
      <c r="H272" s="431" t="s">
        <v>14</v>
      </c>
      <c r="I272" s="428"/>
      <c r="J272" s="428"/>
      <c r="K272" s="429"/>
      <c r="L272" s="548">
        <f ca="1">L273+L274</f>
        <v>0</v>
      </c>
      <c r="M272" s="47">
        <f ca="1">M273+M274</f>
        <v>0</v>
      </c>
      <c r="N272" s="47">
        <f ca="1">N273+N274</f>
        <v>0</v>
      </c>
      <c r="O272" s="47">
        <f ca="1">IF(L272&gt;0,N272*100/L272,0)</f>
        <v>0</v>
      </c>
      <c r="P272" s="47">
        <f ca="1">IF(M272&gt;0,N272*100/M272,0)</f>
        <v>0</v>
      </c>
      <c r="Q272" s="47">
        <f>Q273+Q274</f>
        <v>0</v>
      </c>
      <c r="R272" s="47">
        <f>R273+R274</f>
        <v>0</v>
      </c>
      <c r="S272" s="47">
        <f>S273+S274</f>
        <v>0</v>
      </c>
      <c r="T272" s="47">
        <f>IF(Q272&gt;0,S272*100/Q272,0)</f>
        <v>0</v>
      </c>
      <c r="U272" s="47">
        <f>IF(R272&gt;0,S272*100/R272,0)</f>
        <v>0</v>
      </c>
    </row>
    <row r="273" spans="1:21" ht="18.75" hidden="1" x14ac:dyDescent="0.25">
      <c r="A273" s="623"/>
      <c r="B273" s="622"/>
      <c r="C273" s="622"/>
      <c r="D273" s="622"/>
      <c r="E273" s="157" t="s">
        <v>20</v>
      </c>
      <c r="F273" s="622"/>
      <c r="G273" s="621"/>
      <c r="H273" s="160" t="s">
        <v>14</v>
      </c>
      <c r="I273" s="620"/>
      <c r="J273" s="620"/>
      <c r="K273" s="619"/>
      <c r="L273" s="549">
        <v>0</v>
      </c>
      <c r="M273" s="49">
        <v>0</v>
      </c>
      <c r="N273" s="49">
        <v>0</v>
      </c>
      <c r="O273" s="49">
        <f>IF(L273&gt;0,N273*100/L273,0)</f>
        <v>0</v>
      </c>
      <c r="P273" s="49">
        <f>IF(M273&gt;0,N273*100/M273,0)</f>
        <v>0</v>
      </c>
      <c r="Q273" s="49">
        <v>0</v>
      </c>
      <c r="R273" s="49">
        <v>0</v>
      </c>
      <c r="S273" s="49">
        <v>0</v>
      </c>
      <c r="T273" s="49">
        <f>IF(Q273&gt;0,S273*100/Q273,0)</f>
        <v>0</v>
      </c>
      <c r="U273" s="49">
        <f>IF(R273&gt;0,S273*100/R273,0)</f>
        <v>0</v>
      </c>
    </row>
    <row r="274" spans="1:21" ht="18.75" hidden="1" x14ac:dyDescent="0.25">
      <c r="A274" s="416"/>
      <c r="B274" s="424"/>
      <c r="C274" s="424"/>
      <c r="D274" s="424"/>
      <c r="E274" s="423" t="s">
        <v>21</v>
      </c>
      <c r="F274" s="424"/>
      <c r="G274" s="425"/>
      <c r="H274" s="431" t="s">
        <v>14</v>
      </c>
      <c r="I274" s="428"/>
      <c r="J274" s="428"/>
      <c r="K274" s="429"/>
      <c r="L274" s="548">
        <f ca="1">IFERROR(__xludf.DUMMYFUNCTION("IMPORTRANGE(""https://docs.google.com/spreadsheets/d/1-uDff_7J0KD5mKrp0Vvzr7lt3OU09vwQwhkpOPPYv2Y/edit?usp=sharing"",""งบพรบ!DH82"")"),0)</f>
        <v>0</v>
      </c>
      <c r="M274" s="47">
        <f ca="1">IFERROR(__xludf.DUMMYFUNCTION("IMPORTRANGE(""https://docs.google.com/spreadsheets/d/1-uDff_7J0KD5mKrp0Vvzr7lt3OU09vwQwhkpOPPYv2Y/edit?usp=sharing"",""งบพรบ!DK82"")"),0)</f>
        <v>0</v>
      </c>
      <c r="N274" s="47">
        <f ca="1">IFERROR(__xludf.DUMMYFUNCTION("IMPORTRANGE(""https://docs.google.com/spreadsheets/d/1-uDff_7J0KD5mKrp0Vvzr7lt3OU09vwQwhkpOPPYv2Y/edit?usp=sharing"",""งบพรบ!DM82"")"),0)</f>
        <v>0</v>
      </c>
      <c r="O274" s="47">
        <f ca="1">IF(L274&gt;0,N274*100/L274,0)</f>
        <v>0</v>
      </c>
      <c r="P274" s="47">
        <f ca="1">IF(M274&gt;0,N274*100/M274,0)</f>
        <v>0</v>
      </c>
      <c r="Q274" s="47">
        <v>0</v>
      </c>
      <c r="R274" s="47">
        <v>0</v>
      </c>
      <c r="S274" s="47">
        <v>0</v>
      </c>
      <c r="T274" s="47">
        <f>IF(Q274&gt;0,S274*100/Q274,0)</f>
        <v>0</v>
      </c>
      <c r="U274" s="47">
        <f>IF(R274&gt;0,S274*100/R274,0)</f>
        <v>0</v>
      </c>
    </row>
    <row r="275" spans="1:21" ht="19.5" x14ac:dyDescent="0.3">
      <c r="A275" s="432"/>
      <c r="B275" s="433"/>
      <c r="C275" s="386" t="s">
        <v>18</v>
      </c>
      <c r="D275" s="618" t="s">
        <v>38</v>
      </c>
      <c r="E275" s="435"/>
      <c r="F275" s="435"/>
      <c r="G275" s="436"/>
      <c r="H275" s="439"/>
      <c r="I275" s="428"/>
      <c r="J275" s="428"/>
      <c r="K275" s="429"/>
      <c r="L275" s="558"/>
      <c r="M275" s="136"/>
      <c r="N275" s="136"/>
      <c r="O275" s="136"/>
      <c r="P275" s="136"/>
      <c r="Q275" s="136"/>
      <c r="R275" s="136"/>
      <c r="S275" s="136"/>
      <c r="T275" s="136"/>
      <c r="U275" s="136"/>
    </row>
    <row r="276" spans="1:21" ht="18.75" x14ac:dyDescent="0.25">
      <c r="A276" s="882"/>
      <c r="B276" s="881"/>
      <c r="C276" s="881"/>
      <c r="D276" s="880" t="s">
        <v>115</v>
      </c>
      <c r="E276" s="879"/>
      <c r="F276" s="879"/>
      <c r="G276" s="878"/>
      <c r="H276" s="877" t="s">
        <v>35</v>
      </c>
      <c r="I276" s="876">
        <f ca="1">IFERROR(__xludf.DUMMYFUNCTION("IMPORTRANGE(""https://docs.google.com/spreadsheets/d/1eHaY18a8A9IcSdp1K8H6x8fbOy06t2VsZHhMHf-1x7Y/edit?usp=sharing"",""แผน!EC82"")"),22)</f>
        <v>22</v>
      </c>
      <c r="J276" s="875">
        <v>0</v>
      </c>
      <c r="K276" s="874">
        <f ca="1">IF(I276&gt;0,J276*100/I276,0)</f>
        <v>0</v>
      </c>
      <c r="L276" s="546"/>
      <c r="M276" s="46"/>
      <c r="N276" s="46"/>
      <c r="O276" s="46"/>
      <c r="P276" s="46"/>
      <c r="Q276" s="46"/>
      <c r="R276" s="46"/>
      <c r="S276" s="46"/>
      <c r="T276" s="46"/>
      <c r="U276" s="46"/>
    </row>
    <row r="277" spans="1:21" ht="18.75" hidden="1" x14ac:dyDescent="0.25">
      <c r="A277" s="842"/>
      <c r="B277" s="841"/>
      <c r="C277" s="841"/>
      <c r="D277" s="715" t="s">
        <v>116</v>
      </c>
      <c r="E277" s="840"/>
      <c r="F277" s="840"/>
      <c r="G277" s="839"/>
      <c r="H277" s="714" t="s">
        <v>35</v>
      </c>
      <c r="I277" s="498">
        <v>0</v>
      </c>
      <c r="J277" s="498">
        <v>0</v>
      </c>
      <c r="K277" s="713">
        <v>0</v>
      </c>
      <c r="L277" s="884"/>
      <c r="M277" s="883"/>
      <c r="N277" s="883"/>
      <c r="O277" s="883"/>
      <c r="P277" s="883"/>
      <c r="Q277" s="883"/>
      <c r="R277" s="883"/>
      <c r="S277" s="883"/>
      <c r="T277" s="883"/>
      <c r="U277" s="883"/>
    </row>
    <row r="278" spans="1:21" ht="19.5" hidden="1" x14ac:dyDescent="0.3">
      <c r="A278" s="270" t="s">
        <v>117</v>
      </c>
      <c r="B278" s="271"/>
      <c r="C278" s="271"/>
      <c r="D278" s="271"/>
      <c r="E278" s="272"/>
      <c r="F278" s="272"/>
      <c r="G278" s="272"/>
      <c r="H278" s="272"/>
      <c r="I278" s="273"/>
      <c r="J278" s="273"/>
      <c r="K278" s="274"/>
      <c r="L278" s="274"/>
      <c r="M278" s="274"/>
      <c r="N278" s="274"/>
      <c r="O278" s="274"/>
      <c r="P278" s="275"/>
      <c r="Q278" s="274"/>
      <c r="R278" s="274"/>
      <c r="S278" s="274"/>
      <c r="T278" s="274"/>
      <c r="U278" s="275"/>
    </row>
    <row r="279" spans="1:21" ht="19.5" hidden="1" x14ac:dyDescent="0.3">
      <c r="A279" s="276" t="s">
        <v>118</v>
      </c>
      <c r="B279" s="277"/>
      <c r="C279" s="278"/>
      <c r="D279" s="277"/>
      <c r="E279" s="277"/>
      <c r="F279" s="277"/>
      <c r="G279" s="277"/>
      <c r="H279" s="277"/>
      <c r="I279" s="279"/>
      <c r="J279" s="280"/>
      <c r="K279" s="281"/>
      <c r="L279" s="711"/>
      <c r="M279" s="281"/>
      <c r="N279" s="281"/>
      <c r="O279" s="281"/>
      <c r="P279" s="281"/>
      <c r="Q279" s="281"/>
      <c r="R279" s="281"/>
      <c r="S279" s="281"/>
      <c r="T279" s="281"/>
      <c r="U279" s="281"/>
    </row>
    <row r="280" spans="1:21" ht="19.5" hidden="1" x14ac:dyDescent="0.3">
      <c r="A280" s="282"/>
      <c r="B280" s="283" t="s">
        <v>119</v>
      </c>
      <c r="C280" s="284"/>
      <c r="D280" s="285"/>
      <c r="E280" s="284"/>
      <c r="F280" s="284"/>
      <c r="G280" s="286"/>
      <c r="H280" s="287" t="s">
        <v>35</v>
      </c>
      <c r="I280" s="288">
        <f ca="1">I293</f>
        <v>0</v>
      </c>
      <c r="J280" s="288">
        <f>J293</f>
        <v>0</v>
      </c>
      <c r="K280" s="289">
        <f ca="1">IF(I280&gt;0,J280*100/I280,0)</f>
        <v>0</v>
      </c>
      <c r="L280" s="710"/>
      <c r="M280" s="290"/>
      <c r="N280" s="290"/>
      <c r="O280" s="290"/>
      <c r="P280" s="290"/>
      <c r="Q280" s="290"/>
      <c r="R280" s="290"/>
      <c r="S280" s="290"/>
      <c r="T280" s="290"/>
      <c r="U280" s="290"/>
    </row>
    <row r="281" spans="1:21" ht="19.5" hidden="1" x14ac:dyDescent="0.3">
      <c r="A281" s="282"/>
      <c r="B281" s="284"/>
      <c r="C281" s="284"/>
      <c r="D281" s="285"/>
      <c r="E281" s="284"/>
      <c r="F281" s="284"/>
      <c r="G281" s="286"/>
      <c r="H281" s="287" t="s">
        <v>46</v>
      </c>
      <c r="I281" s="288">
        <f ca="1">I292</f>
        <v>0</v>
      </c>
      <c r="J281" s="288">
        <f>J292</f>
        <v>0</v>
      </c>
      <c r="K281" s="289">
        <f ca="1">IF(I281&gt;0,J281*100/I281,0)</f>
        <v>0</v>
      </c>
      <c r="L281" s="710"/>
      <c r="M281" s="290"/>
      <c r="N281" s="290"/>
      <c r="O281" s="290"/>
      <c r="P281" s="290"/>
      <c r="Q281" s="290"/>
      <c r="R281" s="290"/>
      <c r="S281" s="290"/>
      <c r="T281" s="290"/>
      <c r="U281" s="290"/>
    </row>
    <row r="282" spans="1:21" ht="19.5" hidden="1" x14ac:dyDescent="0.3">
      <c r="A282" s="128"/>
      <c r="B282" s="41"/>
      <c r="C282" s="129" t="s">
        <v>18</v>
      </c>
      <c r="D282" s="591" t="s">
        <v>19</v>
      </c>
      <c r="E282" s="41"/>
      <c r="F282" s="41"/>
      <c r="G282" s="43"/>
      <c r="H282" s="131" t="s">
        <v>14</v>
      </c>
      <c r="I282" s="45"/>
      <c r="J282" s="45"/>
      <c r="K282" s="46"/>
      <c r="L282" s="550">
        <f ca="1">L283+L284</f>
        <v>0</v>
      </c>
      <c r="M282" s="132">
        <f ca="1">M283+M284</f>
        <v>0</v>
      </c>
      <c r="N282" s="132">
        <f ca="1">N283+N284</f>
        <v>0</v>
      </c>
      <c r="O282" s="132">
        <f ca="1">IF(L282&gt;0,N282*100/L282,0)</f>
        <v>0</v>
      </c>
      <c r="P282" s="132">
        <f ca="1">IF(M282&gt;0,N282*100/M282,0)</f>
        <v>0</v>
      </c>
      <c r="Q282" s="132">
        <f>Q283+Q284</f>
        <v>0</v>
      </c>
      <c r="R282" s="132">
        <f>R283+R284</f>
        <v>0</v>
      </c>
      <c r="S282" s="132">
        <f>S283+S284</f>
        <v>0</v>
      </c>
      <c r="T282" s="132">
        <f>IF(Q282&gt;0,S282*100/Q282,0)</f>
        <v>0</v>
      </c>
      <c r="U282" s="132">
        <f>IF(R282&gt;0,S282*100/R282,0)</f>
        <v>0</v>
      </c>
    </row>
    <row r="283" spans="1:21" ht="18.75" hidden="1" x14ac:dyDescent="0.25">
      <c r="A283" s="128"/>
      <c r="B283" s="41"/>
      <c r="C283" s="41"/>
      <c r="D283" s="41"/>
      <c r="E283" s="157" t="s">
        <v>20</v>
      </c>
      <c r="F283" s="41"/>
      <c r="G283" s="43"/>
      <c r="H283" s="158" t="s">
        <v>14</v>
      </c>
      <c r="I283" s="45"/>
      <c r="J283" s="45"/>
      <c r="K283" s="46"/>
      <c r="L283" s="549">
        <f>L286+L289</f>
        <v>0</v>
      </c>
      <c r="M283" s="49">
        <f>M286+M289</f>
        <v>0</v>
      </c>
      <c r="N283" s="49">
        <f>N286+N289</f>
        <v>0</v>
      </c>
      <c r="O283" s="49">
        <f>IF(L283&gt;0,N283*100/L283,0)</f>
        <v>0</v>
      </c>
      <c r="P283" s="49">
        <f>IF(M283&gt;0,N283*100/M283,0)</f>
        <v>0</v>
      </c>
      <c r="Q283" s="49">
        <f>Q286+Q289</f>
        <v>0</v>
      </c>
      <c r="R283" s="49">
        <f>R286+R289</f>
        <v>0</v>
      </c>
      <c r="S283" s="49">
        <f>S286+S289</f>
        <v>0</v>
      </c>
      <c r="T283" s="49">
        <f>IF(Q283&gt;0,S283*100/Q283,0)</f>
        <v>0</v>
      </c>
      <c r="U283" s="49">
        <f>IF(R283&gt;0,S283*100/R283,0)</f>
        <v>0</v>
      </c>
    </row>
    <row r="284" spans="1:21" ht="18.75" hidden="1" x14ac:dyDescent="0.25">
      <c r="A284" s="128"/>
      <c r="B284" s="41"/>
      <c r="C284" s="41"/>
      <c r="D284" s="41"/>
      <c r="E284" s="48" t="s">
        <v>21</v>
      </c>
      <c r="F284" s="41"/>
      <c r="G284" s="43"/>
      <c r="H284" s="133" t="s">
        <v>14</v>
      </c>
      <c r="I284" s="45"/>
      <c r="J284" s="45"/>
      <c r="K284" s="46"/>
      <c r="L284" s="548">
        <f ca="1">L287+L290</f>
        <v>0</v>
      </c>
      <c r="M284" s="47">
        <f ca="1">M287+M290</f>
        <v>0</v>
      </c>
      <c r="N284" s="47">
        <f ca="1">N287+N290</f>
        <v>0</v>
      </c>
      <c r="O284" s="47">
        <f ca="1">IF(L284&gt;0,N284*100/L284,0)</f>
        <v>0</v>
      </c>
      <c r="P284" s="47">
        <f ca="1">IF(M284&gt;0,N284*100/M284,0)</f>
        <v>0</v>
      </c>
      <c r="Q284" s="47">
        <f>Q287+Q290</f>
        <v>0</v>
      </c>
      <c r="R284" s="47">
        <f>R287+R290</f>
        <v>0</v>
      </c>
      <c r="S284" s="47">
        <f>S287+S290</f>
        <v>0</v>
      </c>
      <c r="T284" s="47">
        <f>IF(Q284&gt;0,S284*100/Q284,0)</f>
        <v>0</v>
      </c>
      <c r="U284" s="47">
        <f>IF(R284&gt;0,S284*100/R284,0)</f>
        <v>0</v>
      </c>
    </row>
    <row r="285" spans="1:21" ht="18.75" hidden="1" x14ac:dyDescent="0.25">
      <c r="A285" s="128"/>
      <c r="B285" s="41"/>
      <c r="C285" s="41"/>
      <c r="D285" s="42" t="s">
        <v>22</v>
      </c>
      <c r="E285" s="41"/>
      <c r="F285" s="41"/>
      <c r="G285" s="43"/>
      <c r="H285" s="134" t="s">
        <v>14</v>
      </c>
      <c r="I285" s="135"/>
      <c r="J285" s="135"/>
      <c r="K285" s="136"/>
      <c r="L285" s="548">
        <f ca="1">L286+L287</f>
        <v>0</v>
      </c>
      <c r="M285" s="47">
        <f ca="1">M286+M287</f>
        <v>0</v>
      </c>
      <c r="N285" s="47">
        <f ca="1">N286+N287</f>
        <v>0</v>
      </c>
      <c r="O285" s="47">
        <f ca="1">IF(L285&gt;0,N285*100/L285,0)</f>
        <v>0</v>
      </c>
      <c r="P285" s="47">
        <f ca="1">IF(M285&gt;0,N285*100/M285,0)</f>
        <v>0</v>
      </c>
      <c r="Q285" s="47">
        <f>Q286+Q287</f>
        <v>0</v>
      </c>
      <c r="R285" s="47">
        <f>R286+R287</f>
        <v>0</v>
      </c>
      <c r="S285" s="47">
        <f>S286+S287</f>
        <v>0</v>
      </c>
      <c r="T285" s="47">
        <f>IF(Q285&gt;0,S285*100/Q285,0)</f>
        <v>0</v>
      </c>
      <c r="U285" s="47">
        <f>IF(R285&gt;0,S285*100/R285,0)</f>
        <v>0</v>
      </c>
    </row>
    <row r="286" spans="1:21" ht="18.75" hidden="1" x14ac:dyDescent="0.25">
      <c r="A286" s="128"/>
      <c r="B286" s="41"/>
      <c r="C286" s="41"/>
      <c r="D286" s="41"/>
      <c r="E286" s="157" t="s">
        <v>36</v>
      </c>
      <c r="F286" s="41"/>
      <c r="G286" s="43"/>
      <c r="H286" s="160" t="s">
        <v>14</v>
      </c>
      <c r="I286" s="135"/>
      <c r="J286" s="135"/>
      <c r="K286" s="136"/>
      <c r="L286" s="549">
        <v>0</v>
      </c>
      <c r="M286" s="49">
        <v>0</v>
      </c>
      <c r="N286" s="49">
        <v>0</v>
      </c>
      <c r="O286" s="49">
        <f>IF(L286&gt;0,N286*100/L286,0)</f>
        <v>0</v>
      </c>
      <c r="P286" s="49">
        <f>IF(M286&gt;0,N286*100/M286,0)</f>
        <v>0</v>
      </c>
      <c r="Q286" s="49">
        <v>0</v>
      </c>
      <c r="R286" s="49">
        <v>0</v>
      </c>
      <c r="S286" s="49">
        <v>0</v>
      </c>
      <c r="T286" s="49">
        <f>IF(Q286&gt;0,S286*100/Q286,0)</f>
        <v>0</v>
      </c>
      <c r="U286" s="49">
        <f>IF(R286&gt;0,S286*100/R286,0)</f>
        <v>0</v>
      </c>
    </row>
    <row r="287" spans="1:21" ht="18.75" hidden="1" x14ac:dyDescent="0.25">
      <c r="A287" s="128"/>
      <c r="B287" s="41"/>
      <c r="C287" s="41"/>
      <c r="D287" s="41"/>
      <c r="E287" s="48" t="s">
        <v>37</v>
      </c>
      <c r="F287" s="41"/>
      <c r="G287" s="43"/>
      <c r="H287" s="134" t="s">
        <v>14</v>
      </c>
      <c r="I287" s="135"/>
      <c r="J287" s="135"/>
      <c r="K287" s="136"/>
      <c r="L287" s="548">
        <f ca="1">IFERROR(__xludf.DUMMYFUNCTION("IMPORTRANGE(""https://docs.google.com/spreadsheets/d/1-uDff_7J0KD5mKrp0Vvzr7lt3OU09vwQwhkpOPPYv2Y/edit?usp=sharing"",""งบพรบ!DO82"")"),0)</f>
        <v>0</v>
      </c>
      <c r="M287" s="47">
        <f ca="1">IFERROR(__xludf.DUMMYFUNCTION("IMPORTRANGE(""https://docs.google.com/spreadsheets/d/1-uDff_7J0KD5mKrp0Vvzr7lt3OU09vwQwhkpOPPYv2Y/edit?usp=sharing"",""งบพรบ!DT82"")"),0)</f>
        <v>0</v>
      </c>
      <c r="N287" s="47">
        <f ca="1">IFERROR(__xludf.DUMMYFUNCTION("IMPORTRANGE(""https://docs.google.com/spreadsheets/d/1-uDff_7J0KD5mKrp0Vvzr7lt3OU09vwQwhkpOPPYv2Y/edit?usp=sharing"",""งบพรบ!DV82"")"),0)</f>
        <v>0</v>
      </c>
      <c r="O287" s="47">
        <f ca="1">IF(L287&gt;0,N287*100/L287,0)</f>
        <v>0</v>
      </c>
      <c r="P287" s="47">
        <f ca="1">IF(M287&gt;0,N287*100/M287,0)</f>
        <v>0</v>
      </c>
      <c r="Q287" s="47">
        <v>0</v>
      </c>
      <c r="R287" s="47">
        <v>0</v>
      </c>
      <c r="S287" s="47">
        <v>0</v>
      </c>
      <c r="T287" s="49">
        <f>IF(Q287&gt;0,S287*100/Q287,0)</f>
        <v>0</v>
      </c>
      <c r="U287" s="49">
        <f>IF(R287&gt;0,S287*100/R287,0)</f>
        <v>0</v>
      </c>
    </row>
    <row r="288" spans="1:21" ht="18.75" hidden="1" x14ac:dyDescent="0.25">
      <c r="A288" s="128"/>
      <c r="B288" s="41"/>
      <c r="C288" s="41"/>
      <c r="D288" s="42" t="s">
        <v>23</v>
      </c>
      <c r="E288" s="41"/>
      <c r="F288" s="41"/>
      <c r="G288" s="43"/>
      <c r="H288" s="137" t="s">
        <v>14</v>
      </c>
      <c r="I288" s="135"/>
      <c r="J288" s="135"/>
      <c r="K288" s="136"/>
      <c r="L288" s="548">
        <f ca="1">L289+L290</f>
        <v>0</v>
      </c>
      <c r="M288" s="47">
        <f ca="1">M289+M290</f>
        <v>0</v>
      </c>
      <c r="N288" s="47">
        <f ca="1">N289+N290</f>
        <v>0</v>
      </c>
      <c r="O288" s="47">
        <f ca="1">IF(L288&gt;0,N288*100/L288,0)</f>
        <v>0</v>
      </c>
      <c r="P288" s="47">
        <f ca="1">IF(M288&gt;0,N288*100/M288,0)</f>
        <v>0</v>
      </c>
      <c r="Q288" s="47">
        <f>Q289+Q290</f>
        <v>0</v>
      </c>
      <c r="R288" s="47">
        <f>R289+R290</f>
        <v>0</v>
      </c>
      <c r="S288" s="47">
        <f>S289+S290</f>
        <v>0</v>
      </c>
      <c r="T288" s="47">
        <f>IF(Q288&gt;0,S288*100/Q288,0)</f>
        <v>0</v>
      </c>
      <c r="U288" s="47">
        <f>IF(R288&gt;0,S288*100/R288,0)</f>
        <v>0</v>
      </c>
    </row>
    <row r="289" spans="1:21" ht="18.75" hidden="1" x14ac:dyDescent="0.25">
      <c r="A289" s="128"/>
      <c r="B289" s="41"/>
      <c r="C289" s="41"/>
      <c r="D289" s="41"/>
      <c r="E289" s="157" t="s">
        <v>20</v>
      </c>
      <c r="F289" s="41"/>
      <c r="G289" s="43"/>
      <c r="H289" s="160" t="s">
        <v>14</v>
      </c>
      <c r="I289" s="135"/>
      <c r="J289" s="135"/>
      <c r="K289" s="136"/>
      <c r="L289" s="549">
        <v>0</v>
      </c>
      <c r="M289" s="49">
        <v>0</v>
      </c>
      <c r="N289" s="49">
        <v>0</v>
      </c>
      <c r="O289" s="49">
        <f>IF(L289&gt;0,N289*100/L289,0)</f>
        <v>0</v>
      </c>
      <c r="P289" s="49">
        <f>IF(M289&gt;0,N289*100/M289,0)</f>
        <v>0</v>
      </c>
      <c r="Q289" s="49">
        <v>0</v>
      </c>
      <c r="R289" s="49">
        <v>0</v>
      </c>
      <c r="S289" s="49">
        <v>0</v>
      </c>
      <c r="T289" s="49">
        <f>IF(Q289&gt;0,S289*100/Q289,0)</f>
        <v>0</v>
      </c>
      <c r="U289" s="49">
        <f>IF(R289&gt;0,S289*100/R289,0)</f>
        <v>0</v>
      </c>
    </row>
    <row r="290" spans="1:21" ht="18.75" hidden="1" x14ac:dyDescent="0.25">
      <c r="A290" s="128"/>
      <c r="B290" s="41"/>
      <c r="C290" s="41"/>
      <c r="D290" s="41"/>
      <c r="E290" s="48" t="s">
        <v>21</v>
      </c>
      <c r="F290" s="41"/>
      <c r="G290" s="43"/>
      <c r="H290" s="137" t="s">
        <v>14</v>
      </c>
      <c r="I290" s="135"/>
      <c r="J290" s="135"/>
      <c r="K290" s="136"/>
      <c r="L290" s="548">
        <f ca="1">IFERROR(__xludf.DUMMYFUNCTION("IMPORTRANGE(""https://docs.google.com/spreadsheets/d/1-uDff_7J0KD5mKrp0Vvzr7lt3OU09vwQwhkpOPPYv2Y/edit?usp=sharing"",""งบพรบ!DR82"")"),0)</f>
        <v>0</v>
      </c>
      <c r="M290" s="47">
        <f ca="1">IFERROR(__xludf.DUMMYFUNCTION("IMPORTRANGE(""https://docs.google.com/spreadsheets/d/1-uDff_7J0KD5mKrp0Vvzr7lt3OU09vwQwhkpOPPYv2Y/edit?usp=sharing"",""งบพรบ!DU82"")"),0)</f>
        <v>0</v>
      </c>
      <c r="N290" s="47">
        <f ca="1">IFERROR(__xludf.DUMMYFUNCTION("IMPORTRANGE(""https://docs.google.com/spreadsheets/d/1-uDff_7J0KD5mKrp0Vvzr7lt3OU09vwQwhkpOPPYv2Y/edit?usp=sharing"",""งบพรบ!DW82"")"),0)</f>
        <v>0</v>
      </c>
      <c r="O290" s="47">
        <f ca="1">IF(L290&gt;0,N290*100/L290,0)</f>
        <v>0</v>
      </c>
      <c r="P290" s="47">
        <f ca="1">IF(M290&gt;0,N290*100/M290,0)</f>
        <v>0</v>
      </c>
      <c r="Q290" s="47">
        <v>0</v>
      </c>
      <c r="R290" s="47">
        <v>0</v>
      </c>
      <c r="S290" s="47">
        <v>0</v>
      </c>
      <c r="T290" s="47">
        <f>IF(Q290&gt;0,S290*100/Q290,0)</f>
        <v>0</v>
      </c>
      <c r="U290" s="47">
        <f>IF(R290&gt;0,S290*100/R290,0)</f>
        <v>0</v>
      </c>
    </row>
    <row r="291" spans="1:21" ht="19.5" hidden="1" x14ac:dyDescent="0.3">
      <c r="A291" s="138"/>
      <c r="B291" s="139"/>
      <c r="C291" s="129" t="s">
        <v>18</v>
      </c>
      <c r="D291" s="563" t="s">
        <v>38</v>
      </c>
      <c r="E291" s="141"/>
      <c r="F291" s="141"/>
      <c r="G291" s="142"/>
      <c r="H291" s="143"/>
      <c r="I291" s="135"/>
      <c r="J291" s="135"/>
      <c r="K291" s="136"/>
      <c r="L291" s="558"/>
      <c r="M291" s="136"/>
      <c r="N291" s="136"/>
      <c r="O291" s="136"/>
      <c r="P291" s="136"/>
      <c r="Q291" s="136"/>
      <c r="R291" s="136"/>
      <c r="S291" s="136"/>
      <c r="T291" s="136"/>
      <c r="U291" s="136"/>
    </row>
    <row r="292" spans="1:21" ht="18.75" hidden="1" x14ac:dyDescent="0.25">
      <c r="A292" s="138"/>
      <c r="B292" s="139"/>
      <c r="C292" s="139"/>
      <c r="D292" s="149" t="s">
        <v>120</v>
      </c>
      <c r="E292" s="139"/>
      <c r="F292" s="145"/>
      <c r="G292" s="143"/>
      <c r="H292" s="154" t="s">
        <v>46</v>
      </c>
      <c r="I292" s="152">
        <f ca="1">IFERROR(__xludf.DUMMYFUNCTION("IMPORTRANGE(""https://docs.google.com/spreadsheets/d/1eHaY18a8A9IcSdp1K8H6x8fbOy06t2VsZHhMHf-1x7Y/edit?usp=sharing"",""แผน!EE82"")"),0)</f>
        <v>0</v>
      </c>
      <c r="J292" s="167">
        <v>0</v>
      </c>
      <c r="K292" s="153">
        <f ca="1">IF(I292&gt;0,J292*100/I292,0)</f>
        <v>0</v>
      </c>
      <c r="L292" s="558"/>
      <c r="M292" s="136"/>
      <c r="N292" s="136"/>
      <c r="O292" s="136"/>
      <c r="P292" s="136"/>
      <c r="Q292" s="136"/>
      <c r="R292" s="136"/>
      <c r="S292" s="136"/>
      <c r="T292" s="136"/>
      <c r="U292" s="136"/>
    </row>
    <row r="293" spans="1:21" ht="19.5" hidden="1" x14ac:dyDescent="0.3">
      <c r="A293" s="138"/>
      <c r="B293" s="139"/>
      <c r="C293" s="139"/>
      <c r="D293" s="149" t="s">
        <v>121</v>
      </c>
      <c r="E293" s="139"/>
      <c r="F293" s="145"/>
      <c r="G293" s="143"/>
      <c r="H293" s="146" t="s">
        <v>35</v>
      </c>
      <c r="I293" s="147">
        <f ca="1">IFERROR(__xludf.DUMMYFUNCTION("IMPORTRANGE(""https://docs.google.com/spreadsheets/d/1eHaY18a8A9IcSdp1K8H6x8fbOy06t2VsZHhMHf-1x7Y/edit?usp=sharing"",""แผน!ED82"")"),0)</f>
        <v>0</v>
      </c>
      <c r="J293" s="147">
        <f>J296</f>
        <v>0</v>
      </c>
      <c r="K293" s="148">
        <f ca="1">IF(I293&gt;0,J293*100/I293,0)</f>
        <v>0</v>
      </c>
      <c r="L293" s="558"/>
      <c r="M293" s="136"/>
      <c r="N293" s="136"/>
      <c r="O293" s="136"/>
      <c r="P293" s="136"/>
      <c r="Q293" s="136"/>
      <c r="R293" s="136"/>
      <c r="S293" s="136"/>
      <c r="T293" s="136"/>
      <c r="U293" s="136"/>
    </row>
    <row r="294" spans="1:21" ht="19.5" hidden="1" x14ac:dyDescent="0.3">
      <c r="A294" s="138"/>
      <c r="B294" s="139"/>
      <c r="C294" s="139"/>
      <c r="D294" s="145"/>
      <c r="E294" s="165" t="s">
        <v>122</v>
      </c>
      <c r="F294" s="145"/>
      <c r="G294" s="143"/>
      <c r="H294" s="143"/>
      <c r="I294" s="135"/>
      <c r="J294" s="45"/>
      <c r="K294" s="136"/>
      <c r="L294" s="558"/>
      <c r="M294" s="136"/>
      <c r="N294" s="136"/>
      <c r="O294" s="136"/>
      <c r="P294" s="136"/>
      <c r="Q294" s="136"/>
      <c r="R294" s="136"/>
      <c r="S294" s="136"/>
      <c r="T294" s="136"/>
      <c r="U294" s="136"/>
    </row>
    <row r="295" spans="1:21" ht="19.5" hidden="1" x14ac:dyDescent="0.3">
      <c r="A295" s="138"/>
      <c r="B295" s="139"/>
      <c r="C295" s="139"/>
      <c r="D295" s="145"/>
      <c r="E295" s="149" t="s">
        <v>123</v>
      </c>
      <c r="F295" s="145"/>
      <c r="G295" s="143"/>
      <c r="H295" s="150" t="s">
        <v>35</v>
      </c>
      <c r="I295" s="151">
        <f ca="1">IFERROR(__xludf.DUMMYFUNCTION("IMPORTRANGE(""https://docs.google.com/spreadsheets/d/1eHaY18a8A9IcSdp1K8H6x8fbOy06t2VsZHhMHf-1x7Y/edit?usp=sharing"",""แผน!ED82"")"),0)</f>
        <v>0</v>
      </c>
      <c r="J295" s="167">
        <v>0</v>
      </c>
      <c r="K295" s="153">
        <f ca="1">IF(I295&gt;0,J295*100/I295,0)</f>
        <v>0</v>
      </c>
      <c r="L295" s="558"/>
      <c r="M295" s="136"/>
      <c r="N295" s="136"/>
      <c r="O295" s="136"/>
      <c r="P295" s="136"/>
      <c r="Q295" s="136"/>
      <c r="R295" s="136"/>
      <c r="S295" s="136"/>
      <c r="T295" s="136"/>
      <c r="U295" s="136"/>
    </row>
    <row r="296" spans="1:21" ht="19.5" hidden="1" x14ac:dyDescent="0.3">
      <c r="A296" s="138"/>
      <c r="B296" s="139"/>
      <c r="C296" s="139"/>
      <c r="D296" s="145"/>
      <c r="E296" s="149" t="s">
        <v>124</v>
      </c>
      <c r="F296" s="145"/>
      <c r="G296" s="143"/>
      <c r="H296" s="150" t="s">
        <v>35</v>
      </c>
      <c r="I296" s="151">
        <f ca="1">IFERROR(__xludf.DUMMYFUNCTION("IMPORTRANGE(""https://docs.google.com/spreadsheets/d/1eHaY18a8A9IcSdp1K8H6x8fbOy06t2VsZHhMHf-1x7Y/edit?usp=sharing"",""แผน!ED82"")"),0)</f>
        <v>0</v>
      </c>
      <c r="J296" s="167">
        <v>0</v>
      </c>
      <c r="K296" s="153">
        <f ca="1">IF(I296&gt;0,J296*100/I296,0)</f>
        <v>0</v>
      </c>
      <c r="L296" s="558"/>
      <c r="M296" s="136"/>
      <c r="N296" s="136"/>
      <c r="O296" s="136"/>
      <c r="P296" s="136"/>
      <c r="Q296" s="136"/>
      <c r="R296" s="136"/>
      <c r="S296" s="136"/>
      <c r="T296" s="136"/>
      <c r="U296" s="136"/>
    </row>
    <row r="297" spans="1:21" ht="12.75" hidden="1" x14ac:dyDescent="0.2">
      <c r="A297" s="163"/>
      <c r="B297" s="164"/>
      <c r="C297" s="164"/>
      <c r="D297" s="19"/>
      <c r="E297" s="19"/>
      <c r="F297" s="19"/>
      <c r="G297" s="20"/>
      <c r="H297" s="20"/>
      <c r="I297" s="21"/>
      <c r="J297" s="21"/>
      <c r="K297" s="22"/>
      <c r="L297" s="700"/>
      <c r="M297" s="22"/>
      <c r="N297" s="22"/>
      <c r="O297" s="22"/>
      <c r="P297" s="22"/>
      <c r="Q297" s="22"/>
      <c r="R297" s="22"/>
      <c r="S297" s="22"/>
      <c r="T297" s="22"/>
      <c r="U297" s="22"/>
    </row>
    <row r="298" spans="1:21" ht="12.75" hidden="1" x14ac:dyDescent="0.2">
      <c r="A298" s="163"/>
      <c r="B298" s="164"/>
      <c r="C298" s="164"/>
      <c r="D298" s="19"/>
      <c r="E298" s="19"/>
      <c r="F298" s="19"/>
      <c r="G298" s="20"/>
      <c r="H298" s="20"/>
      <c r="I298" s="21"/>
      <c r="J298" s="21"/>
      <c r="K298" s="22"/>
      <c r="L298" s="700"/>
      <c r="M298" s="22"/>
      <c r="N298" s="22"/>
      <c r="O298" s="22"/>
      <c r="P298" s="22"/>
      <c r="Q298" s="22"/>
      <c r="R298" s="22"/>
      <c r="S298" s="22"/>
      <c r="T298" s="22"/>
      <c r="U298" s="22"/>
    </row>
    <row r="299" spans="1:21" ht="12.75" hidden="1" x14ac:dyDescent="0.2">
      <c r="A299" s="291"/>
      <c r="B299" s="292"/>
      <c r="C299" s="292"/>
      <c r="D299" s="23"/>
      <c r="E299" s="23"/>
      <c r="F299" s="23"/>
      <c r="G299" s="15"/>
      <c r="H299" s="15"/>
      <c r="I299" s="16"/>
      <c r="J299" s="16"/>
      <c r="K299" s="17"/>
      <c r="L299" s="709"/>
      <c r="M299" s="17"/>
      <c r="N299" s="17"/>
      <c r="O299" s="17"/>
      <c r="P299" s="17"/>
      <c r="Q299" s="17"/>
      <c r="R299" s="17"/>
      <c r="S299" s="17"/>
      <c r="T299" s="17"/>
      <c r="U299" s="17"/>
    </row>
    <row r="300" spans="1:21" ht="19.5" x14ac:dyDescent="0.3">
      <c r="A300" s="293" t="s">
        <v>125</v>
      </c>
      <c r="B300" s="294"/>
      <c r="C300" s="294"/>
      <c r="D300" s="294"/>
      <c r="E300" s="295"/>
      <c r="F300" s="295"/>
      <c r="G300" s="295"/>
      <c r="H300" s="295"/>
      <c r="I300" s="296"/>
      <c r="J300" s="296"/>
      <c r="K300" s="297"/>
      <c r="L300" s="297"/>
      <c r="M300" s="297"/>
      <c r="N300" s="297"/>
      <c r="O300" s="297"/>
      <c r="P300" s="298"/>
      <c r="Q300" s="297"/>
      <c r="R300" s="297"/>
      <c r="S300" s="297"/>
      <c r="T300" s="297"/>
      <c r="U300" s="298"/>
    </row>
    <row r="301" spans="1:21" ht="19.5" x14ac:dyDescent="0.3">
      <c r="A301" s="299" t="s">
        <v>126</v>
      </c>
      <c r="B301" s="300"/>
      <c r="C301" s="300"/>
      <c r="D301" s="301"/>
      <c r="E301" s="301"/>
      <c r="F301" s="301"/>
      <c r="G301" s="302"/>
      <c r="H301" s="302"/>
      <c r="I301" s="303"/>
      <c r="J301" s="303"/>
      <c r="K301" s="304"/>
      <c r="L301" s="699"/>
      <c r="M301" s="304"/>
      <c r="N301" s="304"/>
      <c r="O301" s="304"/>
      <c r="P301" s="304"/>
      <c r="Q301" s="304"/>
      <c r="R301" s="304"/>
      <c r="S301" s="304"/>
      <c r="T301" s="304"/>
      <c r="U301" s="304"/>
    </row>
    <row r="302" spans="1:21" ht="19.5" x14ac:dyDescent="0.3">
      <c r="A302" s="305"/>
      <c r="B302" s="306" t="s">
        <v>127</v>
      </c>
      <c r="C302" s="307"/>
      <c r="D302" s="307"/>
      <c r="E302" s="307"/>
      <c r="F302" s="307"/>
      <c r="G302" s="308"/>
      <c r="H302" s="309" t="s">
        <v>35</v>
      </c>
      <c r="I302" s="310">
        <f ca="1">I314</f>
        <v>15</v>
      </c>
      <c r="J302" s="310">
        <f>J314</f>
        <v>0</v>
      </c>
      <c r="K302" s="311">
        <f ca="1">IF(I302&gt;0,J302*100/I302,0)</f>
        <v>0</v>
      </c>
      <c r="L302" s="651"/>
      <c r="M302" s="312"/>
      <c r="N302" s="312"/>
      <c r="O302" s="312"/>
      <c r="P302" s="312"/>
      <c r="Q302" s="312"/>
      <c r="R302" s="312"/>
      <c r="S302" s="312"/>
      <c r="T302" s="312"/>
      <c r="U302" s="312"/>
    </row>
    <row r="303" spans="1:21" ht="19.5" x14ac:dyDescent="0.3">
      <c r="A303" s="128"/>
      <c r="B303" s="41"/>
      <c r="C303" s="386" t="s">
        <v>18</v>
      </c>
      <c r="D303" s="591" t="s">
        <v>19</v>
      </c>
      <c r="E303" s="41"/>
      <c r="F303" s="41"/>
      <c r="G303" s="43"/>
      <c r="H303" s="131" t="s">
        <v>14</v>
      </c>
      <c r="I303" s="45"/>
      <c r="J303" s="45"/>
      <c r="K303" s="46"/>
      <c r="L303" s="550">
        <f ca="1">L304+L305</f>
        <v>162475</v>
      </c>
      <c r="M303" s="132">
        <f ca="1">M304+M305</f>
        <v>162475</v>
      </c>
      <c r="N303" s="132">
        <f ca="1">N304+N305</f>
        <v>113714.29</v>
      </c>
      <c r="O303" s="132">
        <f ca="1">IF(L303&gt;0,N303*100/L303,0)</f>
        <v>69.988792121864904</v>
      </c>
      <c r="P303" s="132">
        <f ca="1">IF(M303&gt;0,N303*100/M303,0)</f>
        <v>69.988792121864904</v>
      </c>
      <c r="Q303" s="132">
        <f ca="1">Q304+Q305</f>
        <v>123161.24</v>
      </c>
      <c r="R303" s="132">
        <f ca="1">R304+R305</f>
        <v>123161</v>
      </c>
      <c r="S303" s="132">
        <f ca="1">S304+S305</f>
        <v>1000</v>
      </c>
      <c r="T303" s="132">
        <f ca="1">IF(Q303&gt;0,S303*100/Q303,0)</f>
        <v>0.8119437576302414</v>
      </c>
      <c r="U303" s="132">
        <f ca="1">IF(R303&gt;0,S303*100/R303,0)</f>
        <v>0.81194533983972195</v>
      </c>
    </row>
    <row r="304" spans="1:21" ht="18.75" hidden="1" x14ac:dyDescent="0.25">
      <c r="A304" s="128"/>
      <c r="B304" s="41"/>
      <c r="C304" s="41"/>
      <c r="D304" s="41"/>
      <c r="E304" s="157" t="s">
        <v>20</v>
      </c>
      <c r="F304" s="41"/>
      <c r="G304" s="43"/>
      <c r="H304" s="158" t="s">
        <v>14</v>
      </c>
      <c r="I304" s="45"/>
      <c r="J304" s="45"/>
      <c r="K304" s="46"/>
      <c r="L304" s="549">
        <f>L307+L310</f>
        <v>0</v>
      </c>
      <c r="M304" s="49">
        <f>M307+M310</f>
        <v>0</v>
      </c>
      <c r="N304" s="49">
        <f>N307+N310</f>
        <v>0</v>
      </c>
      <c r="O304" s="49">
        <f>IF(L304&gt;0,N304*100/L304,0)</f>
        <v>0</v>
      </c>
      <c r="P304" s="49">
        <f>IF(M304&gt;0,N304*100/M304,0)</f>
        <v>0</v>
      </c>
      <c r="Q304" s="49">
        <f>Q307+Q310</f>
        <v>0</v>
      </c>
      <c r="R304" s="49">
        <f>R307+R310</f>
        <v>0</v>
      </c>
      <c r="S304" s="49">
        <f>S307+S310</f>
        <v>0</v>
      </c>
      <c r="T304" s="49">
        <f>IF(Q304&gt;0,S304*100/Q304,0)</f>
        <v>0</v>
      </c>
      <c r="U304" s="49">
        <f>IF(R304&gt;0,S304*100/R304,0)</f>
        <v>0</v>
      </c>
    </row>
    <row r="305" spans="1:21" ht="18.75" hidden="1" x14ac:dyDescent="0.25">
      <c r="A305" s="128"/>
      <c r="B305" s="41"/>
      <c r="C305" s="41"/>
      <c r="D305" s="41"/>
      <c r="E305" s="48" t="s">
        <v>21</v>
      </c>
      <c r="F305" s="41"/>
      <c r="G305" s="43"/>
      <c r="H305" s="133" t="s">
        <v>14</v>
      </c>
      <c r="I305" s="45"/>
      <c r="J305" s="45"/>
      <c r="K305" s="46"/>
      <c r="L305" s="548">
        <f ca="1">L308+L311</f>
        <v>162475</v>
      </c>
      <c r="M305" s="47">
        <f ca="1">M308+M311</f>
        <v>162475</v>
      </c>
      <c r="N305" s="47">
        <f ca="1">N308+N311</f>
        <v>113714.29</v>
      </c>
      <c r="O305" s="47">
        <f ca="1">IF(L305&gt;0,N305*100/L305,0)</f>
        <v>69.988792121864904</v>
      </c>
      <c r="P305" s="47">
        <f ca="1">IF(M305&gt;0,N305*100/M305,0)</f>
        <v>69.988792121864904</v>
      </c>
      <c r="Q305" s="47">
        <f ca="1">Q308+Q311</f>
        <v>123161.24</v>
      </c>
      <c r="R305" s="47">
        <f ca="1">R308+R311</f>
        <v>123161</v>
      </c>
      <c r="S305" s="47">
        <f ca="1">S308+S311</f>
        <v>1000</v>
      </c>
      <c r="T305" s="47">
        <f ca="1">IF(Q305&gt;0,S305*100/Q305,0)</f>
        <v>0.8119437576302414</v>
      </c>
      <c r="U305" s="47">
        <f ca="1">IF(R305&gt;0,S305*100/R305,0)</f>
        <v>0.81194533983972195</v>
      </c>
    </row>
    <row r="306" spans="1:21" ht="18.75" x14ac:dyDescent="0.25">
      <c r="A306" s="128"/>
      <c r="B306" s="41"/>
      <c r="C306" s="41"/>
      <c r="D306" s="42" t="s">
        <v>22</v>
      </c>
      <c r="E306" s="41"/>
      <c r="F306" s="41"/>
      <c r="G306" s="43"/>
      <c r="H306" s="134" t="s">
        <v>14</v>
      </c>
      <c r="I306" s="135"/>
      <c r="J306" s="135"/>
      <c r="K306" s="136"/>
      <c r="L306" s="548">
        <f ca="1">L307+L308</f>
        <v>162475</v>
      </c>
      <c r="M306" s="47">
        <f ca="1">M307+M308</f>
        <v>162475</v>
      </c>
      <c r="N306" s="47">
        <f ca="1">N307+N308</f>
        <v>113714.29</v>
      </c>
      <c r="O306" s="47">
        <f ca="1">IF(L306&gt;0,N306*100/L306,0)</f>
        <v>69.988792121864904</v>
      </c>
      <c r="P306" s="47">
        <f ca="1">IF(M306&gt;0,N306*100/M306,0)</f>
        <v>69.988792121864904</v>
      </c>
      <c r="Q306" s="47">
        <f ca="1">Q307+Q308</f>
        <v>123161.24</v>
      </c>
      <c r="R306" s="47">
        <f ca="1">R307+R308</f>
        <v>123161</v>
      </c>
      <c r="S306" s="47">
        <f ca="1">S307+S308</f>
        <v>1000</v>
      </c>
      <c r="T306" s="47">
        <f ca="1">IF(Q306&gt;0,S306*100/Q306,0)</f>
        <v>0.8119437576302414</v>
      </c>
      <c r="U306" s="47">
        <f ca="1">IF(R306&gt;0,S306*100/R306,0)</f>
        <v>0.81194533983972195</v>
      </c>
    </row>
    <row r="307" spans="1:21" ht="18.75" hidden="1" x14ac:dyDescent="0.25">
      <c r="A307" s="128"/>
      <c r="B307" s="41"/>
      <c r="C307" s="41"/>
      <c r="D307" s="41"/>
      <c r="E307" s="157" t="s">
        <v>36</v>
      </c>
      <c r="F307" s="41"/>
      <c r="G307" s="43"/>
      <c r="H307" s="160" t="s">
        <v>14</v>
      </c>
      <c r="I307" s="135"/>
      <c r="J307" s="135"/>
      <c r="K307" s="136"/>
      <c r="L307" s="549">
        <v>0</v>
      </c>
      <c r="M307" s="49">
        <v>0</v>
      </c>
      <c r="N307" s="49">
        <v>0</v>
      </c>
      <c r="O307" s="49">
        <f>IF(L307&gt;0,N307*100/L307,0)</f>
        <v>0</v>
      </c>
      <c r="P307" s="49">
        <f>IF(M307&gt;0,N307*100/M307,0)</f>
        <v>0</v>
      </c>
      <c r="Q307" s="49">
        <v>0</v>
      </c>
      <c r="R307" s="49">
        <v>0</v>
      </c>
      <c r="S307" s="49">
        <v>0</v>
      </c>
      <c r="T307" s="49">
        <f>IF(Q307&gt;0,S307*100/Q307,0)</f>
        <v>0</v>
      </c>
      <c r="U307" s="49">
        <f>IF(R307&gt;0,S307*100/R307,0)</f>
        <v>0</v>
      </c>
    </row>
    <row r="308" spans="1:21" ht="18.75" hidden="1" x14ac:dyDescent="0.25">
      <c r="A308" s="128"/>
      <c r="B308" s="41"/>
      <c r="C308" s="41"/>
      <c r="D308" s="41"/>
      <c r="E308" s="48" t="s">
        <v>37</v>
      </c>
      <c r="F308" s="41"/>
      <c r="G308" s="43"/>
      <c r="H308" s="134" t="s">
        <v>14</v>
      </c>
      <c r="I308" s="135"/>
      <c r="J308" s="135"/>
      <c r="K308" s="136"/>
      <c r="L308" s="548">
        <f ca="1">IFERROR(__xludf.DUMMYFUNCTION("IMPORTRANGE(""https://docs.google.com/spreadsheets/d/1-uDff_7J0KD5mKrp0Vvzr7lt3OU09vwQwhkpOPPYv2Y/edit?usp=sharing"",""งบพรบ!DY82"")"),162475)</f>
        <v>162475</v>
      </c>
      <c r="M308" s="47">
        <f ca="1">IFERROR(__xludf.DUMMYFUNCTION("IMPORTRANGE(""https://docs.google.com/spreadsheets/d/1-uDff_7J0KD5mKrp0Vvzr7lt3OU09vwQwhkpOPPYv2Y/edit?usp=sharing"",""งบพรบ!ED82"")"),162475)</f>
        <v>162475</v>
      </c>
      <c r="N308" s="47">
        <f ca="1">IFERROR(__xludf.DUMMYFUNCTION("IMPORTRANGE(""https://docs.google.com/spreadsheets/d/1-uDff_7J0KD5mKrp0Vvzr7lt3OU09vwQwhkpOPPYv2Y/edit?usp=sharing"",""งบพรบ!EF82"")"),113714.29)</f>
        <v>113714.29</v>
      </c>
      <c r="O308" s="47">
        <f ca="1">IF(L308&gt;0,N308*100/L308,0)</f>
        <v>69.988792121864904</v>
      </c>
      <c r="P308" s="47">
        <f ca="1">IF(M308&gt;0,N308*100/M308,0)</f>
        <v>69.988792121864904</v>
      </c>
      <c r="Q308" s="47">
        <f ca="1">IFERROR(__xludf.DUMMYFUNCTION("IMPORTRANGE(""https://docs.google.com/spreadsheets/d/1ItG2mGa2ceCfYo0BwxsXqNm01IGEUdYcSSLTEv9YCik/edit?usp=sharing"",""เบิกจ่ายกองทุน!BB82"")"),123161.24)</f>
        <v>123161.24</v>
      </c>
      <c r="R308" s="47">
        <f ca="1">IFERROR(__xludf.DUMMYFUNCTION("IMPORTRANGE(""https://docs.google.com/spreadsheets/d/1ItG2mGa2ceCfYo0BwxsXqNm01IGEUdYcSSLTEv9YCik/edit?usp=sharing"",""เบิกจ่ายกองทุน!BC82"")"),123161)</f>
        <v>123161</v>
      </c>
      <c r="S308" s="47">
        <f ca="1">IFERROR(__xludf.DUMMYFUNCTION("IMPORTRANGE(""https://docs.google.com/spreadsheets/d/1ItG2mGa2ceCfYo0BwxsXqNm01IGEUdYcSSLTEv9YCik/edit?usp=sharing"",""เบิกจ่ายกองทุน!BD82"")"),1000)</f>
        <v>1000</v>
      </c>
      <c r="T308" s="47">
        <f ca="1">IF(Q308&gt;0,S308*100/Q308,0)</f>
        <v>0.8119437576302414</v>
      </c>
      <c r="U308" s="47">
        <f ca="1">IF(R308&gt;0,S308*100/R308,0)</f>
        <v>0.81194533983972195</v>
      </c>
    </row>
    <row r="309" spans="1:21" ht="18.75" x14ac:dyDescent="0.25">
      <c r="A309" s="128"/>
      <c r="B309" s="41"/>
      <c r="C309" s="41"/>
      <c r="D309" s="42" t="s">
        <v>23</v>
      </c>
      <c r="E309" s="41"/>
      <c r="F309" s="41"/>
      <c r="G309" s="43"/>
      <c r="H309" s="137" t="s">
        <v>14</v>
      </c>
      <c r="I309" s="135"/>
      <c r="J309" s="135"/>
      <c r="K309" s="136"/>
      <c r="L309" s="548">
        <f ca="1">L310+L311</f>
        <v>0</v>
      </c>
      <c r="M309" s="47">
        <f ca="1">M310+M311</f>
        <v>0</v>
      </c>
      <c r="N309" s="47">
        <f ca="1">N310+N311</f>
        <v>0</v>
      </c>
      <c r="O309" s="47">
        <f ca="1">IF(L309&gt;0,N309*100/L309,0)</f>
        <v>0</v>
      </c>
      <c r="P309" s="47">
        <f ca="1">IF(M309&gt;0,N309*100/M309,0)</f>
        <v>0</v>
      </c>
      <c r="Q309" s="47">
        <f>Q310+Q311</f>
        <v>0</v>
      </c>
      <c r="R309" s="47">
        <f>R310+R311</f>
        <v>0</v>
      </c>
      <c r="S309" s="47">
        <f>S310+S311</f>
        <v>0</v>
      </c>
      <c r="T309" s="47">
        <f>IF(Q309&gt;0,S309*100/Q309,0)</f>
        <v>0</v>
      </c>
      <c r="U309" s="47">
        <f>IF(R309&gt;0,S309*100/R309,0)</f>
        <v>0</v>
      </c>
    </row>
    <row r="310" spans="1:21" ht="18.75" hidden="1" x14ac:dyDescent="0.25">
      <c r="A310" s="128"/>
      <c r="B310" s="41"/>
      <c r="C310" s="41"/>
      <c r="D310" s="41"/>
      <c r="E310" s="157" t="s">
        <v>20</v>
      </c>
      <c r="F310" s="41"/>
      <c r="G310" s="43"/>
      <c r="H310" s="160" t="s">
        <v>14</v>
      </c>
      <c r="I310" s="135"/>
      <c r="J310" s="135"/>
      <c r="K310" s="136"/>
      <c r="L310" s="549">
        <v>0</v>
      </c>
      <c r="M310" s="49">
        <v>0</v>
      </c>
      <c r="N310" s="49">
        <v>0</v>
      </c>
      <c r="O310" s="49">
        <f>IF(L310&gt;0,N310*100/L310,0)</f>
        <v>0</v>
      </c>
      <c r="P310" s="49">
        <f>IF(M310&gt;0,N310*100/M310,0)</f>
        <v>0</v>
      </c>
      <c r="Q310" s="49">
        <v>0</v>
      </c>
      <c r="R310" s="49">
        <v>0</v>
      </c>
      <c r="S310" s="49">
        <v>0</v>
      </c>
      <c r="T310" s="49">
        <f>IF(Q310&gt;0,S310*100/Q310,0)</f>
        <v>0</v>
      </c>
      <c r="U310" s="49">
        <f>IF(R310&gt;0,S310*100/R310,0)</f>
        <v>0</v>
      </c>
    </row>
    <row r="311" spans="1:21" ht="18.75" hidden="1" x14ac:dyDescent="0.25">
      <c r="A311" s="128"/>
      <c r="B311" s="41"/>
      <c r="C311" s="41"/>
      <c r="D311" s="41"/>
      <c r="E311" s="48" t="s">
        <v>21</v>
      </c>
      <c r="F311" s="41"/>
      <c r="G311" s="43"/>
      <c r="H311" s="137" t="s">
        <v>14</v>
      </c>
      <c r="I311" s="135"/>
      <c r="J311" s="135"/>
      <c r="K311" s="136"/>
      <c r="L311" s="548">
        <f ca="1">IFERROR(__xludf.DUMMYFUNCTION("IMPORTRANGE(""https://docs.google.com/spreadsheets/d/1-uDff_7J0KD5mKrp0Vvzr7lt3OU09vwQwhkpOPPYv2Y/edit?usp=sharing"",""งบพรบ!EB82"")"),0)</f>
        <v>0</v>
      </c>
      <c r="M311" s="47">
        <f ca="1">IFERROR(__xludf.DUMMYFUNCTION("IMPORTRANGE(""https://docs.google.com/spreadsheets/d/1-uDff_7J0KD5mKrp0Vvzr7lt3OU09vwQwhkpOPPYv2Y/edit?usp=sharing"",""งบพรบ!EE82"")"),0)</f>
        <v>0</v>
      </c>
      <c r="N311" s="47">
        <f ca="1">IFERROR(__xludf.DUMMYFUNCTION("IMPORTRANGE(""https://docs.google.com/spreadsheets/d/1-uDff_7J0KD5mKrp0Vvzr7lt3OU09vwQwhkpOPPYv2Y/edit?usp=sharing"",""งบพรบ!EG82"")"),0)</f>
        <v>0</v>
      </c>
      <c r="O311" s="47">
        <f ca="1">IF(L311&gt;0,N311*100/L311,0)</f>
        <v>0</v>
      </c>
      <c r="P311" s="47">
        <f ca="1">IF(M311&gt;0,N311*100/M311,0)</f>
        <v>0</v>
      </c>
      <c r="Q311" s="47">
        <v>0</v>
      </c>
      <c r="R311" s="47">
        <v>0</v>
      </c>
      <c r="S311" s="47">
        <v>0</v>
      </c>
      <c r="T311" s="47">
        <f>IF(Q311&gt;0,S311*100/Q311,0)</f>
        <v>0</v>
      </c>
      <c r="U311" s="47">
        <f>IF(R311&gt;0,S311*100/R311,0)</f>
        <v>0</v>
      </c>
    </row>
    <row r="312" spans="1:21" ht="19.5" x14ac:dyDescent="0.3">
      <c r="A312" s="138"/>
      <c r="B312" s="139"/>
      <c r="C312" s="386" t="s">
        <v>18</v>
      </c>
      <c r="D312" s="563" t="s">
        <v>38</v>
      </c>
      <c r="E312" s="141"/>
      <c r="F312" s="141"/>
      <c r="G312" s="142"/>
      <c r="H312" s="143"/>
      <c r="I312" s="45"/>
      <c r="J312" s="45"/>
      <c r="K312" s="46"/>
      <c r="L312" s="546"/>
      <c r="M312" s="46"/>
      <c r="N312" s="46"/>
      <c r="O312" s="46"/>
      <c r="P312" s="46"/>
      <c r="Q312" s="46"/>
      <c r="R312" s="46"/>
      <c r="S312" s="46"/>
      <c r="T312" s="46"/>
      <c r="U312" s="46"/>
    </row>
    <row r="313" spans="1:21" ht="18.75" hidden="1" x14ac:dyDescent="0.25">
      <c r="A313" s="163"/>
      <c r="B313" s="164"/>
      <c r="C313" s="164"/>
      <c r="D313" s="708"/>
      <c r="E313" s="19"/>
      <c r="F313" s="19"/>
      <c r="G313" s="20"/>
      <c r="H313" s="20"/>
      <c r="I313" s="21"/>
      <c r="J313" s="706"/>
      <c r="K313" s="22"/>
      <c r="L313" s="700"/>
      <c r="M313" s="22"/>
      <c r="N313" s="22"/>
      <c r="O313" s="22"/>
      <c r="P313" s="22"/>
      <c r="Q313" s="22"/>
      <c r="R313" s="22"/>
      <c r="S313" s="22"/>
      <c r="T313" s="22"/>
      <c r="U313" s="22"/>
    </row>
    <row r="314" spans="1:21" ht="18.75" x14ac:dyDescent="0.25">
      <c r="A314" s="138"/>
      <c r="B314" s="139"/>
      <c r="C314" s="139"/>
      <c r="D314" s="149" t="s">
        <v>121</v>
      </c>
      <c r="E314" s="145"/>
      <c r="F314" s="145"/>
      <c r="G314" s="143"/>
      <c r="H314" s="150" t="s">
        <v>35</v>
      </c>
      <c r="I314" s="152">
        <f ca="1">IFERROR(__xludf.DUMMYFUNCTION("IMPORTRANGE(""https://docs.google.com/spreadsheets/d/1eHaY18a8A9IcSdp1K8H6x8fbOy06t2VsZHhMHf-1x7Y/edit?usp=sharing"",""แผน!EF82"")"),15)</f>
        <v>15</v>
      </c>
      <c r="J314" s="167">
        <v>0</v>
      </c>
      <c r="K314" s="47">
        <f ca="1">IF(I314&gt;0,J314*100/I314,0)</f>
        <v>0</v>
      </c>
      <c r="L314" s="546"/>
      <c r="M314" s="46"/>
      <c r="N314" s="46"/>
      <c r="O314" s="46"/>
      <c r="P314" s="46"/>
      <c r="Q314" s="46"/>
      <c r="R314" s="46"/>
      <c r="S314" s="46"/>
      <c r="T314" s="46"/>
      <c r="U314" s="46"/>
    </row>
    <row r="315" spans="1:21" ht="18.75" hidden="1" x14ac:dyDescent="0.25">
      <c r="A315" s="163"/>
      <c r="B315" s="164"/>
      <c r="C315" s="164"/>
      <c r="D315" s="708"/>
      <c r="E315" s="19"/>
      <c r="F315" s="19"/>
      <c r="G315" s="20"/>
      <c r="H315" s="707"/>
      <c r="I315" s="706"/>
      <c r="J315" s="706"/>
      <c r="K315" s="705"/>
      <c r="L315" s="700"/>
      <c r="M315" s="22"/>
      <c r="N315" s="22"/>
      <c r="O315" s="22"/>
      <c r="P315" s="22"/>
      <c r="Q315" s="22"/>
      <c r="R315" s="22"/>
      <c r="S315" s="22"/>
      <c r="T315" s="22"/>
      <c r="U315" s="22"/>
    </row>
    <row r="316" spans="1:21" ht="18.75" hidden="1" x14ac:dyDescent="0.25">
      <c r="A316" s="163"/>
      <c r="B316" s="164"/>
      <c r="C316" s="164"/>
      <c r="D316" s="708"/>
      <c r="E316" s="19"/>
      <c r="F316" s="19"/>
      <c r="G316" s="20"/>
      <c r="H316" s="707"/>
      <c r="I316" s="706"/>
      <c r="J316" s="706"/>
      <c r="K316" s="705"/>
      <c r="L316" s="700"/>
      <c r="M316" s="22"/>
      <c r="N316" s="22"/>
      <c r="O316" s="22"/>
      <c r="P316" s="22"/>
      <c r="Q316" s="22"/>
      <c r="R316" s="22"/>
      <c r="S316" s="22"/>
      <c r="T316" s="22"/>
      <c r="U316" s="22"/>
    </row>
    <row r="317" spans="1:21" ht="18.75" hidden="1" x14ac:dyDescent="0.25">
      <c r="A317" s="163"/>
      <c r="B317" s="164"/>
      <c r="C317" s="164"/>
      <c r="D317" s="704"/>
      <c r="E317" s="19"/>
      <c r="F317" s="19"/>
      <c r="G317" s="20"/>
      <c r="H317" s="703"/>
      <c r="I317" s="702"/>
      <c r="J317" s="702"/>
      <c r="K317" s="701"/>
      <c r="L317" s="700"/>
      <c r="M317" s="22"/>
      <c r="N317" s="22"/>
      <c r="O317" s="22"/>
      <c r="P317" s="22"/>
      <c r="Q317" s="22"/>
      <c r="R317" s="22"/>
      <c r="S317" s="22"/>
      <c r="T317" s="22"/>
      <c r="U317" s="22"/>
    </row>
    <row r="318" spans="1:21" ht="19.5" hidden="1" x14ac:dyDescent="0.3">
      <c r="A318" s="299" t="s">
        <v>131</v>
      </c>
      <c r="B318" s="300"/>
      <c r="C318" s="300"/>
      <c r="D318" s="301"/>
      <c r="E318" s="300"/>
      <c r="F318" s="300"/>
      <c r="G318" s="300"/>
      <c r="H318" s="301"/>
      <c r="I318" s="303"/>
      <c r="J318" s="303"/>
      <c r="K318" s="304"/>
      <c r="L318" s="699"/>
      <c r="M318" s="304"/>
      <c r="N318" s="304"/>
      <c r="O318" s="304"/>
      <c r="P318" s="304"/>
      <c r="Q318" s="304"/>
      <c r="R318" s="304"/>
      <c r="S318" s="304"/>
      <c r="T318" s="304"/>
      <c r="U318" s="304"/>
    </row>
    <row r="319" spans="1:21" ht="19.5" hidden="1" x14ac:dyDescent="0.3">
      <c r="A319" s="313"/>
      <c r="B319" s="306" t="s">
        <v>132</v>
      </c>
      <c r="C319" s="314"/>
      <c r="D319" s="315"/>
      <c r="E319" s="307"/>
      <c r="F319" s="307"/>
      <c r="G319" s="308"/>
      <c r="H319" s="309" t="s">
        <v>133</v>
      </c>
      <c r="I319" s="310">
        <f ca="1">I330</f>
        <v>0</v>
      </c>
      <c r="J319" s="310">
        <f>J330</f>
        <v>0</v>
      </c>
      <c r="K319" s="311">
        <f ca="1">IF(I319&gt;0,J319*100/I319,0)</f>
        <v>0</v>
      </c>
      <c r="L319" s="651"/>
      <c r="M319" s="312"/>
      <c r="N319" s="312"/>
      <c r="O319" s="312"/>
      <c r="P319" s="312"/>
      <c r="Q319" s="312"/>
      <c r="R319" s="312"/>
      <c r="S319" s="312"/>
      <c r="T319" s="312"/>
      <c r="U319" s="312"/>
    </row>
    <row r="320" spans="1:21" ht="19.5" hidden="1" x14ac:dyDescent="0.3">
      <c r="A320" s="128"/>
      <c r="B320" s="41"/>
      <c r="C320" s="129" t="s">
        <v>18</v>
      </c>
      <c r="D320" s="591" t="s">
        <v>19</v>
      </c>
      <c r="E320" s="41"/>
      <c r="F320" s="41"/>
      <c r="G320" s="43"/>
      <c r="H320" s="131" t="s">
        <v>14</v>
      </c>
      <c r="I320" s="45"/>
      <c r="J320" s="45"/>
      <c r="K320" s="46"/>
      <c r="L320" s="550">
        <f ca="1">L321+L322</f>
        <v>0</v>
      </c>
      <c r="M320" s="132">
        <f ca="1">M321+M322</f>
        <v>0</v>
      </c>
      <c r="N320" s="132">
        <f ca="1">N321+N322</f>
        <v>0</v>
      </c>
      <c r="O320" s="132">
        <f ca="1">IF(L320&gt;0,N320*100/L320,0)</f>
        <v>0</v>
      </c>
      <c r="P320" s="132">
        <f ca="1">IF(M320&gt;0,N320*100/M320,0)</f>
        <v>0</v>
      </c>
      <c r="Q320" s="132">
        <f>Q321+Q322</f>
        <v>0</v>
      </c>
      <c r="R320" s="132">
        <f>R321+R322</f>
        <v>0</v>
      </c>
      <c r="S320" s="132">
        <f>S321+S322</f>
        <v>0</v>
      </c>
      <c r="T320" s="132">
        <f>IF(Q320&gt;0,S320*100/Q320,0)</f>
        <v>0</v>
      </c>
      <c r="U320" s="132">
        <f>IF(R320&gt;0,S320*100/R320,0)</f>
        <v>0</v>
      </c>
    </row>
    <row r="321" spans="1:21" ht="18.75" hidden="1" x14ac:dyDescent="0.25">
      <c r="A321" s="128"/>
      <c r="B321" s="41"/>
      <c r="C321" s="41"/>
      <c r="D321" s="41"/>
      <c r="E321" s="157" t="s">
        <v>20</v>
      </c>
      <c r="F321" s="41"/>
      <c r="G321" s="43"/>
      <c r="H321" s="158" t="s">
        <v>14</v>
      </c>
      <c r="I321" s="45"/>
      <c r="J321" s="45"/>
      <c r="K321" s="46"/>
      <c r="L321" s="549">
        <f>L324+L327</f>
        <v>0</v>
      </c>
      <c r="M321" s="49">
        <f>M324+M327</f>
        <v>0</v>
      </c>
      <c r="N321" s="49">
        <f>N324+N327</f>
        <v>0</v>
      </c>
      <c r="O321" s="49">
        <f>IF(L321&gt;0,N321*100/L321,0)</f>
        <v>0</v>
      </c>
      <c r="P321" s="49">
        <f>IF(M321&gt;0,N321*100/M321,0)</f>
        <v>0</v>
      </c>
      <c r="Q321" s="49">
        <f>Q324+Q327</f>
        <v>0</v>
      </c>
      <c r="R321" s="49">
        <f>R324+R327</f>
        <v>0</v>
      </c>
      <c r="S321" s="49">
        <f>S324+S327</f>
        <v>0</v>
      </c>
      <c r="T321" s="49">
        <f>IF(Q321&gt;0,S321*100/Q321,0)</f>
        <v>0</v>
      </c>
      <c r="U321" s="49">
        <f>IF(R321&gt;0,S321*100/R321,0)</f>
        <v>0</v>
      </c>
    </row>
    <row r="322" spans="1:21" ht="18.75" hidden="1" x14ac:dyDescent="0.25">
      <c r="A322" s="128"/>
      <c r="B322" s="41"/>
      <c r="C322" s="41"/>
      <c r="D322" s="41"/>
      <c r="E322" s="48" t="s">
        <v>21</v>
      </c>
      <c r="F322" s="41"/>
      <c r="G322" s="43"/>
      <c r="H322" s="133" t="s">
        <v>14</v>
      </c>
      <c r="I322" s="45"/>
      <c r="J322" s="45"/>
      <c r="K322" s="46"/>
      <c r="L322" s="548">
        <f ca="1">L325+L328</f>
        <v>0</v>
      </c>
      <c r="M322" s="47">
        <f ca="1">M325+M328</f>
        <v>0</v>
      </c>
      <c r="N322" s="47">
        <f ca="1">N325+N328</f>
        <v>0</v>
      </c>
      <c r="O322" s="47">
        <f ca="1">IF(L322&gt;0,N322*100/L322,0)</f>
        <v>0</v>
      </c>
      <c r="P322" s="47">
        <f ca="1">IF(M322&gt;0,N322*100/M322,0)</f>
        <v>0</v>
      </c>
      <c r="Q322" s="47">
        <f>Q325+Q328</f>
        <v>0</v>
      </c>
      <c r="R322" s="47">
        <f>R325+R328</f>
        <v>0</v>
      </c>
      <c r="S322" s="47">
        <f>S325+S328</f>
        <v>0</v>
      </c>
      <c r="T322" s="47">
        <f>IF(Q322&gt;0,S322*100/Q322,0)</f>
        <v>0</v>
      </c>
      <c r="U322" s="47">
        <f>IF(R322&gt;0,S322*100/R322,0)</f>
        <v>0</v>
      </c>
    </row>
    <row r="323" spans="1:21" ht="18.75" hidden="1" x14ac:dyDescent="0.25">
      <c r="A323" s="128"/>
      <c r="B323" s="41"/>
      <c r="C323" s="41"/>
      <c r="D323" s="42" t="s">
        <v>22</v>
      </c>
      <c r="E323" s="41"/>
      <c r="F323" s="41"/>
      <c r="G323" s="43"/>
      <c r="H323" s="134" t="s">
        <v>14</v>
      </c>
      <c r="I323" s="135"/>
      <c r="J323" s="135"/>
      <c r="K323" s="136"/>
      <c r="L323" s="548">
        <f ca="1">L324+L325</f>
        <v>0</v>
      </c>
      <c r="M323" s="47">
        <f ca="1">M324+M325</f>
        <v>0</v>
      </c>
      <c r="N323" s="47">
        <f ca="1">N324+N325</f>
        <v>0</v>
      </c>
      <c r="O323" s="47">
        <f ca="1">IF(L323&gt;0,N323*100/L323,0)</f>
        <v>0</v>
      </c>
      <c r="P323" s="47">
        <f ca="1">IF(M323&gt;0,N323*100/M323,0)</f>
        <v>0</v>
      </c>
      <c r="Q323" s="47">
        <f>Q324+Q325</f>
        <v>0</v>
      </c>
      <c r="R323" s="47">
        <f>R324+R325</f>
        <v>0</v>
      </c>
      <c r="S323" s="47">
        <f>S324+S325</f>
        <v>0</v>
      </c>
      <c r="T323" s="47">
        <f>IF(Q323&gt;0,S323*100/Q323,0)</f>
        <v>0</v>
      </c>
      <c r="U323" s="47">
        <f>IF(R323&gt;0,S323*100/R323,0)</f>
        <v>0</v>
      </c>
    </row>
    <row r="324" spans="1:21" ht="18.75" hidden="1" x14ac:dyDescent="0.25">
      <c r="A324" s="128"/>
      <c r="B324" s="41"/>
      <c r="C324" s="41"/>
      <c r="D324" s="41"/>
      <c r="E324" s="157" t="s">
        <v>36</v>
      </c>
      <c r="F324" s="41"/>
      <c r="G324" s="43"/>
      <c r="H324" s="160" t="s">
        <v>14</v>
      </c>
      <c r="I324" s="135"/>
      <c r="J324" s="135"/>
      <c r="K324" s="136"/>
      <c r="L324" s="549">
        <v>0</v>
      </c>
      <c r="M324" s="49">
        <v>0</v>
      </c>
      <c r="N324" s="49">
        <v>0</v>
      </c>
      <c r="O324" s="49">
        <f>IF(L324&gt;0,N324*100/L324,0)</f>
        <v>0</v>
      </c>
      <c r="P324" s="49">
        <f>IF(M324&gt;0,N324*100/M324,0)</f>
        <v>0</v>
      </c>
      <c r="Q324" s="49">
        <v>0</v>
      </c>
      <c r="R324" s="49">
        <v>0</v>
      </c>
      <c r="S324" s="49">
        <v>0</v>
      </c>
      <c r="T324" s="49">
        <f>IF(Q324&gt;0,S324*100/Q324,0)</f>
        <v>0</v>
      </c>
      <c r="U324" s="49">
        <f>IF(R324&gt;0,S324*100/R324,0)</f>
        <v>0</v>
      </c>
    </row>
    <row r="325" spans="1:21" ht="18.75" hidden="1" x14ac:dyDescent="0.25">
      <c r="A325" s="128"/>
      <c r="B325" s="41"/>
      <c r="C325" s="41"/>
      <c r="D325" s="41"/>
      <c r="E325" s="48" t="s">
        <v>37</v>
      </c>
      <c r="F325" s="41"/>
      <c r="G325" s="43"/>
      <c r="H325" s="134" t="s">
        <v>14</v>
      </c>
      <c r="I325" s="135"/>
      <c r="J325" s="135"/>
      <c r="K325" s="136"/>
      <c r="L325" s="548">
        <f ca="1">IFERROR(__xludf.DUMMYFUNCTION("IMPORTRANGE(""https://docs.google.com/spreadsheets/d/1-uDff_7J0KD5mKrp0Vvzr7lt3OU09vwQwhkpOPPYv2Y/edit?usp=sharing"",""งบพรบ!EI82"")"),0)</f>
        <v>0</v>
      </c>
      <c r="M325" s="47">
        <f ca="1">IFERROR(__xludf.DUMMYFUNCTION("IMPORTRANGE(""https://docs.google.com/spreadsheets/d/1-uDff_7J0KD5mKrp0Vvzr7lt3OU09vwQwhkpOPPYv2Y/edit?usp=sharing"",""งบพรบ!EN82"")"),0)</f>
        <v>0</v>
      </c>
      <c r="N325" s="47">
        <f ca="1">IFERROR(__xludf.DUMMYFUNCTION("IMPORTRANGE(""https://docs.google.com/spreadsheets/d/1-uDff_7J0KD5mKrp0Vvzr7lt3OU09vwQwhkpOPPYv2Y/edit?usp=sharing"",""งบพรบ!EP82"")"),0)</f>
        <v>0</v>
      </c>
      <c r="O325" s="47">
        <f ca="1">IF(L325&gt;0,N325*100/L325,0)</f>
        <v>0</v>
      </c>
      <c r="P325" s="47">
        <f ca="1">IF(M325&gt;0,N325*100/M325,0)</f>
        <v>0</v>
      </c>
      <c r="Q325" s="47">
        <v>0</v>
      </c>
      <c r="R325" s="47">
        <v>0</v>
      </c>
      <c r="S325" s="47">
        <v>0</v>
      </c>
      <c r="T325" s="47">
        <f>IF(Q325&gt;0,S325*100/Q325,0)</f>
        <v>0</v>
      </c>
      <c r="U325" s="47">
        <f>IF(R325&gt;0,S325*100/R325,0)</f>
        <v>0</v>
      </c>
    </row>
    <row r="326" spans="1:21" ht="18.75" hidden="1" x14ac:dyDescent="0.25">
      <c r="A326" s="128"/>
      <c r="B326" s="41"/>
      <c r="C326" s="41"/>
      <c r="D326" s="42" t="s">
        <v>23</v>
      </c>
      <c r="E326" s="41"/>
      <c r="F326" s="41"/>
      <c r="G326" s="43"/>
      <c r="H326" s="137" t="s">
        <v>14</v>
      </c>
      <c r="I326" s="135"/>
      <c r="J326" s="135"/>
      <c r="K326" s="136"/>
      <c r="L326" s="548">
        <f ca="1">L327+L328</f>
        <v>0</v>
      </c>
      <c r="M326" s="47">
        <f ca="1">M327+M328</f>
        <v>0</v>
      </c>
      <c r="N326" s="47">
        <f ca="1">N327+N328</f>
        <v>0</v>
      </c>
      <c r="O326" s="47">
        <f ca="1">IF(L326&gt;0,N326*100/L326,0)</f>
        <v>0</v>
      </c>
      <c r="P326" s="47">
        <f ca="1">IF(M326&gt;0,N326*100/M326,0)</f>
        <v>0</v>
      </c>
      <c r="Q326" s="47">
        <f>Q327+Q328</f>
        <v>0</v>
      </c>
      <c r="R326" s="47">
        <f>R327+R328</f>
        <v>0</v>
      </c>
      <c r="S326" s="47">
        <f>S327+S328</f>
        <v>0</v>
      </c>
      <c r="T326" s="47">
        <f>IF(Q326&gt;0,S326*100/Q326,0)</f>
        <v>0</v>
      </c>
      <c r="U326" s="47">
        <f>IF(R326&gt;0,S326*100/R326,0)</f>
        <v>0</v>
      </c>
    </row>
    <row r="327" spans="1:21" ht="18.75" hidden="1" x14ac:dyDescent="0.25">
      <c r="A327" s="128"/>
      <c r="B327" s="41"/>
      <c r="C327" s="41"/>
      <c r="D327" s="41"/>
      <c r="E327" s="157" t="s">
        <v>20</v>
      </c>
      <c r="F327" s="41"/>
      <c r="G327" s="43"/>
      <c r="H327" s="160" t="s">
        <v>14</v>
      </c>
      <c r="I327" s="135"/>
      <c r="J327" s="135"/>
      <c r="K327" s="136"/>
      <c r="L327" s="549">
        <v>0</v>
      </c>
      <c r="M327" s="49">
        <v>0</v>
      </c>
      <c r="N327" s="49">
        <v>0</v>
      </c>
      <c r="O327" s="49">
        <f>IF(L327&gt;0,N327*100/L327,0)</f>
        <v>0</v>
      </c>
      <c r="P327" s="49">
        <f>IF(M327&gt;0,N327*100/M327,0)</f>
        <v>0</v>
      </c>
      <c r="Q327" s="49">
        <v>0</v>
      </c>
      <c r="R327" s="49">
        <v>0</v>
      </c>
      <c r="S327" s="49">
        <v>0</v>
      </c>
      <c r="T327" s="49">
        <f>IF(Q327&gt;0,S327*100/Q327,0)</f>
        <v>0</v>
      </c>
      <c r="U327" s="49">
        <f>IF(R327&gt;0,S327*100/R327,0)</f>
        <v>0</v>
      </c>
    </row>
    <row r="328" spans="1:21" ht="18.75" hidden="1" x14ac:dyDescent="0.25">
      <c r="A328" s="128"/>
      <c r="B328" s="41"/>
      <c r="C328" s="41"/>
      <c r="D328" s="41"/>
      <c r="E328" s="48" t="s">
        <v>21</v>
      </c>
      <c r="F328" s="41"/>
      <c r="G328" s="43"/>
      <c r="H328" s="137" t="s">
        <v>14</v>
      </c>
      <c r="I328" s="135"/>
      <c r="J328" s="135"/>
      <c r="K328" s="136"/>
      <c r="L328" s="548">
        <f ca="1">IFERROR(__xludf.DUMMYFUNCTION("IMPORTRANGE(""https://docs.google.com/spreadsheets/d/1-uDff_7J0KD5mKrp0Vvzr7lt3OU09vwQwhkpOPPYv2Y/edit?usp=sharing"",""งบพรบ!EL82"")"),0)</f>
        <v>0</v>
      </c>
      <c r="M328" s="47">
        <f ca="1">IFERROR(__xludf.DUMMYFUNCTION("IMPORTRANGE(""https://docs.google.com/spreadsheets/d/1-uDff_7J0KD5mKrp0Vvzr7lt3OU09vwQwhkpOPPYv2Y/edit?usp=sharing"",""งบพรบ!EO82"")"),0)</f>
        <v>0</v>
      </c>
      <c r="N328" s="47">
        <f ca="1">IFERROR(__xludf.DUMMYFUNCTION("IMPORTRANGE(""https://docs.google.com/spreadsheets/d/1-uDff_7J0KD5mKrp0Vvzr7lt3OU09vwQwhkpOPPYv2Y/edit?usp=sharing"",""งบพรบ!EQ82"")"),0)</f>
        <v>0</v>
      </c>
      <c r="O328" s="47">
        <f ca="1">IF(L328&gt;0,N328*100/L328,0)</f>
        <v>0</v>
      </c>
      <c r="P328" s="47">
        <f ca="1">IF(M328&gt;0,N328*100/M328,0)</f>
        <v>0</v>
      </c>
      <c r="Q328" s="47">
        <v>0</v>
      </c>
      <c r="R328" s="47">
        <v>0</v>
      </c>
      <c r="S328" s="47">
        <v>0</v>
      </c>
      <c r="T328" s="47">
        <f>IF(Q328&gt;0,S328*100/Q328,0)</f>
        <v>0</v>
      </c>
      <c r="U328" s="47">
        <f>IF(R328&gt;0,S328*100/R328,0)</f>
        <v>0</v>
      </c>
    </row>
    <row r="329" spans="1:21" ht="19.5" hidden="1" x14ac:dyDescent="0.3">
      <c r="A329" s="138"/>
      <c r="B329" s="139"/>
      <c r="C329" s="129" t="s">
        <v>18</v>
      </c>
      <c r="D329" s="563" t="s">
        <v>38</v>
      </c>
      <c r="E329" s="141"/>
      <c r="F329" s="141"/>
      <c r="G329" s="142"/>
      <c r="H329" s="143"/>
      <c r="I329" s="135"/>
      <c r="J329" s="45"/>
      <c r="K329" s="46"/>
      <c r="L329" s="546"/>
      <c r="M329" s="46"/>
      <c r="N329" s="46"/>
      <c r="O329" s="136"/>
      <c r="P329" s="136"/>
      <c r="Q329" s="46"/>
      <c r="R329" s="46"/>
      <c r="S329" s="46"/>
      <c r="T329" s="136"/>
      <c r="U329" s="136"/>
    </row>
    <row r="330" spans="1:21" ht="18.75" hidden="1" x14ac:dyDescent="0.25">
      <c r="A330" s="138"/>
      <c r="B330" s="139"/>
      <c r="C330" s="139"/>
      <c r="D330" s="144" t="s">
        <v>134</v>
      </c>
      <c r="E330" s="145"/>
      <c r="F330" s="145"/>
      <c r="G330" s="143"/>
      <c r="H330" s="44" t="s">
        <v>133</v>
      </c>
      <c r="I330" s="152">
        <f ca="1">IFERROR(__xludf.DUMMYFUNCTION("IMPORTRANGE(""https://docs.google.com/spreadsheets/d/1eHaY18a8A9IcSdp1K8H6x8fbOy06t2VsZHhMHf-1x7Y/edit?usp=sharing"",""แผน!EJ82"")"),0)</f>
        <v>0</v>
      </c>
      <c r="J330" s="167">
        <v>0</v>
      </c>
      <c r="K330" s="47">
        <f ca="1">IF(I330&gt;0,J330*100/I330,0)</f>
        <v>0</v>
      </c>
      <c r="L330" s="546"/>
      <c r="M330" s="46"/>
      <c r="N330" s="46"/>
      <c r="O330" s="136"/>
      <c r="P330" s="136"/>
      <c r="Q330" s="46"/>
      <c r="R330" s="46"/>
      <c r="S330" s="46"/>
      <c r="T330" s="136"/>
      <c r="U330" s="136"/>
    </row>
    <row r="331" spans="1:21" ht="19.5" x14ac:dyDescent="0.3">
      <c r="A331" s="299" t="s">
        <v>135</v>
      </c>
      <c r="B331" s="300"/>
      <c r="C331" s="300"/>
      <c r="D331" s="301"/>
      <c r="E331" s="300"/>
      <c r="F331" s="300"/>
      <c r="G331" s="300"/>
      <c r="H331" s="301"/>
      <c r="I331" s="303"/>
      <c r="J331" s="303"/>
      <c r="K331" s="304"/>
      <c r="L331" s="699"/>
      <c r="M331" s="304"/>
      <c r="N331" s="304"/>
      <c r="O331" s="304"/>
      <c r="P331" s="304"/>
      <c r="Q331" s="304"/>
      <c r="R331" s="304"/>
      <c r="S331" s="304"/>
      <c r="T331" s="304"/>
      <c r="U331" s="304"/>
    </row>
    <row r="332" spans="1:21" ht="19.5" x14ac:dyDescent="0.3">
      <c r="A332" s="305"/>
      <c r="B332" s="306" t="s">
        <v>136</v>
      </c>
      <c r="C332" s="315"/>
      <c r="D332" s="307"/>
      <c r="E332" s="307"/>
      <c r="F332" s="307"/>
      <c r="G332" s="308"/>
      <c r="H332" s="309" t="s">
        <v>35</v>
      </c>
      <c r="I332" s="698">
        <f ca="1">I344</f>
        <v>800</v>
      </c>
      <c r="J332" s="697">
        <f ca="1">J344+J347+J348+J349+J353</f>
        <v>4026</v>
      </c>
      <c r="K332" s="696">
        <f ca="1">IF(I332&gt;0,J332*100/I332,0)</f>
        <v>503.25</v>
      </c>
      <c r="L332" s="651"/>
      <c r="M332" s="312"/>
      <c r="N332" s="312"/>
      <c r="O332" s="312"/>
      <c r="P332" s="312"/>
      <c r="Q332" s="312"/>
      <c r="R332" s="312"/>
      <c r="S332" s="312"/>
      <c r="T332" s="312"/>
      <c r="U332" s="312"/>
    </row>
    <row r="333" spans="1:21" ht="19.5" x14ac:dyDescent="0.3">
      <c r="A333" s="128"/>
      <c r="B333" s="41"/>
      <c r="C333" s="386" t="s">
        <v>18</v>
      </c>
      <c r="D333" s="591" t="s">
        <v>19</v>
      </c>
      <c r="E333" s="41"/>
      <c r="F333" s="41"/>
      <c r="G333" s="43"/>
      <c r="H333" s="131" t="s">
        <v>14</v>
      </c>
      <c r="I333" s="45"/>
      <c r="J333" s="45"/>
      <c r="K333" s="46"/>
      <c r="L333" s="550">
        <f ca="1">L334+L335</f>
        <v>177000</v>
      </c>
      <c r="M333" s="132">
        <f ca="1">M334+M335</f>
        <v>177000</v>
      </c>
      <c r="N333" s="132">
        <f ca="1">N334+N335</f>
        <v>92533.24</v>
      </c>
      <c r="O333" s="132">
        <f ca="1">IF(L333&gt;0,N333*100/L333,0)</f>
        <v>52.278666666666666</v>
      </c>
      <c r="P333" s="132">
        <f ca="1">IF(M333&gt;0,N333*100/M333,0)</f>
        <v>52.278666666666666</v>
      </c>
      <c r="Q333" s="132">
        <f>Q334+Q335</f>
        <v>0</v>
      </c>
      <c r="R333" s="132">
        <f>R334+R335</f>
        <v>0</v>
      </c>
      <c r="S333" s="132">
        <f>S334+S335</f>
        <v>0</v>
      </c>
      <c r="T333" s="132">
        <f>IF(Q333&gt;0,S333*100/Q333,0)</f>
        <v>0</v>
      </c>
      <c r="U333" s="132">
        <f>IF(R333&gt;0,S333*100/R333,0)</f>
        <v>0</v>
      </c>
    </row>
    <row r="334" spans="1:21" ht="18.75" hidden="1" x14ac:dyDescent="0.25">
      <c r="A334" s="128"/>
      <c r="B334" s="41"/>
      <c r="C334" s="41"/>
      <c r="D334" s="41"/>
      <c r="E334" s="157" t="s">
        <v>20</v>
      </c>
      <c r="F334" s="41"/>
      <c r="G334" s="43"/>
      <c r="H334" s="158" t="s">
        <v>14</v>
      </c>
      <c r="I334" s="45"/>
      <c r="J334" s="45"/>
      <c r="K334" s="46"/>
      <c r="L334" s="549">
        <f>L337+L340</f>
        <v>0</v>
      </c>
      <c r="M334" s="49">
        <f>M337+M340</f>
        <v>0</v>
      </c>
      <c r="N334" s="49">
        <f>N337+N340</f>
        <v>0</v>
      </c>
      <c r="O334" s="49">
        <f>IF(L334&gt;0,N334*100/L334,0)</f>
        <v>0</v>
      </c>
      <c r="P334" s="49">
        <f>IF(M334&gt;0,N334*100/M334,0)</f>
        <v>0</v>
      </c>
      <c r="Q334" s="49">
        <f>Q337+Q340</f>
        <v>0</v>
      </c>
      <c r="R334" s="49">
        <f>R337+R340</f>
        <v>0</v>
      </c>
      <c r="S334" s="49">
        <f>S337+S340</f>
        <v>0</v>
      </c>
      <c r="T334" s="49">
        <f>IF(Q334&gt;0,S334*100/Q334,0)</f>
        <v>0</v>
      </c>
      <c r="U334" s="49">
        <f>IF(R334&gt;0,S334*100/R334,0)</f>
        <v>0</v>
      </c>
    </row>
    <row r="335" spans="1:21" ht="18.75" hidden="1" x14ac:dyDescent="0.25">
      <c r="A335" s="128"/>
      <c r="B335" s="41"/>
      <c r="C335" s="41"/>
      <c r="D335" s="41"/>
      <c r="E335" s="48" t="s">
        <v>21</v>
      </c>
      <c r="F335" s="41"/>
      <c r="G335" s="43"/>
      <c r="H335" s="133" t="s">
        <v>14</v>
      </c>
      <c r="I335" s="45"/>
      <c r="J335" s="45"/>
      <c r="K335" s="46"/>
      <c r="L335" s="548">
        <f ca="1">L338+L341</f>
        <v>177000</v>
      </c>
      <c r="M335" s="47">
        <f ca="1">M338+M341</f>
        <v>177000</v>
      </c>
      <c r="N335" s="47">
        <f ca="1">N338+N341</f>
        <v>92533.24</v>
      </c>
      <c r="O335" s="47">
        <f ca="1">IF(L335&gt;0,N335*100/L335,0)</f>
        <v>52.278666666666666</v>
      </c>
      <c r="P335" s="47">
        <f ca="1">IF(M335&gt;0,N335*100/M335,0)</f>
        <v>52.278666666666666</v>
      </c>
      <c r="Q335" s="47">
        <f>Q338+Q341</f>
        <v>0</v>
      </c>
      <c r="R335" s="47">
        <f>R338+R341</f>
        <v>0</v>
      </c>
      <c r="S335" s="47">
        <f>S338+S341</f>
        <v>0</v>
      </c>
      <c r="T335" s="47">
        <f>IF(Q335&gt;0,S335*100/Q335,0)</f>
        <v>0</v>
      </c>
      <c r="U335" s="47">
        <f>IF(R335&gt;0,S335*100/R335,0)</f>
        <v>0</v>
      </c>
    </row>
    <row r="336" spans="1:21" ht="18.75" x14ac:dyDescent="0.25">
      <c r="A336" s="128"/>
      <c r="B336" s="41"/>
      <c r="C336" s="41"/>
      <c r="D336" s="42" t="s">
        <v>22</v>
      </c>
      <c r="E336" s="41"/>
      <c r="F336" s="41"/>
      <c r="G336" s="43"/>
      <c r="H336" s="134" t="s">
        <v>14</v>
      </c>
      <c r="I336" s="135"/>
      <c r="J336" s="135"/>
      <c r="K336" s="136"/>
      <c r="L336" s="548">
        <f ca="1">L337+L338</f>
        <v>177000</v>
      </c>
      <c r="M336" s="47">
        <f ca="1">M337+M338</f>
        <v>177000</v>
      </c>
      <c r="N336" s="47">
        <f ca="1">N337+N338</f>
        <v>92533.24</v>
      </c>
      <c r="O336" s="47">
        <f ca="1">IF(L336&gt;0,N336*100/L336,0)</f>
        <v>52.278666666666666</v>
      </c>
      <c r="P336" s="47">
        <f ca="1">IF(M336&gt;0,N336*100/M336,0)</f>
        <v>52.278666666666666</v>
      </c>
      <c r="Q336" s="47">
        <f>Q337+Q338</f>
        <v>0</v>
      </c>
      <c r="R336" s="47">
        <f>R337+R338</f>
        <v>0</v>
      </c>
      <c r="S336" s="47">
        <f>S337+S338</f>
        <v>0</v>
      </c>
      <c r="T336" s="47">
        <f>IF(Q336&gt;0,S336*100/Q336,0)</f>
        <v>0</v>
      </c>
      <c r="U336" s="47">
        <f>IF(R336&gt;0,S336*100/R336,0)</f>
        <v>0</v>
      </c>
    </row>
    <row r="337" spans="1:21" ht="18.75" hidden="1" x14ac:dyDescent="0.25">
      <c r="A337" s="128"/>
      <c r="B337" s="41"/>
      <c r="C337" s="41"/>
      <c r="D337" s="41"/>
      <c r="E337" s="157" t="s">
        <v>36</v>
      </c>
      <c r="F337" s="41"/>
      <c r="G337" s="43"/>
      <c r="H337" s="160" t="s">
        <v>14</v>
      </c>
      <c r="I337" s="135"/>
      <c r="J337" s="135"/>
      <c r="K337" s="136"/>
      <c r="L337" s="549">
        <v>0</v>
      </c>
      <c r="M337" s="49">
        <v>0</v>
      </c>
      <c r="N337" s="49">
        <v>0</v>
      </c>
      <c r="O337" s="49">
        <f>IF(L337&gt;0,N337*100/L337,0)</f>
        <v>0</v>
      </c>
      <c r="P337" s="49">
        <f>IF(M337&gt;0,N337*100/M337,0)</f>
        <v>0</v>
      </c>
      <c r="Q337" s="49">
        <v>0</v>
      </c>
      <c r="R337" s="49">
        <v>0</v>
      </c>
      <c r="S337" s="49">
        <v>0</v>
      </c>
      <c r="T337" s="49">
        <f>IF(Q337&gt;0,S337*100/Q337,0)</f>
        <v>0</v>
      </c>
      <c r="U337" s="49">
        <f>IF(R337&gt;0,S337*100/R337,0)</f>
        <v>0</v>
      </c>
    </row>
    <row r="338" spans="1:21" ht="18.75" hidden="1" x14ac:dyDescent="0.25">
      <c r="A338" s="128"/>
      <c r="B338" s="41"/>
      <c r="C338" s="41"/>
      <c r="D338" s="41"/>
      <c r="E338" s="48" t="s">
        <v>37</v>
      </c>
      <c r="F338" s="41"/>
      <c r="G338" s="43"/>
      <c r="H338" s="134" t="s">
        <v>14</v>
      </c>
      <c r="I338" s="135"/>
      <c r="J338" s="135"/>
      <c r="K338" s="136"/>
      <c r="L338" s="548">
        <f ca="1">IFERROR(__xludf.DUMMYFUNCTION("IMPORTRANGE(""https://docs.google.com/spreadsheets/d/1-uDff_7J0KD5mKrp0Vvzr7lt3OU09vwQwhkpOPPYv2Y/edit?usp=sharing"",""งบพรบ!ES82"")"),177000)</f>
        <v>177000</v>
      </c>
      <c r="M338" s="47">
        <f ca="1">IFERROR(__xludf.DUMMYFUNCTION("IMPORTRANGE(""https://docs.google.com/spreadsheets/d/1-uDff_7J0KD5mKrp0Vvzr7lt3OU09vwQwhkpOPPYv2Y/edit?usp=sharing"",""งบพรบ!EX82"")"),177000)</f>
        <v>177000</v>
      </c>
      <c r="N338" s="47">
        <f ca="1">IFERROR(__xludf.DUMMYFUNCTION("IMPORTRANGE(""https://docs.google.com/spreadsheets/d/1-uDff_7J0KD5mKrp0Vvzr7lt3OU09vwQwhkpOPPYv2Y/edit?usp=sharing"",""งบพรบ!EZ82"")"),92533.24)</f>
        <v>92533.24</v>
      </c>
      <c r="O338" s="47">
        <f ca="1">IF(L338&gt;0,N338*100/L338,0)</f>
        <v>52.278666666666666</v>
      </c>
      <c r="P338" s="47">
        <f ca="1">IF(M338&gt;0,N338*100/M338,0)</f>
        <v>52.278666666666666</v>
      </c>
      <c r="Q338" s="47">
        <v>0</v>
      </c>
      <c r="R338" s="47">
        <v>0</v>
      </c>
      <c r="S338" s="47">
        <v>0</v>
      </c>
      <c r="T338" s="47">
        <f>IF(Q338&gt;0,S338*100/Q338,0)</f>
        <v>0</v>
      </c>
      <c r="U338" s="47">
        <f>IF(R338&gt;0,S338*100/R338,0)</f>
        <v>0</v>
      </c>
    </row>
    <row r="339" spans="1:21" ht="18.75" x14ac:dyDescent="0.25">
      <c r="A339" s="128"/>
      <c r="B339" s="41"/>
      <c r="C339" s="41"/>
      <c r="D339" s="42" t="s">
        <v>23</v>
      </c>
      <c r="E339" s="41"/>
      <c r="F339" s="41"/>
      <c r="G339" s="43"/>
      <c r="H339" s="137" t="s">
        <v>14</v>
      </c>
      <c r="I339" s="135"/>
      <c r="J339" s="135"/>
      <c r="K339" s="136"/>
      <c r="L339" s="548">
        <f ca="1">L340+L341</f>
        <v>0</v>
      </c>
      <c r="M339" s="47">
        <f ca="1">M340+M341</f>
        <v>0</v>
      </c>
      <c r="N339" s="47">
        <f ca="1">N340+N341</f>
        <v>0</v>
      </c>
      <c r="O339" s="47">
        <f ca="1">IF(L339&gt;0,N339*100/L339,0)</f>
        <v>0</v>
      </c>
      <c r="P339" s="47">
        <f ca="1">IF(M339&gt;0,N339*100/M339,0)</f>
        <v>0</v>
      </c>
      <c r="Q339" s="47">
        <f>Q340+Q341</f>
        <v>0</v>
      </c>
      <c r="R339" s="47">
        <f>R340+R341</f>
        <v>0</v>
      </c>
      <c r="S339" s="47">
        <f>S340+S341</f>
        <v>0</v>
      </c>
      <c r="T339" s="47">
        <f>IF(Q339&gt;0,S339*100/Q339,0)</f>
        <v>0</v>
      </c>
      <c r="U339" s="47">
        <f>IF(R339&gt;0,S339*100/R339,0)</f>
        <v>0</v>
      </c>
    </row>
    <row r="340" spans="1:21" ht="18.75" hidden="1" x14ac:dyDescent="0.25">
      <c r="A340" s="128"/>
      <c r="B340" s="41"/>
      <c r="C340" s="41"/>
      <c r="D340" s="41"/>
      <c r="E340" s="157" t="s">
        <v>20</v>
      </c>
      <c r="F340" s="41"/>
      <c r="G340" s="43"/>
      <c r="H340" s="160" t="s">
        <v>14</v>
      </c>
      <c r="I340" s="135"/>
      <c r="J340" s="135"/>
      <c r="K340" s="136"/>
      <c r="L340" s="549">
        <v>0</v>
      </c>
      <c r="M340" s="49">
        <v>0</v>
      </c>
      <c r="N340" s="49">
        <v>0</v>
      </c>
      <c r="O340" s="49">
        <f>IF(L340&gt;0,N340*100/L340,0)</f>
        <v>0</v>
      </c>
      <c r="P340" s="49">
        <f>IF(M340&gt;0,N340*100/M340,0)</f>
        <v>0</v>
      </c>
      <c r="Q340" s="49">
        <v>0</v>
      </c>
      <c r="R340" s="49">
        <v>0</v>
      </c>
      <c r="S340" s="49">
        <v>0</v>
      </c>
      <c r="T340" s="49">
        <f>IF(Q340&gt;0,S340*100/Q340,0)</f>
        <v>0</v>
      </c>
      <c r="U340" s="49">
        <f>IF(R340&gt;0,S340*100/R340,0)</f>
        <v>0</v>
      </c>
    </row>
    <row r="341" spans="1:21" ht="18.75" hidden="1" x14ac:dyDescent="0.25">
      <c r="A341" s="128"/>
      <c r="B341" s="41"/>
      <c r="C341" s="41"/>
      <c r="D341" s="41"/>
      <c r="E341" s="48" t="s">
        <v>21</v>
      </c>
      <c r="F341" s="41"/>
      <c r="G341" s="43"/>
      <c r="H341" s="137" t="s">
        <v>14</v>
      </c>
      <c r="I341" s="135"/>
      <c r="J341" s="135"/>
      <c r="K341" s="136"/>
      <c r="L341" s="548">
        <f ca="1">IFERROR(__xludf.DUMMYFUNCTION("IMPORTRANGE(""https://docs.google.com/spreadsheets/d/1-uDff_7J0KD5mKrp0Vvzr7lt3OU09vwQwhkpOPPYv2Y/edit?usp=sharing"",""งบพรบ!EV82"")"),0)</f>
        <v>0</v>
      </c>
      <c r="M341" s="47">
        <f ca="1">IFERROR(__xludf.DUMMYFUNCTION("IMPORTRANGE(""https://docs.google.com/spreadsheets/d/1-uDff_7J0KD5mKrp0Vvzr7lt3OU09vwQwhkpOPPYv2Y/edit?usp=sharing"",""งบพรบ!EY82"")"),0)</f>
        <v>0</v>
      </c>
      <c r="N341" s="47">
        <f ca="1">IFERROR(__xludf.DUMMYFUNCTION("IMPORTRANGE(""https://docs.google.com/spreadsheets/d/1-uDff_7J0KD5mKrp0Vvzr7lt3OU09vwQwhkpOPPYv2Y/edit?usp=sharing"",""งบพรบ!FA82"")"),0)</f>
        <v>0</v>
      </c>
      <c r="O341" s="47">
        <f ca="1">IF(L341&gt;0,N341*100/L341,0)</f>
        <v>0</v>
      </c>
      <c r="P341" s="47">
        <f ca="1">IF(M341&gt;0,N341*100/M341,0)</f>
        <v>0</v>
      </c>
      <c r="Q341" s="47">
        <v>0</v>
      </c>
      <c r="R341" s="47">
        <v>0</v>
      </c>
      <c r="S341" s="47">
        <v>0</v>
      </c>
      <c r="T341" s="47">
        <f>IF(Q341&gt;0,S341*100/Q341,0)</f>
        <v>0</v>
      </c>
      <c r="U341" s="47">
        <f>IF(R341&gt;0,S341*100/R341,0)</f>
        <v>0</v>
      </c>
    </row>
    <row r="342" spans="1:21" ht="19.5" x14ac:dyDescent="0.3">
      <c r="A342" s="138"/>
      <c r="B342" s="139"/>
      <c r="C342" s="386" t="s">
        <v>18</v>
      </c>
      <c r="D342" s="211" t="s">
        <v>38</v>
      </c>
      <c r="E342" s="141"/>
      <c r="F342" s="141"/>
      <c r="G342" s="142"/>
      <c r="H342" s="43"/>
      <c r="I342" s="45"/>
      <c r="J342" s="45"/>
      <c r="K342" s="46"/>
      <c r="L342" s="546"/>
      <c r="M342" s="46"/>
      <c r="N342" s="46"/>
      <c r="O342" s="136"/>
      <c r="P342" s="136"/>
      <c r="Q342" s="46"/>
      <c r="R342" s="46"/>
      <c r="S342" s="46"/>
      <c r="T342" s="136"/>
      <c r="U342" s="136"/>
    </row>
    <row r="343" spans="1:21" ht="19.5" x14ac:dyDescent="0.3">
      <c r="A343" s="695"/>
      <c r="B343" s="692"/>
      <c r="C343" s="694"/>
      <c r="D343" s="692"/>
      <c r="E343" s="693" t="s">
        <v>137</v>
      </c>
      <c r="F343" s="692"/>
      <c r="G343" s="691"/>
      <c r="H343" s="690" t="s">
        <v>35</v>
      </c>
      <c r="I343" s="689">
        <v>0</v>
      </c>
      <c r="J343" s="689">
        <f ca="1">J344+J347+J348+J349</f>
        <v>2175</v>
      </c>
      <c r="K343" s="688">
        <v>0</v>
      </c>
      <c r="L343" s="686"/>
      <c r="M343" s="230"/>
      <c r="N343" s="230"/>
      <c r="O343" s="230"/>
      <c r="P343" s="230"/>
      <c r="Q343" s="230"/>
      <c r="R343" s="230"/>
      <c r="S343" s="230"/>
      <c r="T343" s="230"/>
      <c r="U343" s="230"/>
    </row>
    <row r="344" spans="1:21" ht="18.75" x14ac:dyDescent="0.25">
      <c r="A344" s="217"/>
      <c r="B344" s="41"/>
      <c r="C344" s="159"/>
      <c r="D344" s="145"/>
      <c r="E344" s="149" t="s">
        <v>138</v>
      </c>
      <c r="F344" s="41"/>
      <c r="G344" s="43"/>
      <c r="H344" s="219" t="s">
        <v>35</v>
      </c>
      <c r="I344" s="152">
        <f ca="1">IFERROR(__xludf.DUMMYFUNCTION("IMPORTRANGE(""https://docs.google.com/spreadsheets/d/1eHaY18a8A9IcSdp1K8H6x8fbOy06t2VsZHhMHf-1x7Y/edit?usp=sharing"",""แผน!EK82"")"),800)</f>
        <v>800</v>
      </c>
      <c r="J344" s="152">
        <f ca="1">IFERROR(__xludf.DUMMYFUNCTION("IMPORTRANGE(""https://docs.google.com/spreadsheets/d/1awYsYK3VOup2i3Pq_Yjnu8DRu_mYwSBnCR2QPthd0rU/edit?usp=sharing"",""ศูนย์ยกเว้นโฉนด!D82"")"),2175)</f>
        <v>2175</v>
      </c>
      <c r="K344" s="47">
        <f ca="1">IF(I344&gt;0,J344*100/I344,0)</f>
        <v>271.875</v>
      </c>
      <c r="L344" s="546"/>
      <c r="M344" s="46"/>
      <c r="N344" s="46"/>
      <c r="O344" s="46"/>
      <c r="P344" s="46"/>
      <c r="Q344" s="46"/>
      <c r="R344" s="46"/>
      <c r="S344" s="46"/>
      <c r="T344" s="46"/>
      <c r="U344" s="46"/>
    </row>
    <row r="345" spans="1:21" ht="18.75" x14ac:dyDescent="0.25">
      <c r="A345" s="217"/>
      <c r="B345" s="41"/>
      <c r="C345" s="159"/>
      <c r="D345" s="145"/>
      <c r="E345" s="149" t="s">
        <v>139</v>
      </c>
      <c r="F345" s="41"/>
      <c r="G345" s="43"/>
      <c r="H345" s="191"/>
      <c r="I345" s="45"/>
      <c r="J345" s="45"/>
      <c r="K345" s="46"/>
      <c r="L345" s="546"/>
      <c r="M345" s="46"/>
      <c r="N345" s="46"/>
      <c r="O345" s="46"/>
      <c r="P345" s="46"/>
      <c r="Q345" s="46"/>
      <c r="R345" s="46"/>
      <c r="S345" s="46"/>
      <c r="T345" s="46"/>
      <c r="U345" s="46"/>
    </row>
    <row r="346" spans="1:21" ht="18.75" x14ac:dyDescent="0.25">
      <c r="A346" s="217"/>
      <c r="B346" s="41"/>
      <c r="C346" s="159"/>
      <c r="D346" s="145"/>
      <c r="E346" s="145"/>
      <c r="F346" s="149" t="s">
        <v>140</v>
      </c>
      <c r="G346" s="43"/>
      <c r="H346" s="186" t="s">
        <v>141</v>
      </c>
      <c r="I346" s="152">
        <f ca="1">IFERROR(__xludf.DUMMYFUNCTION("IMPORTRANGE(""https://docs.google.com/spreadsheets/d/1eHaY18a8A9IcSdp1K8H6x8fbOy06t2VsZHhMHf-1x7Y/edit?usp=sharing"",""แผน!EL82"")"),1)</f>
        <v>1</v>
      </c>
      <c r="J346" s="152">
        <f ca="1">IFERROR(__xludf.DUMMYFUNCTION("IMPORTRANGE(""https://docs.google.com/spreadsheets/d/1awYsYK3VOup2i3Pq_Yjnu8DRu_mYwSBnCR2QPthd0rU/edit?usp=sharing"",""ศูนย์รวม!E82"")"),3)</f>
        <v>3</v>
      </c>
      <c r="K346" s="47">
        <f ca="1">IF(I346&gt;0,J346*100/I346,0)</f>
        <v>300</v>
      </c>
      <c r="L346" s="546"/>
      <c r="M346" s="46"/>
      <c r="N346" s="46"/>
      <c r="O346" s="46"/>
      <c r="P346" s="46"/>
      <c r="Q346" s="46"/>
      <c r="R346" s="46"/>
      <c r="S346" s="46"/>
      <c r="T346" s="46"/>
      <c r="U346" s="46"/>
    </row>
    <row r="347" spans="1:21" ht="18.75" x14ac:dyDescent="0.25">
      <c r="A347" s="217"/>
      <c r="B347" s="41"/>
      <c r="C347" s="159"/>
      <c r="D347" s="145"/>
      <c r="E347" s="145"/>
      <c r="F347" s="149" t="s">
        <v>142</v>
      </c>
      <c r="G347" s="43"/>
      <c r="H347" s="186" t="s">
        <v>35</v>
      </c>
      <c r="I347" s="45"/>
      <c r="J347" s="152">
        <f ca="1">IFERROR(__xludf.DUMMYFUNCTION("IMPORTRANGE(""https://docs.google.com/spreadsheets/d/1awYsYK3VOup2i3Pq_Yjnu8DRu_mYwSBnCR2QPthd0rU/edit?usp=sharing"",""ศูนย์ยกเว้นโฉนด!F82"")"),0)</f>
        <v>0</v>
      </c>
      <c r="K347" s="46"/>
      <c r="L347" s="546"/>
      <c r="M347" s="46"/>
      <c r="N347" s="46"/>
      <c r="O347" s="46"/>
      <c r="P347" s="46"/>
      <c r="Q347" s="46"/>
      <c r="R347" s="46"/>
      <c r="S347" s="46"/>
      <c r="T347" s="46"/>
      <c r="U347" s="46"/>
    </row>
    <row r="348" spans="1:21" ht="18.75" x14ac:dyDescent="0.25">
      <c r="A348" s="217"/>
      <c r="B348" s="41"/>
      <c r="C348" s="159"/>
      <c r="D348" s="145"/>
      <c r="E348" s="149" t="s">
        <v>143</v>
      </c>
      <c r="F348" s="145"/>
      <c r="G348" s="43"/>
      <c r="H348" s="186" t="s">
        <v>35</v>
      </c>
      <c r="I348" s="45"/>
      <c r="J348" s="152">
        <f ca="1">IFERROR(__xludf.DUMMYFUNCTION("IMPORTRANGE(""https://docs.google.com/spreadsheets/d/1awYsYK3VOup2i3Pq_Yjnu8DRu_mYwSBnCR2QPthd0rU/edit?usp=sharing"",""ศูนย์ยกเว้นโฉนด!G82"")"),0)</f>
        <v>0</v>
      </c>
      <c r="K348" s="46"/>
      <c r="L348" s="546"/>
      <c r="M348" s="46"/>
      <c r="N348" s="46"/>
      <c r="O348" s="46"/>
      <c r="P348" s="46"/>
      <c r="Q348" s="46"/>
      <c r="R348" s="46"/>
      <c r="S348" s="46"/>
      <c r="T348" s="46"/>
      <c r="U348" s="46"/>
    </row>
    <row r="349" spans="1:21" ht="18.75" x14ac:dyDescent="0.25">
      <c r="A349" s="217"/>
      <c r="B349" s="41"/>
      <c r="C349" s="159"/>
      <c r="D349" s="139"/>
      <c r="E349" s="149" t="s">
        <v>144</v>
      </c>
      <c r="F349" s="145"/>
      <c r="G349" s="43"/>
      <c r="H349" s="186" t="s">
        <v>35</v>
      </c>
      <c r="I349" s="45"/>
      <c r="J349" s="152">
        <f ca="1">IFERROR(__xludf.DUMMYFUNCTION("IMPORTRANGE(""https://docs.google.com/spreadsheets/d/1awYsYK3VOup2i3Pq_Yjnu8DRu_mYwSBnCR2QPthd0rU/edit?usp=sharing"",""ศูนย์ยกเว้นโฉนด!H82"")"),0)</f>
        <v>0</v>
      </c>
      <c r="K349" s="46"/>
      <c r="L349" s="546"/>
      <c r="M349" s="46"/>
      <c r="N349" s="46"/>
      <c r="O349" s="46"/>
      <c r="P349" s="46"/>
      <c r="Q349" s="46"/>
      <c r="R349" s="46"/>
      <c r="S349" s="46"/>
      <c r="T349" s="46"/>
      <c r="U349" s="46"/>
    </row>
    <row r="350" spans="1:21" ht="16.5" x14ac:dyDescent="0.25">
      <c r="A350" s="217"/>
      <c r="B350" s="41"/>
      <c r="C350" s="159"/>
      <c r="D350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0" s="41"/>
      <c r="F350" s="41"/>
      <c r="G350" s="43"/>
      <c r="H350" s="191"/>
      <c r="I350" s="45"/>
      <c r="J350" s="45"/>
      <c r="K350" s="46"/>
      <c r="L350" s="546"/>
      <c r="M350" s="46"/>
      <c r="N350" s="46"/>
      <c r="O350" s="46"/>
      <c r="P350" s="46"/>
      <c r="Q350" s="46"/>
      <c r="R350" s="46"/>
      <c r="S350" s="46"/>
      <c r="T350" s="46"/>
      <c r="U350" s="46"/>
    </row>
    <row r="351" spans="1:21" ht="19.5" x14ac:dyDescent="0.3">
      <c r="A351" s="222"/>
      <c r="B351" s="225"/>
      <c r="C351" s="223"/>
      <c r="D351" s="225"/>
      <c r="E351" s="687" t="s">
        <v>145</v>
      </c>
      <c r="F351" s="225"/>
      <c r="G351" s="226"/>
      <c r="H351" s="227" t="s">
        <v>35</v>
      </c>
      <c r="I351" s="228">
        <v>0</v>
      </c>
      <c r="J351" s="228">
        <f ca="1">J352+J353</f>
        <v>1910</v>
      </c>
      <c r="K351" s="229">
        <v>0</v>
      </c>
      <c r="L351" s="686"/>
      <c r="M351" s="230"/>
      <c r="N351" s="230"/>
      <c r="O351" s="230"/>
      <c r="P351" s="230"/>
      <c r="Q351" s="230"/>
      <c r="R351" s="230"/>
      <c r="S351" s="230"/>
      <c r="T351" s="230"/>
      <c r="U351" s="230"/>
    </row>
    <row r="352" spans="1:21" ht="18.75" x14ac:dyDescent="0.25">
      <c r="A352" s="217"/>
      <c r="B352" s="41"/>
      <c r="C352" s="159"/>
      <c r="D352" s="145"/>
      <c r="E352" s="149" t="s">
        <v>146</v>
      </c>
      <c r="F352" s="41"/>
      <c r="G352" s="43"/>
      <c r="H352" s="133" t="s">
        <v>35</v>
      </c>
      <c r="I352" s="45"/>
      <c r="J352" s="152">
        <f ca="1">IFERROR(__xludf.DUMMYFUNCTION("IMPORTRANGE(""https://docs.google.com/spreadsheets/d/1awYsYK3VOup2i3Pq_Yjnu8DRu_mYwSBnCR2QPthd0rU/edit?usp=sharing"",""โฉนดM3!G82"")"),59)</f>
        <v>59</v>
      </c>
      <c r="K352" s="46"/>
      <c r="L352" s="546"/>
      <c r="M352" s="46"/>
      <c r="N352" s="46"/>
      <c r="O352" s="46"/>
      <c r="P352" s="46"/>
      <c r="Q352" s="46"/>
      <c r="R352" s="46"/>
      <c r="S352" s="46"/>
      <c r="T352" s="46"/>
      <c r="U352" s="46"/>
    </row>
    <row r="353" spans="1:21" ht="18.75" x14ac:dyDescent="0.25">
      <c r="A353" s="217"/>
      <c r="B353" s="41"/>
      <c r="C353" s="159"/>
      <c r="D353" s="145"/>
      <c r="E353" s="149" t="s">
        <v>147</v>
      </c>
      <c r="F353" s="41"/>
      <c r="G353" s="43"/>
      <c r="H353" s="133" t="s">
        <v>35</v>
      </c>
      <c r="I353" s="45"/>
      <c r="J353" s="152">
        <f ca="1">IFERROR(__xludf.DUMMYFUNCTION("IMPORTRANGE(""https://docs.google.com/spreadsheets/d/1awYsYK3VOup2i3Pq_Yjnu8DRu_mYwSBnCR2QPthd0rU/edit?usp=sharing"",""โฉนดM3!H82"")"),1851)</f>
        <v>1851</v>
      </c>
      <c r="K353" s="46"/>
      <c r="L353" s="546"/>
      <c r="M353" s="46"/>
      <c r="N353" s="46"/>
      <c r="O353" s="46"/>
      <c r="P353" s="46"/>
      <c r="Q353" s="46"/>
      <c r="R353" s="46"/>
      <c r="S353" s="46"/>
      <c r="T353" s="46"/>
      <c r="U353" s="46"/>
    </row>
    <row r="354" spans="1:21" ht="16.5" x14ac:dyDescent="0.25">
      <c r="A354" s="217"/>
      <c r="B354" s="41"/>
      <c r="C354" s="159"/>
      <c r="D354" s="317" t="str">
        <f ca="1">IFERROR(__xludf.DUMMYFUNCTION("IMPORTRANGE(""https://docs.google.com/spreadsheets/d/1gNPQPjxUj63ZZXIIIm2aX4x3w7PhAZpC9JuXdbpWwUQ/edit?usp=sharing"",""Sheet1!b3"")")," [ข้อมูลจาก ระบบศูนย์บริการประชาชน ข้อมูล ณ 14 มิ.ย. 67 เวลา 15.50 น.]")</f>
        <v xml:space="preserve"> [ข้อมูลจาก ระบบศูนย์บริการประชาชน ข้อมูล ณ 14 มิ.ย. 67 เวลา 15.50 น.]</v>
      </c>
      <c r="E354" s="41"/>
      <c r="F354" s="41"/>
      <c r="G354" s="43"/>
      <c r="H354" s="191"/>
      <c r="I354" s="45"/>
      <c r="J354" s="45"/>
      <c r="K354" s="46"/>
      <c r="L354" s="546"/>
      <c r="M354" s="46"/>
      <c r="N354" s="46"/>
      <c r="O354" s="46"/>
      <c r="P354" s="46"/>
      <c r="Q354" s="46"/>
      <c r="R354" s="46"/>
      <c r="S354" s="46"/>
      <c r="T354" s="46"/>
      <c r="U354" s="46"/>
    </row>
    <row r="355" spans="1:21" ht="19.5" x14ac:dyDescent="0.3">
      <c r="A355" s="305"/>
      <c r="B355" s="306" t="s">
        <v>148</v>
      </c>
      <c r="C355" s="315"/>
      <c r="D355" s="307"/>
      <c r="E355" s="307"/>
      <c r="F355" s="307"/>
      <c r="G355" s="308"/>
      <c r="H355" s="308"/>
      <c r="I355" s="319"/>
      <c r="J355" s="319"/>
      <c r="K355" s="312"/>
      <c r="L355" s="651"/>
      <c r="M355" s="312"/>
      <c r="N355" s="312"/>
      <c r="O355" s="312"/>
      <c r="P355" s="312"/>
      <c r="Q355" s="312"/>
      <c r="R355" s="312"/>
      <c r="S355" s="312"/>
      <c r="T355" s="312"/>
      <c r="U355" s="312"/>
    </row>
    <row r="356" spans="1:21" ht="19.5" x14ac:dyDescent="0.3">
      <c r="A356" s="128"/>
      <c r="B356" s="41"/>
      <c r="C356" s="386" t="s">
        <v>18</v>
      </c>
      <c r="D356" s="591" t="s">
        <v>19</v>
      </c>
      <c r="E356" s="41"/>
      <c r="F356" s="41"/>
      <c r="G356" s="43"/>
      <c r="H356" s="131" t="s">
        <v>14</v>
      </c>
      <c r="I356" s="45"/>
      <c r="J356" s="45"/>
      <c r="K356" s="46"/>
      <c r="L356" s="550">
        <f ca="1">L357+L358</f>
        <v>430070</v>
      </c>
      <c r="M356" s="132">
        <f ca="1">M357+M358</f>
        <v>428070</v>
      </c>
      <c r="N356" s="132">
        <f ca="1">N357+N358</f>
        <v>175979.36</v>
      </c>
      <c r="O356" s="132">
        <f ca="1">IF(L356&gt;0,N356*100/L356,0)</f>
        <v>40.918771362801401</v>
      </c>
      <c r="P356" s="132">
        <f ca="1">IF(M356&gt;0,N356*100/M356,0)</f>
        <v>41.109949307356274</v>
      </c>
      <c r="Q356" s="132">
        <f>Q357+Q358</f>
        <v>0</v>
      </c>
      <c r="R356" s="132">
        <f>R357+R358</f>
        <v>0</v>
      </c>
      <c r="S356" s="132">
        <f>S357+S358</f>
        <v>0</v>
      </c>
      <c r="T356" s="132">
        <f>IF(Q356&gt;0,S356*100/Q356,0)</f>
        <v>0</v>
      </c>
      <c r="U356" s="132">
        <f>IF(R356&gt;0,S356*100/R356,0)</f>
        <v>0</v>
      </c>
    </row>
    <row r="357" spans="1:21" ht="18.75" hidden="1" x14ac:dyDescent="0.25">
      <c r="A357" s="128"/>
      <c r="B357" s="41"/>
      <c r="C357" s="41"/>
      <c r="D357" s="41"/>
      <c r="E357" s="157" t="s">
        <v>20</v>
      </c>
      <c r="F357" s="41"/>
      <c r="G357" s="43"/>
      <c r="H357" s="158" t="s">
        <v>14</v>
      </c>
      <c r="I357" s="45"/>
      <c r="J357" s="45"/>
      <c r="K357" s="46"/>
      <c r="L357" s="549">
        <f>L360+L363</f>
        <v>0</v>
      </c>
      <c r="M357" s="49">
        <f>M360+M363</f>
        <v>0</v>
      </c>
      <c r="N357" s="49">
        <f>N360+N363</f>
        <v>0</v>
      </c>
      <c r="O357" s="49">
        <f>IF(L357&gt;0,N357*100/L357,0)</f>
        <v>0</v>
      </c>
      <c r="P357" s="49">
        <f>IF(M357&gt;0,N357*100/M357,0)</f>
        <v>0</v>
      </c>
      <c r="Q357" s="49">
        <f>Q360+Q363</f>
        <v>0</v>
      </c>
      <c r="R357" s="49">
        <f>R360+R363</f>
        <v>0</v>
      </c>
      <c r="S357" s="49">
        <f>S360+S363</f>
        <v>0</v>
      </c>
      <c r="T357" s="49">
        <f>IF(Q357&gt;0,S357*100/Q357,0)</f>
        <v>0</v>
      </c>
      <c r="U357" s="49">
        <f>IF(R357&gt;0,S357*100/R357,0)</f>
        <v>0</v>
      </c>
    </row>
    <row r="358" spans="1:21" ht="18.75" hidden="1" x14ac:dyDescent="0.25">
      <c r="A358" s="128"/>
      <c r="B358" s="41"/>
      <c r="C358" s="41"/>
      <c r="D358" s="41"/>
      <c r="E358" s="48" t="s">
        <v>21</v>
      </c>
      <c r="F358" s="41"/>
      <c r="G358" s="43"/>
      <c r="H358" s="133" t="s">
        <v>14</v>
      </c>
      <c r="I358" s="45"/>
      <c r="J358" s="45"/>
      <c r="K358" s="46"/>
      <c r="L358" s="548">
        <f ca="1">L361+L364</f>
        <v>430070</v>
      </c>
      <c r="M358" s="47">
        <f ca="1">M361+M364</f>
        <v>428070</v>
      </c>
      <c r="N358" s="47">
        <f ca="1">N361+N364</f>
        <v>175979.36</v>
      </c>
      <c r="O358" s="47">
        <f ca="1">IF(L358&gt;0,N358*100/L358,0)</f>
        <v>40.918771362801401</v>
      </c>
      <c r="P358" s="47">
        <f ca="1">IF(M358&gt;0,N358*100/M358,0)</f>
        <v>41.109949307356274</v>
      </c>
      <c r="Q358" s="47">
        <f>Q361+Q364</f>
        <v>0</v>
      </c>
      <c r="R358" s="47">
        <f>R361+R364</f>
        <v>0</v>
      </c>
      <c r="S358" s="47">
        <f>S361+S364</f>
        <v>0</v>
      </c>
      <c r="T358" s="47">
        <f>IF(Q358&gt;0,S358*100/Q358,0)</f>
        <v>0</v>
      </c>
      <c r="U358" s="47">
        <f>IF(R358&gt;0,S358*100/R358,0)</f>
        <v>0</v>
      </c>
    </row>
    <row r="359" spans="1:21" ht="18.75" x14ac:dyDescent="0.25">
      <c r="A359" s="128"/>
      <c r="B359" s="41"/>
      <c r="C359" s="41"/>
      <c r="D359" s="42" t="s">
        <v>22</v>
      </c>
      <c r="E359" s="41"/>
      <c r="F359" s="41"/>
      <c r="G359" s="43"/>
      <c r="H359" s="134" t="s">
        <v>14</v>
      </c>
      <c r="I359" s="135"/>
      <c r="J359" s="135"/>
      <c r="K359" s="136"/>
      <c r="L359" s="548">
        <f ca="1">L360+L361</f>
        <v>430070</v>
      </c>
      <c r="M359" s="47">
        <f ca="1">M360+M361</f>
        <v>428070</v>
      </c>
      <c r="N359" s="47">
        <f ca="1">N360+N361</f>
        <v>175979.36</v>
      </c>
      <c r="O359" s="47">
        <f ca="1">IF(L359&gt;0,N359*100/L359,0)</f>
        <v>40.918771362801401</v>
      </c>
      <c r="P359" s="47">
        <f ca="1">IF(M359&gt;0,N359*100/M359,0)</f>
        <v>41.109949307356274</v>
      </c>
      <c r="Q359" s="47">
        <f>Q360+Q361</f>
        <v>0</v>
      </c>
      <c r="R359" s="47">
        <f>R360+R361</f>
        <v>0</v>
      </c>
      <c r="S359" s="47">
        <f>S360+S361</f>
        <v>0</v>
      </c>
      <c r="T359" s="47">
        <f>IF(Q359&gt;0,S359*100/Q359,0)</f>
        <v>0</v>
      </c>
      <c r="U359" s="47">
        <f>IF(R359&gt;0,S359*100/R359,0)</f>
        <v>0</v>
      </c>
    </row>
    <row r="360" spans="1:21" ht="18.75" hidden="1" x14ac:dyDescent="0.25">
      <c r="A360" s="128"/>
      <c r="B360" s="41"/>
      <c r="C360" s="41"/>
      <c r="D360" s="41"/>
      <c r="E360" s="157" t="s">
        <v>36</v>
      </c>
      <c r="F360" s="41"/>
      <c r="G360" s="43"/>
      <c r="H360" s="160" t="s">
        <v>14</v>
      </c>
      <c r="I360" s="135"/>
      <c r="J360" s="135"/>
      <c r="K360" s="136"/>
      <c r="L360" s="549">
        <v>0</v>
      </c>
      <c r="M360" s="49">
        <v>0</v>
      </c>
      <c r="N360" s="49">
        <v>0</v>
      </c>
      <c r="O360" s="49">
        <f>IF(L360&gt;0,N360*100/L360,0)</f>
        <v>0</v>
      </c>
      <c r="P360" s="49">
        <f>IF(M360&gt;0,N360*100/M360,0)</f>
        <v>0</v>
      </c>
      <c r="Q360" s="49">
        <v>0</v>
      </c>
      <c r="R360" s="49">
        <v>0</v>
      </c>
      <c r="S360" s="49">
        <v>0</v>
      </c>
      <c r="T360" s="49">
        <f>IF(Q360&gt;0,S360*100/Q360,0)</f>
        <v>0</v>
      </c>
      <c r="U360" s="49">
        <f>IF(R360&gt;0,S360*100/R360,0)</f>
        <v>0</v>
      </c>
    </row>
    <row r="361" spans="1:21" ht="18.75" hidden="1" x14ac:dyDescent="0.25">
      <c r="A361" s="128"/>
      <c r="B361" s="41"/>
      <c r="C361" s="41"/>
      <c r="D361" s="41"/>
      <c r="E361" s="48" t="s">
        <v>37</v>
      </c>
      <c r="F361" s="41"/>
      <c r="G361" s="43"/>
      <c r="H361" s="134" t="s">
        <v>14</v>
      </c>
      <c r="I361" s="135"/>
      <c r="J361" s="135"/>
      <c r="K361" s="136"/>
      <c r="L361" s="548">
        <f ca="1">IFERROR(__xludf.DUMMYFUNCTION("IMPORTRANGE(""https://docs.google.com/spreadsheets/d/1-uDff_7J0KD5mKrp0Vvzr7lt3OU09vwQwhkpOPPYv2Y/edit?usp=sharing"",""งบพรบ!FC82"")"),430070)</f>
        <v>430070</v>
      </c>
      <c r="M361" s="47">
        <f ca="1">IFERROR(__xludf.DUMMYFUNCTION("IMPORTRANGE(""https://docs.google.com/spreadsheets/d/1-uDff_7J0KD5mKrp0Vvzr7lt3OU09vwQwhkpOPPYv2Y/edit?usp=sharing"",""งบพรบ!FH82"")"),428070)</f>
        <v>428070</v>
      </c>
      <c r="N361" s="47">
        <f ca="1">IFERROR(__xludf.DUMMYFUNCTION("IMPORTRANGE(""https://docs.google.com/spreadsheets/d/1-uDff_7J0KD5mKrp0Vvzr7lt3OU09vwQwhkpOPPYv2Y/edit?usp=sharing"",""งบพรบ!FJ82"")"),175979.36)</f>
        <v>175979.36</v>
      </c>
      <c r="O361" s="47">
        <f ca="1">IF(L361&gt;0,N361*100/L361,0)</f>
        <v>40.918771362801401</v>
      </c>
      <c r="P361" s="47">
        <f ca="1">IF(M361&gt;0,N361*100/M361,0)</f>
        <v>41.109949307356274</v>
      </c>
      <c r="Q361" s="47">
        <v>0</v>
      </c>
      <c r="R361" s="47">
        <v>0</v>
      </c>
      <c r="S361" s="47">
        <v>0</v>
      </c>
      <c r="T361" s="47">
        <f>IF(Q361&gt;0,S361*100/Q361,0)</f>
        <v>0</v>
      </c>
      <c r="U361" s="47">
        <f>IF(R361&gt;0,S361*100/R361,0)</f>
        <v>0</v>
      </c>
    </row>
    <row r="362" spans="1:21" ht="18.75" x14ac:dyDescent="0.25">
      <c r="A362" s="128"/>
      <c r="B362" s="41"/>
      <c r="C362" s="41"/>
      <c r="D362" s="42" t="s">
        <v>23</v>
      </c>
      <c r="E362" s="41"/>
      <c r="F362" s="41"/>
      <c r="G362" s="43"/>
      <c r="H362" s="137" t="s">
        <v>14</v>
      </c>
      <c r="I362" s="135"/>
      <c r="J362" s="135"/>
      <c r="K362" s="136"/>
      <c r="L362" s="548">
        <f ca="1">L363+L364</f>
        <v>0</v>
      </c>
      <c r="M362" s="47">
        <f ca="1">M363+M364</f>
        <v>0</v>
      </c>
      <c r="N362" s="47">
        <f ca="1">N363+N364</f>
        <v>0</v>
      </c>
      <c r="O362" s="47">
        <f ca="1">IF(L362&gt;0,N362*100/L362,0)</f>
        <v>0</v>
      </c>
      <c r="P362" s="47">
        <f ca="1">IF(M362&gt;0,N362*100/M362,0)</f>
        <v>0</v>
      </c>
      <c r="Q362" s="47">
        <f>Q363+Q364</f>
        <v>0</v>
      </c>
      <c r="R362" s="47">
        <f>R363+R364</f>
        <v>0</v>
      </c>
      <c r="S362" s="47">
        <f>S363+S364</f>
        <v>0</v>
      </c>
      <c r="T362" s="47">
        <f>IF(Q362&gt;0,S362*100/Q362,0)</f>
        <v>0</v>
      </c>
      <c r="U362" s="47">
        <f>IF(R362&gt;0,S362*100/R362,0)</f>
        <v>0</v>
      </c>
    </row>
    <row r="363" spans="1:21" ht="18.75" hidden="1" x14ac:dyDescent="0.25">
      <c r="A363" s="128"/>
      <c r="B363" s="41"/>
      <c r="C363" s="41"/>
      <c r="D363" s="41"/>
      <c r="E363" s="157" t="s">
        <v>20</v>
      </c>
      <c r="F363" s="41"/>
      <c r="G363" s="43"/>
      <c r="H363" s="160" t="s">
        <v>14</v>
      </c>
      <c r="I363" s="135"/>
      <c r="J363" s="135"/>
      <c r="K363" s="136"/>
      <c r="L363" s="549">
        <v>0</v>
      </c>
      <c r="M363" s="49">
        <v>0</v>
      </c>
      <c r="N363" s="49">
        <v>0</v>
      </c>
      <c r="O363" s="49">
        <f>IF(L363&gt;0,N363*100/L363,0)</f>
        <v>0</v>
      </c>
      <c r="P363" s="49">
        <f>IF(M363&gt;0,N363*100/M363,0)</f>
        <v>0</v>
      </c>
      <c r="Q363" s="49">
        <v>0</v>
      </c>
      <c r="R363" s="49">
        <v>0</v>
      </c>
      <c r="S363" s="49">
        <v>0</v>
      </c>
      <c r="T363" s="49">
        <f>IF(Q363&gt;0,S363*100/Q363,0)</f>
        <v>0</v>
      </c>
      <c r="U363" s="49">
        <f>IF(R363&gt;0,S363*100/R363,0)</f>
        <v>0</v>
      </c>
    </row>
    <row r="364" spans="1:21" ht="18.75" hidden="1" x14ac:dyDescent="0.25">
      <c r="A364" s="128"/>
      <c r="B364" s="41"/>
      <c r="C364" s="41"/>
      <c r="D364" s="41"/>
      <c r="E364" s="48" t="s">
        <v>21</v>
      </c>
      <c r="F364" s="41"/>
      <c r="G364" s="43"/>
      <c r="H364" s="137" t="s">
        <v>14</v>
      </c>
      <c r="I364" s="135"/>
      <c r="J364" s="135"/>
      <c r="K364" s="136"/>
      <c r="L364" s="548">
        <f ca="1">IFERROR(__xludf.DUMMYFUNCTION("IMPORTRANGE(""https://docs.google.com/spreadsheets/d/1-uDff_7J0KD5mKrp0Vvzr7lt3OU09vwQwhkpOPPYv2Y/edit?usp=sharing"",""งบพรบ!FF82"")"),0)</f>
        <v>0</v>
      </c>
      <c r="M364" s="47">
        <f ca="1">IFERROR(__xludf.DUMMYFUNCTION("IMPORTRANGE(""https://docs.google.com/spreadsheets/d/1-uDff_7J0KD5mKrp0Vvzr7lt3OU09vwQwhkpOPPYv2Y/edit?usp=sharing"",""งบพรบ!FI82"")"),0)</f>
        <v>0</v>
      </c>
      <c r="N364" s="47">
        <f ca="1">IFERROR(__xludf.DUMMYFUNCTION("IMPORTRANGE(""https://docs.google.com/spreadsheets/d/1-uDff_7J0KD5mKrp0Vvzr7lt3OU09vwQwhkpOPPYv2Y/edit?usp=sharing"",""งบพรบ!FK82"")"),0)</f>
        <v>0</v>
      </c>
      <c r="O364" s="47">
        <f ca="1">IF(L364&gt;0,N364*100/L364,0)</f>
        <v>0</v>
      </c>
      <c r="P364" s="47">
        <f ca="1">IF(M364&gt;0,N364*100/M364,0)</f>
        <v>0</v>
      </c>
      <c r="Q364" s="47">
        <v>0</v>
      </c>
      <c r="R364" s="47">
        <v>0</v>
      </c>
      <c r="S364" s="47">
        <v>0</v>
      </c>
      <c r="T364" s="47">
        <f>IF(Q364&gt;0,S364*100/Q364,0)</f>
        <v>0</v>
      </c>
      <c r="U364" s="47">
        <f>IF(R364&gt;0,S364*100/R364,0)</f>
        <v>0</v>
      </c>
    </row>
    <row r="365" spans="1:21" ht="19.5" x14ac:dyDescent="0.3">
      <c r="A365" s="222"/>
      <c r="B365" s="223"/>
      <c r="C365" s="225"/>
      <c r="D365" s="687" t="s">
        <v>149</v>
      </c>
      <c r="E365" s="225"/>
      <c r="F365" s="225"/>
      <c r="G365" s="226"/>
      <c r="H365" s="234" t="s">
        <v>35</v>
      </c>
      <c r="I365" s="228">
        <f ca="1">I371</f>
        <v>250</v>
      </c>
      <c r="J365" s="228">
        <f ca="1">J371</f>
        <v>128</v>
      </c>
      <c r="K365" s="229">
        <f ca="1">IF(I365&gt;0,J365*100/I365,0)</f>
        <v>51.2</v>
      </c>
      <c r="L365" s="686"/>
      <c r="M365" s="230"/>
      <c r="N365" s="230"/>
      <c r="O365" s="230"/>
      <c r="P365" s="230"/>
      <c r="Q365" s="230"/>
      <c r="R365" s="230"/>
      <c r="S365" s="230"/>
      <c r="T365" s="230"/>
      <c r="U365" s="230"/>
    </row>
    <row r="366" spans="1:21" ht="19.5" x14ac:dyDescent="0.3">
      <c r="A366" s="138"/>
      <c r="B366" s="139"/>
      <c r="C366" s="386" t="s">
        <v>18</v>
      </c>
      <c r="D366" s="563" t="s">
        <v>38</v>
      </c>
      <c r="E366" s="141"/>
      <c r="F366" s="141"/>
      <c r="G366" s="142"/>
      <c r="H366" s="143"/>
      <c r="I366" s="45"/>
      <c r="J366" s="45"/>
      <c r="K366" s="46"/>
      <c r="L366" s="558"/>
      <c r="M366" s="136"/>
      <c r="N366" s="136"/>
      <c r="O366" s="136"/>
      <c r="P366" s="136"/>
      <c r="Q366" s="136"/>
      <c r="R366" s="136"/>
      <c r="S366" s="136"/>
      <c r="T366" s="136"/>
      <c r="U366" s="136"/>
    </row>
    <row r="367" spans="1:21" ht="18.75" x14ac:dyDescent="0.25">
      <c r="A367" s="138"/>
      <c r="B367" s="145"/>
      <c r="C367" s="139"/>
      <c r="D367" s="145"/>
      <c r="E367" s="144" t="s">
        <v>150</v>
      </c>
      <c r="F367" s="145"/>
      <c r="G367" s="143"/>
      <c r="H367" s="154" t="s">
        <v>35</v>
      </c>
      <c r="I367" s="152">
        <v>0</v>
      </c>
      <c r="J367" s="152">
        <f ca="1">IFERROR(__xludf.DUMMYFUNCTION("IMPORTRANGE(""https://docs.google.com/spreadsheets/d/1tdoBKaGub7dwA3U6UFTqxio9LNnvDCQjHKmttSEBsFQ/edit?usp=sharing"",""จัดที่ดิน!AB82"")"),50)</f>
        <v>50</v>
      </c>
      <c r="K367" s="47">
        <f>IF(I367&gt;0,J367*100/I367,0)</f>
        <v>0</v>
      </c>
      <c r="L367" s="558"/>
      <c r="M367" s="136"/>
      <c r="N367" s="136"/>
      <c r="O367" s="136"/>
      <c r="P367" s="136"/>
      <c r="Q367" s="136"/>
      <c r="R367" s="136"/>
      <c r="S367" s="136"/>
      <c r="T367" s="136"/>
      <c r="U367" s="136"/>
    </row>
    <row r="368" spans="1:21" ht="18.75" x14ac:dyDescent="0.25">
      <c r="A368" s="138"/>
      <c r="B368" s="145"/>
      <c r="C368" s="139"/>
      <c r="D368" s="145"/>
      <c r="E368" s="145"/>
      <c r="F368" s="145"/>
      <c r="G368" s="143"/>
      <c r="H368" s="154" t="s">
        <v>46</v>
      </c>
      <c r="I368" s="152">
        <f ca="1">IFERROR(__xludf.DUMMYFUNCTION("IMPORTRANGE(""https://docs.google.com/spreadsheets/d/1eHaY18a8A9IcSdp1K8H6x8fbOy06t2VsZHhMHf-1x7Y/edit?usp=sharing"",""แผน!EW82"")"),680)</f>
        <v>680</v>
      </c>
      <c r="J368" s="685">
        <f ca="1">IFERROR(__xludf.DUMMYFUNCTION("IMPORTRANGE(""https://docs.google.com/spreadsheets/d/1tdoBKaGub7dwA3U6UFTqxio9LNnvDCQjHKmttSEBsFQ/edit?usp=sharing"",""จัดที่ดิน!AC82"")"),218.21)</f>
        <v>218.21</v>
      </c>
      <c r="K368" s="47">
        <f ca="1">IF(I368&gt;0,J368*100/I368,0)</f>
        <v>32.089705882352938</v>
      </c>
      <c r="L368" s="558"/>
      <c r="M368" s="136"/>
      <c r="N368" s="136"/>
      <c r="O368" s="136"/>
      <c r="P368" s="136"/>
      <c r="Q368" s="136"/>
      <c r="R368" s="136"/>
      <c r="S368" s="136"/>
      <c r="T368" s="136"/>
      <c r="U368" s="136"/>
    </row>
    <row r="369" spans="1:21" ht="18.75" x14ac:dyDescent="0.25">
      <c r="A369" s="138"/>
      <c r="B369" s="145"/>
      <c r="C369" s="139"/>
      <c r="D369" s="145"/>
      <c r="E369" s="144" t="s">
        <v>151</v>
      </c>
      <c r="F369" s="145"/>
      <c r="G369" s="143"/>
      <c r="H369" s="150" t="s">
        <v>35</v>
      </c>
      <c r="I369" s="152">
        <f ca="1">IFERROR(__xludf.DUMMYFUNCTION("IMPORTRANGE(""https://docs.google.com/spreadsheets/d/1eHaY18a8A9IcSdp1K8H6x8fbOy06t2VsZHhMHf-1x7Y/edit?usp=sharing"",""แผน!EX82"")"),250)</f>
        <v>250</v>
      </c>
      <c r="J369" s="152">
        <f ca="1">IFERROR(__xludf.DUMMYFUNCTION("IMPORTRANGE(""https://docs.google.com/spreadsheets/d/1tdoBKaGub7dwA3U6UFTqxio9LNnvDCQjHKmttSEBsFQ/edit?usp=sharing"",""จัดที่ดิน!AD82"")"),152)</f>
        <v>152</v>
      </c>
      <c r="K369" s="47">
        <f ca="1">IF(I369&gt;0,J369*100/I369,0)</f>
        <v>60.8</v>
      </c>
      <c r="L369" s="558"/>
      <c r="M369" s="136"/>
      <c r="N369" s="136"/>
      <c r="O369" s="136"/>
      <c r="P369" s="136"/>
      <c r="Q369" s="136"/>
      <c r="R369" s="136"/>
      <c r="S369" s="136"/>
      <c r="T369" s="136"/>
      <c r="U369" s="136"/>
    </row>
    <row r="370" spans="1:21" ht="18.75" x14ac:dyDescent="0.25">
      <c r="A370" s="138"/>
      <c r="B370" s="145"/>
      <c r="C370" s="139"/>
      <c r="D370" s="145"/>
      <c r="E370" s="145"/>
      <c r="F370" s="145"/>
      <c r="G370" s="143"/>
      <c r="H370" s="150" t="s">
        <v>46</v>
      </c>
      <c r="I370" s="152">
        <v>0</v>
      </c>
      <c r="J370" s="685">
        <f ca="1">IFERROR(__xludf.DUMMYFUNCTION("IMPORTRANGE(""https://docs.google.com/spreadsheets/d/1tdoBKaGub7dwA3U6UFTqxio9LNnvDCQjHKmttSEBsFQ/edit?usp=sharing"",""จัดที่ดิน!AE82"")"),1214.41999999999)</f>
        <v>1214.4199999999901</v>
      </c>
      <c r="K370" s="47">
        <f>IF(I370&gt;0,J370*100/I370,0)</f>
        <v>0</v>
      </c>
      <c r="L370" s="558"/>
      <c r="M370" s="136"/>
      <c r="N370" s="136"/>
      <c r="O370" s="136"/>
      <c r="P370" s="136"/>
      <c r="Q370" s="136"/>
      <c r="R370" s="136"/>
      <c r="S370" s="136"/>
      <c r="T370" s="136"/>
      <c r="U370" s="136"/>
    </row>
    <row r="371" spans="1:21" ht="18.75" x14ac:dyDescent="0.25">
      <c r="A371" s="138"/>
      <c r="B371" s="145"/>
      <c r="C371" s="139"/>
      <c r="D371" s="145"/>
      <c r="E371" s="320" t="s">
        <v>152</v>
      </c>
      <c r="F371" s="145"/>
      <c r="G371" s="143"/>
      <c r="H371" s="150" t="s">
        <v>35</v>
      </c>
      <c r="I371" s="152">
        <f ca="1">IFERROR(__xludf.DUMMYFUNCTION("IMPORTRANGE(""https://docs.google.com/spreadsheets/d/1eHaY18a8A9IcSdp1K8H6x8fbOy06t2VsZHhMHf-1x7Y/edit?usp=sharing"",""แผน!EY82"")"),250)</f>
        <v>250</v>
      </c>
      <c r="J371" s="152">
        <f ca="1">IFERROR(__xludf.DUMMYFUNCTION("IMPORTRANGE(""https://docs.google.com/spreadsheets/d/1tdoBKaGub7dwA3U6UFTqxio9LNnvDCQjHKmttSEBsFQ/edit?usp=sharing"",""จัดที่ดิน!AF82"")"),128)</f>
        <v>128</v>
      </c>
      <c r="K371" s="47">
        <f ca="1">IF(I371&gt;0,J371*100/I371,0)</f>
        <v>51.2</v>
      </c>
      <c r="L371" s="558"/>
      <c r="M371" s="136"/>
      <c r="N371" s="136"/>
      <c r="O371" s="136"/>
      <c r="P371" s="136"/>
      <c r="Q371" s="136"/>
      <c r="R371" s="136"/>
      <c r="S371" s="136"/>
      <c r="T371" s="136"/>
      <c r="U371" s="136"/>
    </row>
    <row r="372" spans="1:21" ht="18.75" x14ac:dyDescent="0.25">
      <c r="A372" s="138"/>
      <c r="B372" s="145"/>
      <c r="C372" s="139"/>
      <c r="D372" s="145"/>
      <c r="E372" s="145"/>
      <c r="F372" s="145"/>
      <c r="G372" s="143"/>
      <c r="H372" s="150" t="s">
        <v>46</v>
      </c>
      <c r="I372" s="152">
        <v>0</v>
      </c>
      <c r="J372" s="685">
        <f ca="1">IFERROR(__xludf.DUMMYFUNCTION("IMPORTRANGE(""https://docs.google.com/spreadsheets/d/1tdoBKaGub7dwA3U6UFTqxio9LNnvDCQjHKmttSEBsFQ/edit?usp=sharing"",""จัดที่ดิน!AG82"")"),1101.64)</f>
        <v>1101.6400000000001</v>
      </c>
      <c r="K372" s="47">
        <f>IF(I372&gt;0,J372*100/I372,0)</f>
        <v>0</v>
      </c>
      <c r="L372" s="558"/>
      <c r="M372" s="136"/>
      <c r="N372" s="136"/>
      <c r="O372" s="136"/>
      <c r="P372" s="136"/>
      <c r="Q372" s="136"/>
      <c r="R372" s="136"/>
      <c r="S372" s="136"/>
      <c r="T372" s="136"/>
      <c r="U372" s="136"/>
    </row>
    <row r="373" spans="1:21" ht="16.5" x14ac:dyDescent="0.25">
      <c r="A373" s="350"/>
      <c r="B373" s="1"/>
      <c r="C373" s="3"/>
      <c r="D373" s="321" t="str">
        <f ca="1">IFERROR(__xludf.DUMMYFUNCTION("IMPORTRANGE(""https://docs.google.com/spreadsheets/d/1gNPQPjxUj63ZZXIIIm2aX4x3w7PhAZpC9JuXdbpWwUQ/edit?usp=sharing"",""Sheet1!b4"")")," [ข้อมูลจาก ระบบ ALRO Land Online ข้อมูล ณ 17 มิ.ย. 67 เวลา 07.28 น.]")</f>
        <v xml:space="preserve"> [ข้อมูลจาก ระบบ ALRO Land Online ข้อมูล ณ 17 มิ.ย. 67 เวลา 07.28 น.]</v>
      </c>
      <c r="E373" s="1"/>
      <c r="F373" s="1"/>
      <c r="G373" s="53"/>
      <c r="H373" s="53"/>
      <c r="I373" s="55"/>
      <c r="J373" s="55"/>
      <c r="K373" s="4"/>
      <c r="L373" s="545"/>
      <c r="M373" s="4"/>
      <c r="N373" s="4"/>
      <c r="O373" s="4"/>
      <c r="P373" s="4"/>
      <c r="Q373" s="4"/>
      <c r="R373" s="4"/>
      <c r="S373" s="4"/>
      <c r="T373" s="4"/>
      <c r="U373" s="4"/>
    </row>
    <row r="374" spans="1:21" ht="19.5" hidden="1" x14ac:dyDescent="0.3">
      <c r="A374" s="684"/>
      <c r="B374" s="683" t="s">
        <v>153</v>
      </c>
      <c r="C374" s="682"/>
      <c r="D374" s="681"/>
      <c r="E374" s="680"/>
      <c r="F374" s="680"/>
      <c r="G374" s="679"/>
      <c r="H374" s="678" t="s">
        <v>46</v>
      </c>
      <c r="I374" s="677">
        <f ca="1">I385</f>
        <v>0</v>
      </c>
      <c r="J374" s="677">
        <f>J385</f>
        <v>0</v>
      </c>
      <c r="K374" s="676">
        <f ca="1">IF(I374&gt;0,J374*100/I374,0)</f>
        <v>0</v>
      </c>
      <c r="L374" s="651"/>
      <c r="M374" s="312"/>
      <c r="N374" s="312"/>
      <c r="O374" s="312"/>
      <c r="P374" s="312"/>
      <c r="Q374" s="312"/>
      <c r="R374" s="312"/>
      <c r="S374" s="312"/>
      <c r="T374" s="312"/>
      <c r="U374" s="312"/>
    </row>
    <row r="375" spans="1:21" ht="19.5" hidden="1" x14ac:dyDescent="0.3">
      <c r="A375" s="128"/>
      <c r="B375" s="159"/>
      <c r="C375" s="162" t="s">
        <v>18</v>
      </c>
      <c r="D375" s="675" t="s">
        <v>19</v>
      </c>
      <c r="E375" s="41"/>
      <c r="F375" s="41"/>
      <c r="G375" s="43"/>
      <c r="H375" s="131" t="s">
        <v>14</v>
      </c>
      <c r="I375" s="45"/>
      <c r="J375" s="45"/>
      <c r="K375" s="46"/>
      <c r="L375" s="550">
        <f ca="1">L376+L377</f>
        <v>0</v>
      </c>
      <c r="M375" s="132">
        <f ca="1">M376+M377</f>
        <v>0</v>
      </c>
      <c r="N375" s="132">
        <f ca="1">N376+N377</f>
        <v>0</v>
      </c>
      <c r="O375" s="132">
        <f ca="1">IF(L375&gt;0,N375*100/L375,0)</f>
        <v>0</v>
      </c>
      <c r="P375" s="132">
        <f ca="1">IF(M375&gt;0,N375*100/M375,0)</f>
        <v>0</v>
      </c>
      <c r="Q375" s="132">
        <f ca="1">Q376+Q377</f>
        <v>0</v>
      </c>
      <c r="R375" s="132">
        <f ca="1">R376+R377</f>
        <v>0</v>
      </c>
      <c r="S375" s="132">
        <f ca="1">S376+S377</f>
        <v>0</v>
      </c>
      <c r="T375" s="132">
        <f ca="1">IF(Q375&gt;0,S375*100/Q375,0)</f>
        <v>0</v>
      </c>
      <c r="U375" s="132">
        <f ca="1">IF(R375&gt;0,S375*100/R375,0)</f>
        <v>0</v>
      </c>
    </row>
    <row r="376" spans="1:21" ht="18.75" hidden="1" x14ac:dyDescent="0.25">
      <c r="A376" s="128"/>
      <c r="B376" s="159"/>
      <c r="C376" s="159"/>
      <c r="D376" s="159"/>
      <c r="E376" s="157" t="s">
        <v>20</v>
      </c>
      <c r="F376" s="41"/>
      <c r="G376" s="43"/>
      <c r="H376" s="158" t="s">
        <v>14</v>
      </c>
      <c r="I376" s="45"/>
      <c r="J376" s="45"/>
      <c r="K376" s="46"/>
      <c r="L376" s="549">
        <f>L379+L382</f>
        <v>0</v>
      </c>
      <c r="M376" s="49">
        <f>M379+M382</f>
        <v>0</v>
      </c>
      <c r="N376" s="49">
        <f>N379+N382</f>
        <v>0</v>
      </c>
      <c r="O376" s="49">
        <f>IF(L376&gt;0,N376*100/L376,0)</f>
        <v>0</v>
      </c>
      <c r="P376" s="49">
        <f>IF(M376&gt;0,N376*100/M376,0)</f>
        <v>0</v>
      </c>
      <c r="Q376" s="49">
        <f>Q379+Q382</f>
        <v>0</v>
      </c>
      <c r="R376" s="49">
        <f>R379+R382</f>
        <v>0</v>
      </c>
      <c r="S376" s="49">
        <f>S379+S382</f>
        <v>0</v>
      </c>
      <c r="T376" s="49">
        <f>IF(Q376&gt;0,S376*100/Q376,0)</f>
        <v>0</v>
      </c>
      <c r="U376" s="49">
        <f>IF(R376&gt;0,S376*100/R376,0)</f>
        <v>0</v>
      </c>
    </row>
    <row r="377" spans="1:21" ht="18.75" hidden="1" x14ac:dyDescent="0.25">
      <c r="A377" s="128"/>
      <c r="B377" s="159"/>
      <c r="C377" s="159"/>
      <c r="D377" s="159"/>
      <c r="E377" s="48" t="s">
        <v>21</v>
      </c>
      <c r="F377" s="41"/>
      <c r="G377" s="43"/>
      <c r="H377" s="133" t="s">
        <v>14</v>
      </c>
      <c r="I377" s="45"/>
      <c r="J377" s="45"/>
      <c r="K377" s="46"/>
      <c r="L377" s="548">
        <f ca="1">L380+L383</f>
        <v>0</v>
      </c>
      <c r="M377" s="47">
        <f ca="1">M380+M383</f>
        <v>0</v>
      </c>
      <c r="N377" s="47">
        <f ca="1">N380+N383</f>
        <v>0</v>
      </c>
      <c r="O377" s="47">
        <f ca="1">IF(L377&gt;0,N377*100/L377,0)</f>
        <v>0</v>
      </c>
      <c r="P377" s="47">
        <f ca="1">IF(M377&gt;0,N377*100/M377,0)</f>
        <v>0</v>
      </c>
      <c r="Q377" s="47">
        <f ca="1">Q380+Q383</f>
        <v>0</v>
      </c>
      <c r="R377" s="47">
        <f ca="1">R380+R383</f>
        <v>0</v>
      </c>
      <c r="S377" s="47">
        <f ca="1">S380+S383</f>
        <v>0</v>
      </c>
      <c r="T377" s="47">
        <f ca="1">IF(Q377&gt;0,S377*100/Q377,0)</f>
        <v>0</v>
      </c>
      <c r="U377" s="47">
        <f ca="1">IF(R377&gt;0,S377*100/R377,0)</f>
        <v>0</v>
      </c>
    </row>
    <row r="378" spans="1:21" ht="18.75" hidden="1" x14ac:dyDescent="0.25">
      <c r="A378" s="128"/>
      <c r="B378" s="159"/>
      <c r="C378" s="159"/>
      <c r="D378" s="649" t="s">
        <v>22</v>
      </c>
      <c r="E378" s="41"/>
      <c r="F378" s="41"/>
      <c r="G378" s="43"/>
      <c r="H378" s="134" t="s">
        <v>14</v>
      </c>
      <c r="I378" s="135"/>
      <c r="J378" s="135"/>
      <c r="K378" s="136"/>
      <c r="L378" s="548">
        <f ca="1">L379+L380</f>
        <v>0</v>
      </c>
      <c r="M378" s="47">
        <f ca="1">M379+M380</f>
        <v>0</v>
      </c>
      <c r="N378" s="47">
        <f ca="1">N379+N380</f>
        <v>0</v>
      </c>
      <c r="O378" s="47">
        <f ca="1">IF(L378&gt;0,N378*100/L378,0)</f>
        <v>0</v>
      </c>
      <c r="P378" s="47">
        <f ca="1">IF(M378&gt;0,N378*100/M378,0)</f>
        <v>0</v>
      </c>
      <c r="Q378" s="47">
        <f ca="1">Q379+Q380</f>
        <v>0</v>
      </c>
      <c r="R378" s="47">
        <f ca="1">R379+R380</f>
        <v>0</v>
      </c>
      <c r="S378" s="47">
        <f ca="1">S379+S380</f>
        <v>0</v>
      </c>
      <c r="T378" s="47">
        <f ca="1">IF(Q378&gt;0,S378*100/Q378,0)</f>
        <v>0</v>
      </c>
      <c r="U378" s="47">
        <f ca="1">IF(R378&gt;0,S378*100/R378,0)</f>
        <v>0</v>
      </c>
    </row>
    <row r="379" spans="1:21" ht="18.75" hidden="1" x14ac:dyDescent="0.25">
      <c r="A379" s="128"/>
      <c r="B379" s="159"/>
      <c r="C379" s="159"/>
      <c r="D379" s="159"/>
      <c r="E379" s="157" t="s">
        <v>36</v>
      </c>
      <c r="F379" s="41"/>
      <c r="G379" s="43"/>
      <c r="H379" s="160" t="s">
        <v>14</v>
      </c>
      <c r="I379" s="135"/>
      <c r="J379" s="135"/>
      <c r="K379" s="136"/>
      <c r="L379" s="549">
        <v>0</v>
      </c>
      <c r="M379" s="49">
        <v>0</v>
      </c>
      <c r="N379" s="49">
        <v>0</v>
      </c>
      <c r="O379" s="49">
        <f>IF(L379&gt;0,N379*100/L379,0)</f>
        <v>0</v>
      </c>
      <c r="P379" s="49">
        <f>IF(M379&gt;0,N379*100/M379,0)</f>
        <v>0</v>
      </c>
      <c r="Q379" s="49">
        <v>0</v>
      </c>
      <c r="R379" s="49">
        <v>0</v>
      </c>
      <c r="S379" s="49">
        <v>0</v>
      </c>
      <c r="T379" s="49">
        <f>IF(Q379&gt;0,S379*100/Q379,0)</f>
        <v>0</v>
      </c>
      <c r="U379" s="49">
        <f>IF(R379&gt;0,S379*100/R379,0)</f>
        <v>0</v>
      </c>
    </row>
    <row r="380" spans="1:21" ht="18.75" hidden="1" x14ac:dyDescent="0.25">
      <c r="A380" s="128"/>
      <c r="B380" s="159"/>
      <c r="C380" s="159"/>
      <c r="D380" s="159"/>
      <c r="E380" s="218" t="s">
        <v>37</v>
      </c>
      <c r="F380" s="159"/>
      <c r="G380" s="191"/>
      <c r="H380" s="134" t="s">
        <v>14</v>
      </c>
      <c r="I380" s="135"/>
      <c r="J380" s="135"/>
      <c r="K380" s="136"/>
      <c r="L380" s="548">
        <f ca="1">IFERROR(__xludf.DUMMYFUNCTION("IMPORTRANGE(""https://docs.google.com/spreadsheets/d/1-uDff_7J0KD5mKrp0Vvzr7lt3OU09vwQwhkpOPPYv2Y/edit?usp=sharing"",""งบพรบ!IE82"")"),0)</f>
        <v>0</v>
      </c>
      <c r="M380" s="47">
        <f ca="1">IFERROR(__xludf.DUMMYFUNCTION("IMPORTRANGE(""https://docs.google.com/spreadsheets/d/1-uDff_7J0KD5mKrp0Vvzr7lt3OU09vwQwhkpOPPYv2Y/edit?usp=sharing"",""งบพรบ!IJ82"")"),0)</f>
        <v>0</v>
      </c>
      <c r="N380" s="47">
        <f ca="1">IFERROR(__xludf.DUMMYFUNCTION("IMPORTRANGE(""https://docs.google.com/spreadsheets/d/1-uDff_7J0KD5mKrp0Vvzr7lt3OU09vwQwhkpOPPYv2Y/edit?usp=sharing"",""งบพรบ!IL82"")"),0)</f>
        <v>0</v>
      </c>
      <c r="O380" s="47">
        <f ca="1">IF(L380&gt;0,N380*100/L380,0)</f>
        <v>0</v>
      </c>
      <c r="P380" s="47">
        <f ca="1">IF(M380&gt;0,N380*100/M380,0)</f>
        <v>0</v>
      </c>
      <c r="Q380" s="47">
        <f ca="1">IFERROR(__xludf.DUMMYFUNCTION("IMPORTRANGE(""https://docs.google.com/spreadsheets/d/1ItG2mGa2ceCfYo0BwxsXqNm01IGEUdYcSSLTEv9YCik/edit?usp=sharing"",""เบิกจ่ายกองทุน!BW82"")"),0)</f>
        <v>0</v>
      </c>
      <c r="R380" s="47">
        <f ca="1">IFERROR(__xludf.DUMMYFUNCTION("IMPORTRANGE(""https://docs.google.com/spreadsheets/d/1ItG2mGa2ceCfYo0BwxsXqNm01IGEUdYcSSLTEv9YCik/edit?usp=sharing"",""เบิกจ่ายกองทุน!BX82"")"),0)</f>
        <v>0</v>
      </c>
      <c r="S380" s="47">
        <f ca="1">IFERROR(__xludf.DUMMYFUNCTION("IMPORTRANGE(""https://docs.google.com/spreadsheets/d/1ItG2mGa2ceCfYo0BwxsXqNm01IGEUdYcSSLTEv9YCik/edit?usp=sharing"",""เบิกจ่ายกองทุน!BY82"")"),0)</f>
        <v>0</v>
      </c>
      <c r="T380" s="47">
        <f ca="1">IF(Q380&gt;0,S380*100/Q380,0)</f>
        <v>0</v>
      </c>
      <c r="U380" s="47">
        <f ca="1">IF(R380&gt;0,S380*100/R380,0)</f>
        <v>0</v>
      </c>
    </row>
    <row r="381" spans="1:21" ht="18.75" hidden="1" x14ac:dyDescent="0.25">
      <c r="A381" s="128"/>
      <c r="B381" s="159"/>
      <c r="C381" s="159"/>
      <c r="D381" s="649" t="s">
        <v>23</v>
      </c>
      <c r="E381" s="41"/>
      <c r="F381" s="41"/>
      <c r="G381" s="43"/>
      <c r="H381" s="137" t="s">
        <v>14</v>
      </c>
      <c r="I381" s="135"/>
      <c r="J381" s="135"/>
      <c r="K381" s="136"/>
      <c r="L381" s="548">
        <f ca="1">L382+L383</f>
        <v>0</v>
      </c>
      <c r="M381" s="47">
        <f ca="1">M382+M383</f>
        <v>0</v>
      </c>
      <c r="N381" s="47">
        <f ca="1">N382+N383</f>
        <v>0</v>
      </c>
      <c r="O381" s="47">
        <f ca="1">IF(L381&gt;0,N381*100/L381,0)</f>
        <v>0</v>
      </c>
      <c r="P381" s="47">
        <f ca="1">IF(M381&gt;0,N381*100/M381,0)</f>
        <v>0</v>
      </c>
      <c r="Q381" s="47">
        <f>Q382+Q383</f>
        <v>0</v>
      </c>
      <c r="R381" s="47">
        <f>R382+R383</f>
        <v>0</v>
      </c>
      <c r="S381" s="47">
        <f>S382+S383</f>
        <v>0</v>
      </c>
      <c r="T381" s="47">
        <f>IF(Q381&gt;0,S381*100/Q381,0)</f>
        <v>0</v>
      </c>
      <c r="U381" s="47">
        <f>IF(R381&gt;0,S381*100/R381,0)</f>
        <v>0</v>
      </c>
    </row>
    <row r="382" spans="1:21" ht="18.75" hidden="1" x14ac:dyDescent="0.25">
      <c r="A382" s="128"/>
      <c r="B382" s="159"/>
      <c r="C382" s="159"/>
      <c r="D382" s="159"/>
      <c r="E382" s="157" t="s">
        <v>20</v>
      </c>
      <c r="F382" s="41"/>
      <c r="G382" s="43"/>
      <c r="H382" s="160" t="s">
        <v>14</v>
      </c>
      <c r="I382" s="135"/>
      <c r="J382" s="135"/>
      <c r="K382" s="136"/>
      <c r="L382" s="549">
        <v>0</v>
      </c>
      <c r="M382" s="49">
        <v>0</v>
      </c>
      <c r="N382" s="49">
        <v>0</v>
      </c>
      <c r="O382" s="49">
        <f>IF(L382&gt;0,N382*100/L382,0)</f>
        <v>0</v>
      </c>
      <c r="P382" s="49">
        <f>IF(M382&gt;0,N382*100/M382,0)</f>
        <v>0</v>
      </c>
      <c r="Q382" s="49">
        <v>0</v>
      </c>
      <c r="R382" s="49">
        <v>0</v>
      </c>
      <c r="S382" s="49">
        <v>0</v>
      </c>
      <c r="T382" s="49">
        <f>IF(Q382&gt;0,S382*100/Q382,0)</f>
        <v>0</v>
      </c>
      <c r="U382" s="49">
        <f>IF(R382&gt;0,S382*100/R382,0)</f>
        <v>0</v>
      </c>
    </row>
    <row r="383" spans="1:21" ht="18.75" hidden="1" x14ac:dyDescent="0.25">
      <c r="A383" s="128"/>
      <c r="B383" s="159"/>
      <c r="C383" s="159"/>
      <c r="D383" s="159"/>
      <c r="E383" s="48" t="s">
        <v>21</v>
      </c>
      <c r="F383" s="41"/>
      <c r="G383" s="43"/>
      <c r="H383" s="137" t="s">
        <v>14</v>
      </c>
      <c r="I383" s="135"/>
      <c r="J383" s="135"/>
      <c r="K383" s="136"/>
      <c r="L383" s="548">
        <f ca="1">IFERROR(__xludf.DUMMYFUNCTION("IMPORTRANGE(""https://docs.google.com/spreadsheets/d/1-uDff_7J0KD5mKrp0Vvzr7lt3OU09vwQwhkpOPPYv2Y/edit?usp=sharing"",""งบพรบ!IH82"")"),0)</f>
        <v>0</v>
      </c>
      <c r="M383" s="47">
        <f ca="1">IFERROR(__xludf.DUMMYFUNCTION("IMPORTRANGE(""https://docs.google.com/spreadsheets/d/1-uDff_7J0KD5mKrp0Vvzr7lt3OU09vwQwhkpOPPYv2Y/edit?usp=sharing"",""งบพรบ!IK82"")"),0)</f>
        <v>0</v>
      </c>
      <c r="N383" s="47">
        <f ca="1">IFERROR(__xludf.DUMMYFUNCTION("IMPORTRANGE(""https://docs.google.com/spreadsheets/d/1-uDff_7J0KD5mKrp0Vvzr7lt3OU09vwQwhkpOPPYv2Y/edit?usp=sharing"",""งบพรบ!IM82"")"),0)</f>
        <v>0</v>
      </c>
      <c r="O383" s="47">
        <f ca="1">IF(L383&gt;0,N383*100/L383,0)</f>
        <v>0</v>
      </c>
      <c r="P383" s="47">
        <f ca="1">IF(M383&gt;0,N383*100/M383,0)</f>
        <v>0</v>
      </c>
      <c r="Q383" s="47">
        <v>0</v>
      </c>
      <c r="R383" s="47">
        <v>0</v>
      </c>
      <c r="S383" s="47">
        <v>0</v>
      </c>
      <c r="T383" s="47">
        <f>IF(Q383&gt;0,S383*100/Q383,0)</f>
        <v>0</v>
      </c>
      <c r="U383" s="47">
        <f>IF(R383&gt;0,S383*100/R383,0)</f>
        <v>0</v>
      </c>
    </row>
    <row r="384" spans="1:21" ht="19.5" hidden="1" x14ac:dyDescent="0.3">
      <c r="A384" s="138"/>
      <c r="B384" s="139"/>
      <c r="C384" s="162" t="s">
        <v>18</v>
      </c>
      <c r="D384" s="557" t="s">
        <v>38</v>
      </c>
      <c r="E384" s="141"/>
      <c r="F384" s="141"/>
      <c r="G384" s="142"/>
      <c r="H384" s="189"/>
      <c r="I384" s="135"/>
      <c r="J384" s="45"/>
      <c r="K384" s="46"/>
      <c r="L384" s="546"/>
      <c r="M384" s="46"/>
      <c r="N384" s="46"/>
      <c r="O384" s="136"/>
      <c r="P384" s="136"/>
      <c r="Q384" s="46"/>
      <c r="R384" s="46"/>
      <c r="S384" s="46"/>
      <c r="T384" s="136"/>
      <c r="U384" s="136"/>
    </row>
    <row r="385" spans="1:21" ht="18.75" hidden="1" x14ac:dyDescent="0.25">
      <c r="A385" s="217"/>
      <c r="B385" s="159"/>
      <c r="C385" s="159"/>
      <c r="D385" s="159"/>
      <c r="E385" s="48" t="s">
        <v>154</v>
      </c>
      <c r="F385" s="41"/>
      <c r="G385" s="43"/>
      <c r="H385" s="133" t="s">
        <v>34</v>
      </c>
      <c r="I385" s="152">
        <f ca="1">IFERROR(__xludf.DUMMYFUNCTION("IMPORTRANGE(""https://docs.google.com/spreadsheets/d/1eHaY18a8A9IcSdp1K8H6x8fbOy06t2VsZHhMHf-1x7Y/edit?usp=sharing"",""แผน!JQ82"")"),0)</f>
        <v>0</v>
      </c>
      <c r="J385" s="152">
        <v>0</v>
      </c>
      <c r="K385" s="47">
        <f ca="1">IF(I385&gt;0,J385*100/I385,0)</f>
        <v>0</v>
      </c>
      <c r="L385" s="546"/>
      <c r="M385" s="46"/>
      <c r="N385" s="46"/>
      <c r="O385" s="46"/>
      <c r="P385" s="46"/>
      <c r="Q385" s="46"/>
      <c r="R385" s="46"/>
      <c r="S385" s="46"/>
      <c r="T385" s="46"/>
      <c r="U385" s="46"/>
    </row>
    <row r="386" spans="1:21" ht="18.75" hidden="1" x14ac:dyDescent="0.25">
      <c r="A386" s="217"/>
      <c r="B386" s="159"/>
      <c r="C386" s="159"/>
      <c r="D386" s="159"/>
      <c r="E386" s="159"/>
      <c r="F386" s="159"/>
      <c r="G386" s="191"/>
      <c r="H386" s="133" t="s">
        <v>46</v>
      </c>
      <c r="I386" s="152">
        <f ca="1">IFERROR(__xludf.DUMMYFUNCTION("IMPORTRANGE(""https://docs.google.com/spreadsheets/d/1eHaY18a8A9IcSdp1K8H6x8fbOy06t2VsZHhMHf-1x7Y/edit?usp=sharing"",""แผน!JQ82"")"),0)</f>
        <v>0</v>
      </c>
      <c r="J386" s="152">
        <v>0</v>
      </c>
      <c r="K386" s="47">
        <f ca="1">IF(I386&gt;0,J386*100/I386,0)</f>
        <v>0</v>
      </c>
      <c r="L386" s="546"/>
      <c r="M386" s="46"/>
      <c r="N386" s="46"/>
      <c r="O386" s="46"/>
      <c r="P386" s="46"/>
      <c r="Q386" s="46"/>
      <c r="R386" s="46"/>
      <c r="S386" s="46"/>
      <c r="T386" s="46"/>
      <c r="U386" s="46"/>
    </row>
    <row r="387" spans="1:21" ht="18.75" hidden="1" x14ac:dyDescent="0.25">
      <c r="A387" s="217"/>
      <c r="B387" s="159"/>
      <c r="C387" s="159"/>
      <c r="D387" s="159"/>
      <c r="E387" s="345" t="s">
        <v>155</v>
      </c>
      <c r="F387" s="159"/>
      <c r="G387" s="191"/>
      <c r="H387" s="158" t="s">
        <v>34</v>
      </c>
      <c r="I387" s="495">
        <v>0</v>
      </c>
      <c r="J387" s="495">
        <v>0</v>
      </c>
      <c r="K387" s="49">
        <f>IF(I387&gt;0,J387*100/I387,0)</f>
        <v>0</v>
      </c>
      <c r="L387" s="546"/>
      <c r="M387" s="46"/>
      <c r="N387" s="46"/>
      <c r="O387" s="46"/>
      <c r="P387" s="46"/>
      <c r="Q387" s="46"/>
      <c r="R387" s="46"/>
      <c r="S387" s="46"/>
      <c r="T387" s="46"/>
      <c r="U387" s="46"/>
    </row>
    <row r="388" spans="1:21" ht="18.75" hidden="1" x14ac:dyDescent="0.25">
      <c r="A388" s="217"/>
      <c r="B388" s="159"/>
      <c r="C388" s="159"/>
      <c r="D388" s="159"/>
      <c r="E388" s="159"/>
      <c r="F388" s="159"/>
      <c r="G388" s="191"/>
      <c r="H388" s="158" t="s">
        <v>46</v>
      </c>
      <c r="I388" s="495">
        <v>0</v>
      </c>
      <c r="J388" s="495">
        <v>0</v>
      </c>
      <c r="K388" s="49">
        <f>IF(I388&gt;0,J388*100/I388,0)</f>
        <v>0</v>
      </c>
      <c r="L388" s="546"/>
      <c r="M388" s="46"/>
      <c r="N388" s="46"/>
      <c r="O388" s="46"/>
      <c r="P388" s="46"/>
      <c r="Q388" s="46"/>
      <c r="R388" s="46"/>
      <c r="S388" s="46"/>
      <c r="T388" s="46"/>
      <c r="U388" s="46"/>
    </row>
    <row r="389" spans="1:21" ht="12.75" hidden="1" x14ac:dyDescent="0.2">
      <c r="A389" s="241"/>
      <c r="B389" s="242"/>
      <c r="C389" s="242"/>
      <c r="D389" s="242"/>
      <c r="E389" s="242"/>
      <c r="F389" s="242"/>
      <c r="G389" s="245"/>
      <c r="H389" s="245"/>
      <c r="I389" s="246">
        <v>0</v>
      </c>
      <c r="J389" s="246">
        <v>0</v>
      </c>
      <c r="K389" s="247"/>
      <c r="L389" s="590"/>
      <c r="M389" s="247"/>
      <c r="N389" s="247"/>
      <c r="O389" s="247"/>
      <c r="P389" s="247"/>
      <c r="Q389" s="247"/>
      <c r="R389" s="247"/>
      <c r="S389" s="247"/>
      <c r="T389" s="247"/>
      <c r="U389" s="247"/>
    </row>
    <row r="390" spans="1:21" ht="12.75" hidden="1" x14ac:dyDescent="0.2">
      <c r="A390" s="381"/>
      <c r="B390" s="333"/>
      <c r="C390" s="333"/>
      <c r="D390" s="333"/>
      <c r="E390" s="333"/>
      <c r="F390" s="333"/>
      <c r="G390" s="334"/>
      <c r="H390" s="334"/>
      <c r="I390" s="335">
        <v>0</v>
      </c>
      <c r="J390" s="335">
        <v>0</v>
      </c>
      <c r="K390" s="336"/>
      <c r="L390" s="562"/>
      <c r="M390" s="336"/>
      <c r="N390" s="336"/>
      <c r="O390" s="336"/>
      <c r="P390" s="336"/>
      <c r="Q390" s="336"/>
      <c r="R390" s="336"/>
      <c r="S390" s="336"/>
      <c r="T390" s="336"/>
      <c r="U390" s="336"/>
    </row>
    <row r="391" spans="1:21" ht="19.5" hidden="1" x14ac:dyDescent="0.3">
      <c r="A391" s="313"/>
      <c r="B391" s="322" t="s">
        <v>156</v>
      </c>
      <c r="C391" s="314"/>
      <c r="D391" s="315"/>
      <c r="E391" s="307"/>
      <c r="F391" s="307"/>
      <c r="G391" s="308"/>
      <c r="H391" s="323" t="s">
        <v>61</v>
      </c>
      <c r="I391" s="319">
        <f>I402</f>
        <v>0</v>
      </c>
      <c r="J391" s="319">
        <f>J402</f>
        <v>0</v>
      </c>
      <c r="K391" s="311">
        <f>IF(I391&gt;0,J391*100/I391,0)</f>
        <v>0</v>
      </c>
      <c r="L391" s="651"/>
      <c r="M391" s="312"/>
      <c r="N391" s="312"/>
      <c r="O391" s="312"/>
      <c r="P391" s="312"/>
      <c r="Q391" s="312"/>
      <c r="R391" s="312"/>
      <c r="S391" s="312"/>
      <c r="T391" s="312"/>
      <c r="U391" s="312"/>
    </row>
    <row r="392" spans="1:21" ht="19.5" hidden="1" x14ac:dyDescent="0.3">
      <c r="A392" s="128"/>
      <c r="B392" s="159"/>
      <c r="C392" s="162" t="s">
        <v>18</v>
      </c>
      <c r="D392" s="675" t="s">
        <v>19</v>
      </c>
      <c r="E392" s="41"/>
      <c r="F392" s="41"/>
      <c r="G392" s="43"/>
      <c r="H392" s="131" t="s">
        <v>14</v>
      </c>
      <c r="I392" s="45"/>
      <c r="J392" s="45"/>
      <c r="K392" s="46"/>
      <c r="L392" s="550">
        <f>L393+L394</f>
        <v>0</v>
      </c>
      <c r="M392" s="132">
        <f>M393+M394</f>
        <v>0</v>
      </c>
      <c r="N392" s="132">
        <f>N393+N394</f>
        <v>0</v>
      </c>
      <c r="O392" s="132">
        <f>IF(L392&gt;0,N392*100/L392,0)</f>
        <v>0</v>
      </c>
      <c r="P392" s="132">
        <f>IF(M392&gt;0,N392*100/M392,0)</f>
        <v>0</v>
      </c>
      <c r="Q392" s="132">
        <f ca="1">Q393+Q394</f>
        <v>0</v>
      </c>
      <c r="R392" s="132">
        <f ca="1">R393+R394</f>
        <v>0</v>
      </c>
      <c r="S392" s="132">
        <f ca="1">S393+S394</f>
        <v>0</v>
      </c>
      <c r="T392" s="132">
        <f ca="1">IF(Q392&gt;0,S392*100/Q392,0)</f>
        <v>0</v>
      </c>
      <c r="U392" s="132">
        <f ca="1">IF(R392&gt;0,S392*100/R392,0)</f>
        <v>0</v>
      </c>
    </row>
    <row r="393" spans="1:21" ht="18.75" hidden="1" x14ac:dyDescent="0.25">
      <c r="A393" s="128"/>
      <c r="B393" s="159"/>
      <c r="C393" s="159"/>
      <c r="D393" s="159"/>
      <c r="E393" s="157" t="s">
        <v>20</v>
      </c>
      <c r="F393" s="41"/>
      <c r="G393" s="43"/>
      <c r="H393" s="158" t="s">
        <v>14</v>
      </c>
      <c r="I393" s="45"/>
      <c r="J393" s="45"/>
      <c r="K393" s="46"/>
      <c r="L393" s="549">
        <f>L396+L399</f>
        <v>0</v>
      </c>
      <c r="M393" s="49">
        <f>M396+M399</f>
        <v>0</v>
      </c>
      <c r="N393" s="49">
        <f>N396+N399</f>
        <v>0</v>
      </c>
      <c r="O393" s="49">
        <f>IF(L393&gt;0,N393*100/L393,0)</f>
        <v>0</v>
      </c>
      <c r="P393" s="49">
        <f>IF(M393&gt;0,N393*100/M393,0)</f>
        <v>0</v>
      </c>
      <c r="Q393" s="49">
        <f>Q396+Q399</f>
        <v>0</v>
      </c>
      <c r="R393" s="49">
        <f>R396+R399</f>
        <v>0</v>
      </c>
      <c r="S393" s="49">
        <f>S396+S399</f>
        <v>0</v>
      </c>
      <c r="T393" s="49">
        <f>IF(Q393&gt;0,S393*100/Q393,0)</f>
        <v>0</v>
      </c>
      <c r="U393" s="49">
        <f>IF(R393&gt;0,S393*100/R393,0)</f>
        <v>0</v>
      </c>
    </row>
    <row r="394" spans="1:21" ht="18.75" hidden="1" x14ac:dyDescent="0.25">
      <c r="A394" s="128"/>
      <c r="B394" s="159"/>
      <c r="C394" s="159"/>
      <c r="D394" s="159"/>
      <c r="E394" s="48" t="s">
        <v>21</v>
      </c>
      <c r="F394" s="41"/>
      <c r="G394" s="43"/>
      <c r="H394" s="133" t="s">
        <v>14</v>
      </c>
      <c r="I394" s="45"/>
      <c r="J394" s="45"/>
      <c r="K394" s="46"/>
      <c r="L394" s="548">
        <f>L397+L400</f>
        <v>0</v>
      </c>
      <c r="M394" s="47">
        <f>M397+M400</f>
        <v>0</v>
      </c>
      <c r="N394" s="47">
        <f>N397+N400</f>
        <v>0</v>
      </c>
      <c r="O394" s="47">
        <f>IF(L394&gt;0,N394*100/L394,0)</f>
        <v>0</v>
      </c>
      <c r="P394" s="47">
        <f>IF(M394&gt;0,N394*100/M394,0)</f>
        <v>0</v>
      </c>
      <c r="Q394" s="47">
        <f ca="1">Q397+Q400</f>
        <v>0</v>
      </c>
      <c r="R394" s="47">
        <f ca="1">R397+R400</f>
        <v>0</v>
      </c>
      <c r="S394" s="47">
        <f ca="1">S397+S400</f>
        <v>0</v>
      </c>
      <c r="T394" s="47">
        <f ca="1">IF(Q394&gt;0,S394*100/Q394,0)</f>
        <v>0</v>
      </c>
      <c r="U394" s="47">
        <f ca="1">IF(R394&gt;0,S394*100/R394,0)</f>
        <v>0</v>
      </c>
    </row>
    <row r="395" spans="1:21" ht="18.75" hidden="1" x14ac:dyDescent="0.25">
      <c r="A395" s="128"/>
      <c r="B395" s="159"/>
      <c r="C395" s="159"/>
      <c r="D395" s="649" t="s">
        <v>22</v>
      </c>
      <c r="E395" s="41"/>
      <c r="F395" s="41"/>
      <c r="G395" s="43"/>
      <c r="H395" s="134" t="s">
        <v>14</v>
      </c>
      <c r="I395" s="135"/>
      <c r="J395" s="135"/>
      <c r="K395" s="136"/>
      <c r="L395" s="548">
        <f>L396+L397</f>
        <v>0</v>
      </c>
      <c r="M395" s="47">
        <f>M396+M397</f>
        <v>0</v>
      </c>
      <c r="N395" s="47">
        <f>N396+N397</f>
        <v>0</v>
      </c>
      <c r="O395" s="47">
        <f>IF(L395&gt;0,N395*100/L395,0)</f>
        <v>0</v>
      </c>
      <c r="P395" s="47">
        <f>IF(M395&gt;0,N395*100/M395,0)</f>
        <v>0</v>
      </c>
      <c r="Q395" s="47">
        <f ca="1">Q396+Q397</f>
        <v>0</v>
      </c>
      <c r="R395" s="47">
        <f ca="1">R396+R397</f>
        <v>0</v>
      </c>
      <c r="S395" s="47">
        <f ca="1">S396+S397</f>
        <v>0</v>
      </c>
      <c r="T395" s="47">
        <f ca="1">IF(Q395&gt;0,S395*100/Q395,0)</f>
        <v>0</v>
      </c>
      <c r="U395" s="47">
        <f ca="1">IF(R395&gt;0,S395*100/R395,0)</f>
        <v>0</v>
      </c>
    </row>
    <row r="396" spans="1:21" ht="18.75" hidden="1" x14ac:dyDescent="0.25">
      <c r="A396" s="128"/>
      <c r="B396" s="159"/>
      <c r="C396" s="159"/>
      <c r="D396" s="159"/>
      <c r="E396" s="157" t="s">
        <v>36</v>
      </c>
      <c r="F396" s="41"/>
      <c r="G396" s="43"/>
      <c r="H396" s="160" t="s">
        <v>14</v>
      </c>
      <c r="I396" s="135"/>
      <c r="J396" s="135"/>
      <c r="K396" s="136"/>
      <c r="L396" s="549">
        <v>0</v>
      </c>
      <c r="M396" s="49">
        <v>0</v>
      </c>
      <c r="N396" s="49">
        <v>0</v>
      </c>
      <c r="O396" s="49">
        <f>IF(L396&gt;0,N396*100/L396,0)</f>
        <v>0</v>
      </c>
      <c r="P396" s="49">
        <f>IF(M396&gt;0,N396*100/M396,0)</f>
        <v>0</v>
      </c>
      <c r="Q396" s="49">
        <v>0</v>
      </c>
      <c r="R396" s="49">
        <v>0</v>
      </c>
      <c r="S396" s="49">
        <v>0</v>
      </c>
      <c r="T396" s="49">
        <f>IF(Q396&gt;0,S396*100/Q396,0)</f>
        <v>0</v>
      </c>
      <c r="U396" s="49">
        <f>IF(R396&gt;0,S396*100/R396,0)</f>
        <v>0</v>
      </c>
    </row>
    <row r="397" spans="1:21" ht="18.75" hidden="1" x14ac:dyDescent="0.25">
      <c r="A397" s="128"/>
      <c r="B397" s="159"/>
      <c r="C397" s="159"/>
      <c r="D397" s="159"/>
      <c r="E397" s="218" t="s">
        <v>37</v>
      </c>
      <c r="F397" s="159"/>
      <c r="G397" s="191"/>
      <c r="H397" s="134" t="s">
        <v>14</v>
      </c>
      <c r="I397" s="135"/>
      <c r="J397" s="135"/>
      <c r="K397" s="136"/>
      <c r="L397" s="548">
        <v>0</v>
      </c>
      <c r="M397" s="47">
        <v>0</v>
      </c>
      <c r="N397" s="47">
        <v>0</v>
      </c>
      <c r="O397" s="47">
        <f>IF(L397&gt;0,N397*100/L397,0)</f>
        <v>0</v>
      </c>
      <c r="P397" s="47">
        <f>IF(M397&gt;0,N397*100/M397,0)</f>
        <v>0</v>
      </c>
      <c r="Q397" s="47">
        <f ca="1">IFERROR(__xludf.DUMMYFUNCTION("IMPORTRANGE(""https://docs.google.com/spreadsheets/d/1ItG2mGa2ceCfYo0BwxsXqNm01IGEUdYcSSLTEv9YCik/edit?usp=sharing"",""เบิกจ่ายกองทุน!CL82"")"),0)</f>
        <v>0</v>
      </c>
      <c r="R397" s="47">
        <f ca="1">IFERROR(__xludf.DUMMYFUNCTION("IMPORTRANGE(""https://docs.google.com/spreadsheets/d/1ItG2mGa2ceCfYo0BwxsXqNm01IGEUdYcSSLTEv9YCik/edit?usp=sharing"",""เบิกจ่ายกองทุน!CM82"")"),0)</f>
        <v>0</v>
      </c>
      <c r="S397" s="47">
        <f ca="1">IFERROR(__xludf.DUMMYFUNCTION("IMPORTRANGE(""https://docs.google.com/spreadsheets/d/1ItG2mGa2ceCfYo0BwxsXqNm01IGEUdYcSSLTEv9YCik/edit?usp=sharing"",""เบิกจ่ายกองทุน!CN82"")"),0)</f>
        <v>0</v>
      </c>
      <c r="T397" s="47">
        <f ca="1">IF(Q397&gt;0,S397*100/Q397,0)</f>
        <v>0</v>
      </c>
      <c r="U397" s="47">
        <f ca="1">IF(R397&gt;0,S397*100/R397,0)</f>
        <v>0</v>
      </c>
    </row>
    <row r="398" spans="1:21" ht="18.75" hidden="1" x14ac:dyDescent="0.25">
      <c r="A398" s="128"/>
      <c r="B398" s="159"/>
      <c r="C398" s="159"/>
      <c r="D398" s="649" t="s">
        <v>23</v>
      </c>
      <c r="E398" s="41"/>
      <c r="F398" s="41"/>
      <c r="G398" s="43"/>
      <c r="H398" s="137" t="s">
        <v>14</v>
      </c>
      <c r="I398" s="135"/>
      <c r="J398" s="135"/>
      <c r="K398" s="136"/>
      <c r="L398" s="548">
        <f>L399+L400</f>
        <v>0</v>
      </c>
      <c r="M398" s="47">
        <f>M399+M400</f>
        <v>0</v>
      </c>
      <c r="N398" s="47">
        <f>N399+N400</f>
        <v>0</v>
      </c>
      <c r="O398" s="47">
        <f>IF(L398&gt;0,N398*100/L398,0)</f>
        <v>0</v>
      </c>
      <c r="P398" s="47">
        <f>IF(M398&gt;0,N398*100/M398,0)</f>
        <v>0</v>
      </c>
      <c r="Q398" s="47">
        <f>Q399+Q400</f>
        <v>0</v>
      </c>
      <c r="R398" s="47">
        <f>R399+R400</f>
        <v>0</v>
      </c>
      <c r="S398" s="47">
        <f>S399+S400</f>
        <v>0</v>
      </c>
      <c r="T398" s="47">
        <f>IF(Q398&gt;0,S398*100/Q398,0)</f>
        <v>0</v>
      </c>
      <c r="U398" s="47">
        <f>IF(R398&gt;0,S398*100/R398,0)</f>
        <v>0</v>
      </c>
    </row>
    <row r="399" spans="1:21" ht="18.75" hidden="1" x14ac:dyDescent="0.25">
      <c r="A399" s="128"/>
      <c r="B399" s="159"/>
      <c r="C399" s="159"/>
      <c r="D399" s="159"/>
      <c r="E399" s="157" t="s">
        <v>20</v>
      </c>
      <c r="F399" s="41"/>
      <c r="G399" s="43"/>
      <c r="H399" s="160" t="s">
        <v>14</v>
      </c>
      <c r="I399" s="135"/>
      <c r="J399" s="135"/>
      <c r="K399" s="136"/>
      <c r="L399" s="549">
        <v>0</v>
      </c>
      <c r="M399" s="49">
        <v>0</v>
      </c>
      <c r="N399" s="49">
        <v>0</v>
      </c>
      <c r="O399" s="49">
        <f>IF(L399&gt;0,N399*100/L399,0)</f>
        <v>0</v>
      </c>
      <c r="P399" s="49">
        <f>IF(M399&gt;0,N399*100/M399,0)</f>
        <v>0</v>
      </c>
      <c r="Q399" s="49">
        <v>0</v>
      </c>
      <c r="R399" s="49">
        <v>0</v>
      </c>
      <c r="S399" s="49">
        <v>0</v>
      </c>
      <c r="T399" s="49">
        <f>IF(Q399&gt;0,S399*100/Q399,0)</f>
        <v>0</v>
      </c>
      <c r="U399" s="49">
        <f>IF(R399&gt;0,S399*100/R399,0)</f>
        <v>0</v>
      </c>
    </row>
    <row r="400" spans="1:21" ht="18.75" hidden="1" x14ac:dyDescent="0.25">
      <c r="A400" s="128"/>
      <c r="B400" s="159"/>
      <c r="C400" s="159"/>
      <c r="D400" s="159"/>
      <c r="E400" s="48" t="s">
        <v>21</v>
      </c>
      <c r="F400" s="41"/>
      <c r="G400" s="43"/>
      <c r="H400" s="137" t="s">
        <v>14</v>
      </c>
      <c r="I400" s="135"/>
      <c r="J400" s="135"/>
      <c r="K400" s="136"/>
      <c r="L400" s="548">
        <v>0</v>
      </c>
      <c r="M400" s="47">
        <v>0</v>
      </c>
      <c r="N400" s="47">
        <v>0</v>
      </c>
      <c r="O400" s="47">
        <f>IF(L400&gt;0,N400*100/L400,0)</f>
        <v>0</v>
      </c>
      <c r="P400" s="47">
        <f>IF(M400&gt;0,N400*100/M400,0)</f>
        <v>0</v>
      </c>
      <c r="Q400" s="47">
        <v>0</v>
      </c>
      <c r="R400" s="47">
        <v>0</v>
      </c>
      <c r="S400" s="47">
        <v>0</v>
      </c>
      <c r="T400" s="47">
        <f>IF(Q400&gt;0,S400*100/Q400,0)</f>
        <v>0</v>
      </c>
      <c r="U400" s="47">
        <f>IF(R400&gt;0,S400*100/R400,0)</f>
        <v>0</v>
      </c>
    </row>
    <row r="401" spans="1:21" ht="19.5" hidden="1" x14ac:dyDescent="0.3">
      <c r="A401" s="138"/>
      <c r="B401" s="139"/>
      <c r="C401" s="162" t="s">
        <v>18</v>
      </c>
      <c r="D401" s="557" t="s">
        <v>38</v>
      </c>
      <c r="E401" s="141"/>
      <c r="F401" s="141"/>
      <c r="G401" s="142"/>
      <c r="H401" s="189"/>
      <c r="I401" s="135"/>
      <c r="J401" s="45"/>
      <c r="K401" s="46"/>
      <c r="L401" s="546"/>
      <c r="M401" s="46"/>
      <c r="N401" s="46"/>
      <c r="O401" s="136"/>
      <c r="P401" s="136"/>
      <c r="Q401" s="46"/>
      <c r="R401" s="46"/>
      <c r="S401" s="46"/>
      <c r="T401" s="136"/>
      <c r="U401" s="136"/>
    </row>
    <row r="402" spans="1:21" ht="12.75" hidden="1" x14ac:dyDescent="0.2">
      <c r="A402" s="241"/>
      <c r="B402" s="242"/>
      <c r="C402" s="242"/>
      <c r="D402" s="242"/>
      <c r="E402" s="243"/>
      <c r="F402" s="243"/>
      <c r="G402" s="244"/>
      <c r="H402" s="245"/>
      <c r="I402" s="246"/>
      <c r="J402" s="246"/>
      <c r="K402" s="247"/>
      <c r="L402" s="590"/>
      <c r="M402" s="247"/>
      <c r="N402" s="247"/>
      <c r="O402" s="247"/>
      <c r="P402" s="247"/>
      <c r="Q402" s="247"/>
      <c r="R402" s="247"/>
      <c r="S402" s="247"/>
      <c r="T402" s="247"/>
      <c r="U402" s="247"/>
    </row>
    <row r="403" spans="1:21" ht="12.75" hidden="1" x14ac:dyDescent="0.2">
      <c r="A403" s="241"/>
      <c r="B403" s="242"/>
      <c r="C403" s="242"/>
      <c r="D403" s="242"/>
      <c r="E403" s="242"/>
      <c r="F403" s="242"/>
      <c r="G403" s="245"/>
      <c r="H403" s="245"/>
      <c r="I403" s="246"/>
      <c r="J403" s="246"/>
      <c r="K403" s="247"/>
      <c r="L403" s="590"/>
      <c r="M403" s="247"/>
      <c r="N403" s="247"/>
      <c r="O403" s="247"/>
      <c r="P403" s="247"/>
      <c r="Q403" s="247"/>
      <c r="R403" s="247"/>
      <c r="S403" s="247"/>
      <c r="T403" s="247"/>
      <c r="U403" s="247"/>
    </row>
    <row r="404" spans="1:21" ht="12.75" hidden="1" x14ac:dyDescent="0.2">
      <c r="A404" s="241"/>
      <c r="B404" s="242"/>
      <c r="C404" s="242"/>
      <c r="D404" s="242"/>
      <c r="E404" s="242"/>
      <c r="F404" s="242"/>
      <c r="G404" s="245"/>
      <c r="H404" s="245"/>
      <c r="I404" s="246"/>
      <c r="J404" s="246"/>
      <c r="K404" s="247"/>
      <c r="L404" s="590"/>
      <c r="M404" s="247"/>
      <c r="N404" s="247"/>
      <c r="O404" s="247"/>
      <c r="P404" s="247"/>
      <c r="Q404" s="247"/>
      <c r="R404" s="247"/>
      <c r="S404" s="247"/>
      <c r="T404" s="247"/>
      <c r="U404" s="247"/>
    </row>
    <row r="405" spans="1:21" ht="12.75" hidden="1" x14ac:dyDescent="0.2">
      <c r="A405" s="241"/>
      <c r="B405" s="242"/>
      <c r="C405" s="242"/>
      <c r="D405" s="242"/>
      <c r="E405" s="242"/>
      <c r="F405" s="242"/>
      <c r="G405" s="245"/>
      <c r="H405" s="245"/>
      <c r="I405" s="246"/>
      <c r="J405" s="246"/>
      <c r="K405" s="247"/>
      <c r="L405" s="590"/>
      <c r="M405" s="247"/>
      <c r="N405" s="247"/>
      <c r="O405" s="247"/>
      <c r="P405" s="247"/>
      <c r="Q405" s="247"/>
      <c r="R405" s="247"/>
      <c r="S405" s="247"/>
      <c r="T405" s="247"/>
      <c r="U405" s="247"/>
    </row>
    <row r="406" spans="1:21" ht="12.75" hidden="1" x14ac:dyDescent="0.2">
      <c r="A406" s="241"/>
      <c r="B406" s="242"/>
      <c r="C406" s="242"/>
      <c r="D406" s="242"/>
      <c r="E406" s="242"/>
      <c r="F406" s="242"/>
      <c r="G406" s="245"/>
      <c r="H406" s="245"/>
      <c r="I406" s="246"/>
      <c r="J406" s="246"/>
      <c r="K406" s="247"/>
      <c r="L406" s="590"/>
      <c r="M406" s="247"/>
      <c r="N406" s="247"/>
      <c r="O406" s="247"/>
      <c r="P406" s="247"/>
      <c r="Q406" s="247"/>
      <c r="R406" s="247"/>
      <c r="S406" s="247"/>
      <c r="T406" s="247"/>
      <c r="U406" s="247"/>
    </row>
    <row r="407" spans="1:21" ht="12.75" hidden="1" x14ac:dyDescent="0.2">
      <c r="A407" s="241"/>
      <c r="B407" s="242"/>
      <c r="C407" s="242"/>
      <c r="D407" s="242"/>
      <c r="E407" s="242"/>
      <c r="F407" s="242"/>
      <c r="G407" s="245"/>
      <c r="H407" s="245"/>
      <c r="I407" s="246"/>
      <c r="J407" s="246"/>
      <c r="K407" s="247"/>
      <c r="L407" s="590"/>
      <c r="M407" s="247"/>
      <c r="N407" s="247"/>
      <c r="O407" s="247"/>
      <c r="P407" s="247"/>
      <c r="Q407" s="247"/>
      <c r="R407" s="247"/>
      <c r="S407" s="247"/>
      <c r="T407" s="247"/>
      <c r="U407" s="247"/>
    </row>
    <row r="408" spans="1:21" ht="12.75" hidden="1" x14ac:dyDescent="0.2">
      <c r="A408" s="241"/>
      <c r="B408" s="242"/>
      <c r="C408" s="242"/>
      <c r="D408" s="242"/>
      <c r="E408" s="242"/>
      <c r="F408" s="242"/>
      <c r="G408" s="245"/>
      <c r="H408" s="245"/>
      <c r="I408" s="246"/>
      <c r="J408" s="246"/>
      <c r="K408" s="247"/>
      <c r="L408" s="590"/>
      <c r="M408" s="247"/>
      <c r="N408" s="247"/>
      <c r="O408" s="247"/>
      <c r="P408" s="247"/>
      <c r="Q408" s="247"/>
      <c r="R408" s="247"/>
      <c r="S408" s="247"/>
      <c r="T408" s="247"/>
      <c r="U408" s="247"/>
    </row>
    <row r="409" spans="1:21" ht="12.75" hidden="1" x14ac:dyDescent="0.2">
      <c r="A409" s="241"/>
      <c r="B409" s="242"/>
      <c r="C409" s="242"/>
      <c r="D409" s="242"/>
      <c r="E409" s="242"/>
      <c r="F409" s="242"/>
      <c r="G409" s="245"/>
      <c r="H409" s="245"/>
      <c r="I409" s="246"/>
      <c r="J409" s="246"/>
      <c r="K409" s="247"/>
      <c r="L409" s="590"/>
      <c r="M409" s="247"/>
      <c r="N409" s="247"/>
      <c r="O409" s="247"/>
      <c r="P409" s="247"/>
      <c r="Q409" s="247"/>
      <c r="R409" s="247"/>
      <c r="S409" s="247"/>
      <c r="T409" s="247"/>
      <c r="U409" s="247"/>
    </row>
    <row r="410" spans="1:21" ht="12.75" hidden="1" x14ac:dyDescent="0.2">
      <c r="A410" s="241"/>
      <c r="B410" s="242"/>
      <c r="C410" s="242"/>
      <c r="D410" s="242"/>
      <c r="E410" s="242"/>
      <c r="F410" s="242"/>
      <c r="G410" s="245"/>
      <c r="H410" s="245"/>
      <c r="I410" s="246"/>
      <c r="J410" s="246"/>
      <c r="K410" s="247"/>
      <c r="L410" s="590"/>
      <c r="M410" s="247"/>
      <c r="N410" s="247"/>
      <c r="O410" s="247"/>
      <c r="P410" s="247"/>
      <c r="Q410" s="247"/>
      <c r="R410" s="247"/>
      <c r="S410" s="247"/>
      <c r="T410" s="247"/>
      <c r="U410" s="247"/>
    </row>
    <row r="411" spans="1:21" ht="12.75" hidden="1" x14ac:dyDescent="0.2">
      <c r="A411" s="381"/>
      <c r="B411" s="333"/>
      <c r="C411" s="333"/>
      <c r="D411" s="333"/>
      <c r="E411" s="333"/>
      <c r="F411" s="333"/>
      <c r="G411" s="334"/>
      <c r="H411" s="334"/>
      <c r="I411" s="335"/>
      <c r="J411" s="335"/>
      <c r="K411" s="336"/>
      <c r="L411" s="562"/>
      <c r="M411" s="336"/>
      <c r="N411" s="336"/>
      <c r="O411" s="336"/>
      <c r="P411" s="336"/>
      <c r="Q411" s="336"/>
      <c r="R411" s="336"/>
      <c r="S411" s="336"/>
      <c r="T411" s="336"/>
      <c r="U411" s="336"/>
    </row>
    <row r="412" spans="1:21" ht="19.5" x14ac:dyDescent="0.3">
      <c r="A412" s="305"/>
      <c r="B412" s="322" t="s">
        <v>157</v>
      </c>
      <c r="C412" s="315"/>
      <c r="D412" s="315"/>
      <c r="E412" s="315"/>
      <c r="F412" s="315"/>
      <c r="G412" s="338"/>
      <c r="H412" s="339" t="s">
        <v>46</v>
      </c>
      <c r="I412" s="310">
        <f ca="1">I423</f>
        <v>0</v>
      </c>
      <c r="J412" s="310">
        <f>J423</f>
        <v>0</v>
      </c>
      <c r="K412" s="311">
        <f ca="1">IF(I412&gt;0,J412*100/I412,0)</f>
        <v>0</v>
      </c>
      <c r="L412" s="651"/>
      <c r="M412" s="312"/>
      <c r="N412" s="312"/>
      <c r="O412" s="312"/>
      <c r="P412" s="312"/>
      <c r="Q412" s="312"/>
      <c r="R412" s="312"/>
      <c r="S412" s="312"/>
      <c r="T412" s="312"/>
      <c r="U412" s="312"/>
    </row>
    <row r="413" spans="1:21" ht="19.5" x14ac:dyDescent="0.3">
      <c r="A413" s="128"/>
      <c r="B413" s="159"/>
      <c r="C413" s="386" t="s">
        <v>18</v>
      </c>
      <c r="D413" s="674" t="s">
        <v>19</v>
      </c>
      <c r="E413" s="522"/>
      <c r="F413" s="522"/>
      <c r="G413" s="535"/>
      <c r="H413" s="341" t="s">
        <v>14</v>
      </c>
      <c r="I413" s="45"/>
      <c r="J413" s="45"/>
      <c r="K413" s="46"/>
      <c r="L413" s="550">
        <f ca="1">L414+L415</f>
        <v>40030</v>
      </c>
      <c r="M413" s="132">
        <f ca="1">M414+M415</f>
        <v>40030</v>
      </c>
      <c r="N413" s="132">
        <f ca="1">N414+N415</f>
        <v>0</v>
      </c>
      <c r="O413" s="132">
        <f ca="1">IF(L413&gt;0,N413*100/L413,0)</f>
        <v>0</v>
      </c>
      <c r="P413" s="132">
        <f ca="1">IF(M413&gt;0,N413*100/M413,0)</f>
        <v>0</v>
      </c>
      <c r="Q413" s="132">
        <f ca="1">Q414+Q415</f>
        <v>15820</v>
      </c>
      <c r="R413" s="132">
        <f ca="1">R414+R415</f>
        <v>15820</v>
      </c>
      <c r="S413" s="132">
        <f ca="1">S414+S415</f>
        <v>0</v>
      </c>
      <c r="T413" s="132">
        <f ca="1">IF(Q413&gt;0,S413*100/Q413,0)</f>
        <v>0</v>
      </c>
      <c r="U413" s="132">
        <f ca="1">IF(R413&gt;0,S413*100/R413,0)</f>
        <v>0</v>
      </c>
    </row>
    <row r="414" spans="1:21" ht="18.75" hidden="1" x14ac:dyDescent="0.25">
      <c r="A414" s="128"/>
      <c r="B414" s="159"/>
      <c r="C414" s="159"/>
      <c r="D414" s="342"/>
      <c r="E414" s="343" t="s">
        <v>158</v>
      </c>
      <c r="F414" s="342"/>
      <c r="G414" s="344"/>
      <c r="H414" s="187" t="s">
        <v>14</v>
      </c>
      <c r="I414" s="45"/>
      <c r="J414" s="45"/>
      <c r="K414" s="46"/>
      <c r="L414" s="549">
        <f>L417+L420</f>
        <v>0</v>
      </c>
      <c r="M414" s="49">
        <f>M417+M420</f>
        <v>0</v>
      </c>
      <c r="N414" s="49">
        <f>N417+N420</f>
        <v>0</v>
      </c>
      <c r="O414" s="49">
        <f>IF(L414&gt;0,N414*100/L414,0)</f>
        <v>0</v>
      </c>
      <c r="P414" s="49">
        <f>IF(M414&gt;0,N414*100/M414,0)</f>
        <v>0</v>
      </c>
      <c r="Q414" s="49">
        <f>Q417+Q420</f>
        <v>0</v>
      </c>
      <c r="R414" s="49">
        <f>R417+R420</f>
        <v>0</v>
      </c>
      <c r="S414" s="49">
        <f>S417+S420</f>
        <v>0</v>
      </c>
      <c r="T414" s="49">
        <f>IF(Q414&gt;0,S414*100/Q414,0)</f>
        <v>0</v>
      </c>
      <c r="U414" s="49">
        <f>IF(R414&gt;0,S414*100/R414,0)</f>
        <v>0</v>
      </c>
    </row>
    <row r="415" spans="1:21" ht="18.75" hidden="1" x14ac:dyDescent="0.25">
      <c r="A415" s="128"/>
      <c r="B415" s="159"/>
      <c r="C415" s="159"/>
      <c r="D415" s="159"/>
      <c r="E415" s="218" t="s">
        <v>159</v>
      </c>
      <c r="F415" s="159"/>
      <c r="G415" s="191"/>
      <c r="H415" s="186" t="s">
        <v>14</v>
      </c>
      <c r="I415" s="45"/>
      <c r="J415" s="45"/>
      <c r="K415" s="46"/>
      <c r="L415" s="548">
        <f ca="1">L418+L421</f>
        <v>40030</v>
      </c>
      <c r="M415" s="47">
        <f ca="1">M418+M421</f>
        <v>40030</v>
      </c>
      <c r="N415" s="47">
        <f ca="1">N418+N421</f>
        <v>0</v>
      </c>
      <c r="O415" s="47">
        <f ca="1">IF(L415&gt;0,N415*100/L415,0)</f>
        <v>0</v>
      </c>
      <c r="P415" s="47">
        <f ca="1">IF(M415&gt;0,N415*100/M415,0)</f>
        <v>0</v>
      </c>
      <c r="Q415" s="47">
        <f ca="1">Q418+Q421</f>
        <v>15820</v>
      </c>
      <c r="R415" s="47">
        <f ca="1">R418+R421</f>
        <v>15820</v>
      </c>
      <c r="S415" s="47">
        <f ca="1">S418+S421</f>
        <v>0</v>
      </c>
      <c r="T415" s="47">
        <f ca="1">IF(Q415&gt;0,S415*100/Q415,0)</f>
        <v>0</v>
      </c>
      <c r="U415" s="47">
        <f ca="1">IF(R415&gt;0,S415*100/R415,0)</f>
        <v>0</v>
      </c>
    </row>
    <row r="416" spans="1:21" ht="18.75" x14ac:dyDescent="0.25">
      <c r="A416" s="128"/>
      <c r="B416" s="159"/>
      <c r="C416" s="159"/>
      <c r="D416" s="649" t="s">
        <v>22</v>
      </c>
      <c r="E416" s="159"/>
      <c r="F416" s="159"/>
      <c r="G416" s="191"/>
      <c r="H416" s="186" t="s">
        <v>14</v>
      </c>
      <c r="I416" s="45"/>
      <c r="J416" s="45"/>
      <c r="K416" s="46"/>
      <c r="L416" s="548">
        <f ca="1">L417+L418</f>
        <v>40030</v>
      </c>
      <c r="M416" s="47">
        <f ca="1">M417+M418</f>
        <v>40030</v>
      </c>
      <c r="N416" s="47">
        <f ca="1">N417+N418</f>
        <v>0</v>
      </c>
      <c r="O416" s="47">
        <f ca="1">IF(L416&gt;0,N416*100/L416,0)</f>
        <v>0</v>
      </c>
      <c r="P416" s="47">
        <f ca="1">IF(M416&gt;0,N416*100/M416,0)</f>
        <v>0</v>
      </c>
      <c r="Q416" s="47">
        <f ca="1">Q417+Q418</f>
        <v>15820</v>
      </c>
      <c r="R416" s="47">
        <f ca="1">R417+R418</f>
        <v>15820</v>
      </c>
      <c r="S416" s="47">
        <f ca="1">S417+S418</f>
        <v>0</v>
      </c>
      <c r="T416" s="47">
        <f ca="1">IF(Q416&gt;0,S416*100/Q416,0)</f>
        <v>0</v>
      </c>
      <c r="U416" s="47">
        <f ca="1">IF(R416&gt;0,S416*100/R416,0)</f>
        <v>0</v>
      </c>
    </row>
    <row r="417" spans="1:21" ht="18.75" hidden="1" x14ac:dyDescent="0.25">
      <c r="A417" s="128"/>
      <c r="B417" s="159"/>
      <c r="C417" s="159"/>
      <c r="D417" s="159"/>
      <c r="E417" s="345" t="s">
        <v>158</v>
      </c>
      <c r="F417" s="159"/>
      <c r="G417" s="191"/>
      <c r="H417" s="187" t="s">
        <v>14</v>
      </c>
      <c r="I417" s="45"/>
      <c r="J417" s="45"/>
      <c r="K417" s="46"/>
      <c r="L417" s="549">
        <v>0</v>
      </c>
      <c r="M417" s="49">
        <v>0</v>
      </c>
      <c r="N417" s="49">
        <v>0</v>
      </c>
      <c r="O417" s="49">
        <f>IF(L417&gt;0,N417*100/L417,0)</f>
        <v>0</v>
      </c>
      <c r="P417" s="49">
        <f>IF(M417&gt;0,N417*100/M417,0)</f>
        <v>0</v>
      </c>
      <c r="Q417" s="49">
        <v>0</v>
      </c>
      <c r="R417" s="49">
        <v>0</v>
      </c>
      <c r="S417" s="49">
        <v>0</v>
      </c>
      <c r="T417" s="49">
        <f>IF(Q417&gt;0,S417*100/Q417,0)</f>
        <v>0</v>
      </c>
      <c r="U417" s="49">
        <f>IF(R417&gt;0,S417*100/R417,0)</f>
        <v>0</v>
      </c>
    </row>
    <row r="418" spans="1:21" ht="18.75" hidden="1" x14ac:dyDescent="0.25">
      <c r="A418" s="128"/>
      <c r="B418" s="159"/>
      <c r="C418" s="159"/>
      <c r="D418" s="159"/>
      <c r="E418" s="218" t="s">
        <v>159</v>
      </c>
      <c r="F418" s="159"/>
      <c r="G418" s="191"/>
      <c r="H418" s="186" t="s">
        <v>14</v>
      </c>
      <c r="I418" s="45"/>
      <c r="J418" s="45"/>
      <c r="K418" s="46"/>
      <c r="L418" s="548">
        <f ca="1">IFERROR(__xludf.DUMMYFUNCTION("IMPORTRANGE(""https://docs.google.com/spreadsheets/d/1-uDff_7J0KD5mKrp0Vvzr7lt3OU09vwQwhkpOPPYv2Y/edit?usp=sharing"",""งบพรบ!IO82"")"),40030)</f>
        <v>40030</v>
      </c>
      <c r="M418" s="47">
        <f ca="1">IFERROR(__xludf.DUMMYFUNCTION("IMPORTRANGE(""https://docs.google.com/spreadsheets/d/1-uDff_7J0KD5mKrp0Vvzr7lt3OU09vwQwhkpOPPYv2Y/edit?usp=sharing"",""งบพรบ!IT82"")"),40030)</f>
        <v>40030</v>
      </c>
      <c r="N418" s="47">
        <f ca="1">IFERROR(__xludf.DUMMYFUNCTION("IMPORTRANGE(""https://docs.google.com/spreadsheets/d/1-uDff_7J0KD5mKrp0Vvzr7lt3OU09vwQwhkpOPPYv2Y/edit?usp=sharing"",""งบพรบ!IV82"")"),0)</f>
        <v>0</v>
      </c>
      <c r="O418" s="47">
        <f ca="1">IF(L418&gt;0,N418*100/L418,0)</f>
        <v>0</v>
      </c>
      <c r="P418" s="47">
        <f ca="1">IF(M418&gt;0,N418*100/M418,0)</f>
        <v>0</v>
      </c>
      <c r="Q418" s="47">
        <f ca="1">IFERROR(__xludf.DUMMYFUNCTION("IMPORTRANGE(""https://docs.google.com/spreadsheets/d/1ItG2mGa2ceCfYo0BwxsXqNm01IGEUdYcSSLTEv9YCik/edit?usp=sharing"",""เบิกจ่ายกองทุน!BZ82"")"),15820)</f>
        <v>15820</v>
      </c>
      <c r="R418" s="47">
        <f ca="1">IFERROR(__xludf.DUMMYFUNCTION("IMPORTRANGE(""https://docs.google.com/spreadsheets/d/1ItG2mGa2ceCfYo0BwxsXqNm01IGEUdYcSSLTEv9YCik/edit?usp=sharing"",""เบิกจ่ายกองทุน!CA82"")"),15820)</f>
        <v>15820</v>
      </c>
      <c r="S418" s="47">
        <f ca="1">IFERROR(__xludf.DUMMYFUNCTION("IMPORTRANGE(""https://docs.google.com/spreadsheets/d/1ItG2mGa2ceCfYo0BwxsXqNm01IGEUdYcSSLTEv9YCik/edit?usp=sharing"",""เบิกจ่ายกองทุน!CB82"")"),0)</f>
        <v>0</v>
      </c>
      <c r="T418" s="47">
        <f ca="1">IF(Q418&gt;0,S418*100/Q418,0)</f>
        <v>0</v>
      </c>
      <c r="U418" s="47">
        <f ca="1">IF(R418&gt;0,S418*100/R418,0)</f>
        <v>0</v>
      </c>
    </row>
    <row r="419" spans="1:21" ht="18.75" x14ac:dyDescent="0.25">
      <c r="A419" s="128"/>
      <c r="B419" s="159"/>
      <c r="C419" s="159"/>
      <c r="D419" s="649" t="s">
        <v>23</v>
      </c>
      <c r="E419" s="159"/>
      <c r="F419" s="159"/>
      <c r="G419" s="191"/>
      <c r="H419" s="133" t="s">
        <v>14</v>
      </c>
      <c r="I419" s="45"/>
      <c r="J419" s="45"/>
      <c r="K419" s="46"/>
      <c r="L419" s="548">
        <f ca="1">L420+L421</f>
        <v>0</v>
      </c>
      <c r="M419" s="47">
        <f ca="1">M420+M421</f>
        <v>0</v>
      </c>
      <c r="N419" s="47">
        <f ca="1">N420+N421</f>
        <v>0</v>
      </c>
      <c r="O419" s="47">
        <f ca="1">IF(L419&gt;0,N419*100/L419,0)</f>
        <v>0</v>
      </c>
      <c r="P419" s="47">
        <f ca="1">IF(M419&gt;0,N419*100/M419,0)</f>
        <v>0</v>
      </c>
      <c r="Q419" s="47">
        <f>Q420+Q421</f>
        <v>0</v>
      </c>
      <c r="R419" s="47">
        <f>R420+R421</f>
        <v>0</v>
      </c>
      <c r="S419" s="47">
        <f>S420+S421</f>
        <v>0</v>
      </c>
      <c r="T419" s="47">
        <f>IF(Q419&gt;0,S419*100/Q419,0)</f>
        <v>0</v>
      </c>
      <c r="U419" s="47">
        <f>IF(R419&gt;0,S419*100/R419,0)</f>
        <v>0</v>
      </c>
    </row>
    <row r="420" spans="1:21" ht="18.75" hidden="1" x14ac:dyDescent="0.25">
      <c r="A420" s="128"/>
      <c r="B420" s="159"/>
      <c r="C420" s="159"/>
      <c r="D420" s="159"/>
      <c r="E420" s="345" t="s">
        <v>20</v>
      </c>
      <c r="F420" s="159"/>
      <c r="G420" s="191"/>
      <c r="H420" s="187" t="s">
        <v>14</v>
      </c>
      <c r="I420" s="45"/>
      <c r="J420" s="45"/>
      <c r="K420" s="46"/>
      <c r="L420" s="549">
        <v>0</v>
      </c>
      <c r="M420" s="49">
        <v>0</v>
      </c>
      <c r="N420" s="49">
        <v>0</v>
      </c>
      <c r="O420" s="49">
        <f>IF(L420&gt;0,N420*100/L420,0)</f>
        <v>0</v>
      </c>
      <c r="P420" s="49">
        <f>IF(M420&gt;0,N420*100/M420,0)</f>
        <v>0</v>
      </c>
      <c r="Q420" s="49">
        <v>0</v>
      </c>
      <c r="R420" s="49">
        <v>0</v>
      </c>
      <c r="S420" s="49">
        <v>0</v>
      </c>
      <c r="T420" s="49">
        <f>IF(Q420&gt;0,S420*100/Q420,0)</f>
        <v>0</v>
      </c>
      <c r="U420" s="49">
        <f>IF(R420&gt;0,S420*100/R420,0)</f>
        <v>0</v>
      </c>
    </row>
    <row r="421" spans="1:21" ht="18.75" hidden="1" x14ac:dyDescent="0.25">
      <c r="A421" s="128"/>
      <c r="B421" s="159"/>
      <c r="C421" s="159"/>
      <c r="D421" s="159"/>
      <c r="E421" s="218" t="s">
        <v>21</v>
      </c>
      <c r="F421" s="159"/>
      <c r="G421" s="191"/>
      <c r="H421" s="133" t="s">
        <v>14</v>
      </c>
      <c r="I421" s="45"/>
      <c r="J421" s="45"/>
      <c r="K421" s="46"/>
      <c r="L421" s="548">
        <f ca="1">IFERROR(__xludf.DUMMYFUNCTION("IMPORTRANGE(""https://docs.google.com/spreadsheets/d/1-uDff_7J0KD5mKrp0Vvzr7lt3OU09vwQwhkpOPPYv2Y/edit?usp=sharing"",""งบพรบ!IR82"")"),0)</f>
        <v>0</v>
      </c>
      <c r="M421" s="47">
        <f ca="1">IFERROR(__xludf.DUMMYFUNCTION("IMPORTRANGE(""https://docs.google.com/spreadsheets/d/1-uDff_7J0KD5mKrp0Vvzr7lt3OU09vwQwhkpOPPYv2Y/edit?usp=sharing"",""งบพรบ!IU82"")"),0)</f>
        <v>0</v>
      </c>
      <c r="N421" s="47">
        <f ca="1">IFERROR(__xludf.DUMMYFUNCTION("IMPORTRANGE(""https://docs.google.com/spreadsheets/d/1-uDff_7J0KD5mKrp0Vvzr7lt3OU09vwQwhkpOPPYv2Y/edit?usp=sharing"",""งบพรบ!IW82"")"),0)</f>
        <v>0</v>
      </c>
      <c r="O421" s="47">
        <f ca="1">IF(L421&gt;0,N421*100/L421,0)</f>
        <v>0</v>
      </c>
      <c r="P421" s="47">
        <f ca="1">IF(M421&gt;0,N421*100/M421,0)</f>
        <v>0</v>
      </c>
      <c r="Q421" s="47">
        <v>0</v>
      </c>
      <c r="R421" s="47">
        <v>0</v>
      </c>
      <c r="S421" s="47">
        <v>0</v>
      </c>
      <c r="T421" s="47">
        <f>IF(Q421&gt;0,S421*100/Q421,0)</f>
        <v>0</v>
      </c>
      <c r="U421" s="47">
        <f>IF(R421&gt;0,S421*100/R421,0)</f>
        <v>0</v>
      </c>
    </row>
    <row r="422" spans="1:21" ht="19.5" x14ac:dyDescent="0.3">
      <c r="A422" s="217"/>
      <c r="B422" s="159"/>
      <c r="C422" s="386" t="s">
        <v>18</v>
      </c>
      <c r="D422" s="673" t="s">
        <v>38</v>
      </c>
      <c r="E422" s="159"/>
      <c r="F422" s="159"/>
      <c r="G422" s="191"/>
      <c r="H422" s="191"/>
      <c r="I422" s="45"/>
      <c r="J422" s="45"/>
      <c r="K422" s="46"/>
      <c r="L422" s="546"/>
      <c r="M422" s="46"/>
      <c r="N422" s="46"/>
      <c r="O422" s="46"/>
      <c r="P422" s="46"/>
      <c r="Q422" s="46"/>
      <c r="R422" s="46"/>
      <c r="S422" s="46"/>
      <c r="T422" s="46"/>
      <c r="U422" s="46"/>
    </row>
    <row r="423" spans="1:21" ht="19.5" hidden="1" x14ac:dyDescent="0.3">
      <c r="A423" s="570"/>
      <c r="B423" s="464" t="s">
        <v>160</v>
      </c>
      <c r="C423" s="463"/>
      <c r="D423" s="463"/>
      <c r="E423" s="463"/>
      <c r="F423" s="463"/>
      <c r="G423" s="474"/>
      <c r="H423" s="670" t="s">
        <v>46</v>
      </c>
      <c r="I423" s="468">
        <f ca="1">I440</f>
        <v>0</v>
      </c>
      <c r="J423" s="672">
        <f>J440</f>
        <v>0</v>
      </c>
      <c r="K423" s="469">
        <f ca="1">IF(I423&gt;0,J423*100/I423,0)</f>
        <v>0</v>
      </c>
      <c r="L423" s="569"/>
      <c r="M423" s="470"/>
      <c r="N423" s="470"/>
      <c r="O423" s="470"/>
      <c r="P423" s="470"/>
      <c r="Q423" s="470"/>
      <c r="R423" s="470"/>
      <c r="S423" s="470"/>
      <c r="T423" s="470"/>
      <c r="U423" s="470"/>
    </row>
    <row r="424" spans="1:21" ht="19.5" hidden="1" x14ac:dyDescent="0.3">
      <c r="A424" s="217"/>
      <c r="B424" s="159"/>
      <c r="C424" s="162" t="s">
        <v>161</v>
      </c>
      <c r="D424" s="159"/>
      <c r="E424" s="159"/>
      <c r="F424" s="159"/>
      <c r="G424" s="191"/>
      <c r="H424" s="131" t="s">
        <v>46</v>
      </c>
      <c r="I424" s="147">
        <f ca="1">IFERROR(__xludf.DUMMYFUNCTION("IMPORTRANGE(""https://docs.google.com/spreadsheets/d/1eHaY18a8A9IcSdp1K8H6x8fbOy06t2VsZHhMHf-1x7Y/edit?usp=sharing"",""แผน!HJ82"")"),0)</f>
        <v>0</v>
      </c>
      <c r="J424" s="669">
        <f>J426+J428+J430</f>
        <v>0</v>
      </c>
      <c r="K424" s="132">
        <f ca="1">IF(I424&gt;0,J424*100/I424,0)</f>
        <v>0</v>
      </c>
      <c r="L424" s="546"/>
      <c r="M424" s="46"/>
      <c r="N424" s="46"/>
      <c r="O424" s="46"/>
      <c r="P424" s="46"/>
      <c r="Q424" s="46"/>
      <c r="R424" s="46"/>
      <c r="S424" s="46"/>
      <c r="T424" s="46"/>
      <c r="U424" s="46"/>
    </row>
    <row r="425" spans="1:21" ht="19.5" hidden="1" x14ac:dyDescent="0.3">
      <c r="A425" s="217"/>
      <c r="B425" s="159"/>
      <c r="C425" s="159"/>
      <c r="D425" s="159"/>
      <c r="E425" s="159"/>
      <c r="F425" s="159"/>
      <c r="G425" s="191"/>
      <c r="H425" s="131" t="s">
        <v>34</v>
      </c>
      <c r="I425" s="147">
        <f ca="1">IFERROR(__xludf.DUMMYFUNCTION("IMPORTRANGE(""https://docs.google.com/spreadsheets/d/1eHaY18a8A9IcSdp1K8H6x8fbOy06t2VsZHhMHf-1x7Y/edit?usp=sharing"",""แผน!HK82"")"),0)</f>
        <v>0</v>
      </c>
      <c r="J425" s="669">
        <f>J427+J429+J431</f>
        <v>0</v>
      </c>
      <c r="K425" s="132">
        <f ca="1">IF(I425&gt;0,J425*100/I425,0)</f>
        <v>0</v>
      </c>
      <c r="L425" s="546"/>
      <c r="M425" s="46"/>
      <c r="N425" s="46"/>
      <c r="O425" s="46"/>
      <c r="P425" s="46"/>
      <c r="Q425" s="46"/>
      <c r="R425" s="46"/>
      <c r="S425" s="46"/>
      <c r="T425" s="46"/>
      <c r="U425" s="46"/>
    </row>
    <row r="426" spans="1:21" ht="18.75" hidden="1" x14ac:dyDescent="0.25">
      <c r="A426" s="217"/>
      <c r="B426" s="159"/>
      <c r="C426" s="159"/>
      <c r="D426" s="218" t="s">
        <v>162</v>
      </c>
      <c r="E426" s="159"/>
      <c r="F426" s="159"/>
      <c r="G426" s="191"/>
      <c r="H426" s="133" t="s">
        <v>46</v>
      </c>
      <c r="I426" s="45"/>
      <c r="J426" s="653">
        <v>0</v>
      </c>
      <c r="K426" s="46"/>
      <c r="L426" s="546"/>
      <c r="M426" s="46"/>
      <c r="N426" s="46"/>
      <c r="O426" s="46"/>
      <c r="P426" s="46"/>
      <c r="Q426" s="46"/>
      <c r="R426" s="46"/>
      <c r="S426" s="46"/>
      <c r="T426" s="46"/>
      <c r="U426" s="46"/>
    </row>
    <row r="427" spans="1:21" ht="18.75" hidden="1" x14ac:dyDescent="0.25">
      <c r="A427" s="217"/>
      <c r="B427" s="159"/>
      <c r="C427" s="159"/>
      <c r="D427" s="159"/>
      <c r="E427" s="159"/>
      <c r="F427" s="159"/>
      <c r="G427" s="191"/>
      <c r="H427" s="133" t="s">
        <v>34</v>
      </c>
      <c r="I427" s="45"/>
      <c r="J427" s="653">
        <v>0</v>
      </c>
      <c r="K427" s="46"/>
      <c r="L427" s="546"/>
      <c r="M427" s="46"/>
      <c r="N427" s="46"/>
      <c r="O427" s="46"/>
      <c r="P427" s="46"/>
      <c r="Q427" s="46"/>
      <c r="R427" s="46"/>
      <c r="S427" s="46"/>
      <c r="T427" s="46"/>
      <c r="U427" s="46"/>
    </row>
    <row r="428" spans="1:21" ht="18.75" hidden="1" x14ac:dyDescent="0.25">
      <c r="A428" s="217"/>
      <c r="B428" s="159"/>
      <c r="C428" s="159"/>
      <c r="D428" s="218" t="s">
        <v>163</v>
      </c>
      <c r="E428" s="159"/>
      <c r="F428" s="159"/>
      <c r="G428" s="191"/>
      <c r="H428" s="133" t="s">
        <v>46</v>
      </c>
      <c r="I428" s="45"/>
      <c r="J428" s="653">
        <v>0</v>
      </c>
      <c r="K428" s="46"/>
      <c r="L428" s="546"/>
      <c r="M428" s="46"/>
      <c r="N428" s="46"/>
      <c r="O428" s="46"/>
      <c r="P428" s="46"/>
      <c r="Q428" s="46"/>
      <c r="R428" s="46"/>
      <c r="S428" s="46"/>
      <c r="T428" s="46"/>
      <c r="U428" s="46"/>
    </row>
    <row r="429" spans="1:21" ht="18.75" hidden="1" x14ac:dyDescent="0.25">
      <c r="A429" s="217"/>
      <c r="B429" s="159"/>
      <c r="C429" s="159"/>
      <c r="D429" s="159"/>
      <c r="E429" s="159"/>
      <c r="F429" s="159"/>
      <c r="G429" s="191"/>
      <c r="H429" s="133" t="s">
        <v>34</v>
      </c>
      <c r="I429" s="45"/>
      <c r="J429" s="653">
        <v>0</v>
      </c>
      <c r="K429" s="46"/>
      <c r="L429" s="546"/>
      <c r="M429" s="46"/>
      <c r="N429" s="46"/>
      <c r="O429" s="46"/>
      <c r="P429" s="46"/>
      <c r="Q429" s="46"/>
      <c r="R429" s="46"/>
      <c r="S429" s="46"/>
      <c r="T429" s="46"/>
      <c r="U429" s="46"/>
    </row>
    <row r="430" spans="1:21" ht="18.75" hidden="1" x14ac:dyDescent="0.25">
      <c r="A430" s="217"/>
      <c r="B430" s="159"/>
      <c r="C430" s="159"/>
      <c r="D430" s="218" t="s">
        <v>164</v>
      </c>
      <c r="E430" s="159"/>
      <c r="F430" s="159"/>
      <c r="G430" s="191"/>
      <c r="H430" s="133" t="s">
        <v>46</v>
      </c>
      <c r="I430" s="45"/>
      <c r="J430" s="653">
        <v>0</v>
      </c>
      <c r="K430" s="46"/>
      <c r="L430" s="546"/>
      <c r="M430" s="46"/>
      <c r="N430" s="46"/>
      <c r="O430" s="46"/>
      <c r="P430" s="46"/>
      <c r="Q430" s="46"/>
      <c r="R430" s="46"/>
      <c r="S430" s="46"/>
      <c r="T430" s="46"/>
      <c r="U430" s="46"/>
    </row>
    <row r="431" spans="1:21" ht="18.75" hidden="1" x14ac:dyDescent="0.25">
      <c r="A431" s="217"/>
      <c r="B431" s="159"/>
      <c r="C431" s="159"/>
      <c r="D431" s="159"/>
      <c r="E431" s="159"/>
      <c r="F431" s="159"/>
      <c r="G431" s="191"/>
      <c r="H431" s="133" t="s">
        <v>34</v>
      </c>
      <c r="I431" s="45"/>
      <c r="J431" s="653">
        <v>0</v>
      </c>
      <c r="K431" s="46"/>
      <c r="L431" s="546"/>
      <c r="M431" s="46"/>
      <c r="N431" s="46"/>
      <c r="O431" s="46"/>
      <c r="P431" s="46"/>
      <c r="Q431" s="46"/>
      <c r="R431" s="46"/>
      <c r="S431" s="46"/>
      <c r="T431" s="46"/>
      <c r="U431" s="46"/>
    </row>
    <row r="432" spans="1:21" ht="19.5" hidden="1" x14ac:dyDescent="0.3">
      <c r="A432" s="217"/>
      <c r="B432" s="159"/>
      <c r="C432" s="162" t="s">
        <v>165</v>
      </c>
      <c r="D432" s="159"/>
      <c r="E432" s="159"/>
      <c r="F432" s="159"/>
      <c r="G432" s="191"/>
      <c r="H432" s="131" t="s">
        <v>46</v>
      </c>
      <c r="I432" s="147">
        <f ca="1">IFERROR(__xludf.DUMMYFUNCTION("IMPORTRANGE(""https://docs.google.com/spreadsheets/d/1eHaY18a8A9IcSdp1K8H6x8fbOy06t2VsZHhMHf-1x7Y/edit?usp=sharing"",""แผน!HJ82"")"),0)</f>
        <v>0</v>
      </c>
      <c r="J432" s="669">
        <f>J434+J436+J438</f>
        <v>0</v>
      </c>
      <c r="K432" s="132">
        <f ca="1">IF(I432&gt;0,J432*100/I432,0)</f>
        <v>0</v>
      </c>
      <c r="L432" s="546"/>
      <c r="M432" s="46"/>
      <c r="N432" s="46"/>
      <c r="O432" s="46"/>
      <c r="P432" s="46"/>
      <c r="Q432" s="46"/>
      <c r="R432" s="46"/>
      <c r="S432" s="46"/>
      <c r="T432" s="46"/>
      <c r="U432" s="46"/>
    </row>
    <row r="433" spans="1:21" ht="19.5" hidden="1" x14ac:dyDescent="0.3">
      <c r="A433" s="217"/>
      <c r="B433" s="159"/>
      <c r="C433" s="159"/>
      <c r="D433" s="159"/>
      <c r="E433" s="159"/>
      <c r="F433" s="159"/>
      <c r="G433" s="191"/>
      <c r="H433" s="131" t="s">
        <v>34</v>
      </c>
      <c r="I433" s="147">
        <f ca="1">IFERROR(__xludf.DUMMYFUNCTION("IMPORTRANGE(""https://docs.google.com/spreadsheets/d/1eHaY18a8A9IcSdp1K8H6x8fbOy06t2VsZHhMHf-1x7Y/edit?usp=sharing"",""แผน!HK82"")"),0)</f>
        <v>0</v>
      </c>
      <c r="J433" s="669">
        <f>J435+J437+J439</f>
        <v>0</v>
      </c>
      <c r="K433" s="132">
        <f ca="1">IF(I433&gt;0,J433*100/I433,0)</f>
        <v>0</v>
      </c>
      <c r="L433" s="546"/>
      <c r="M433" s="46"/>
      <c r="N433" s="46"/>
      <c r="O433" s="46"/>
      <c r="P433" s="46"/>
      <c r="Q433" s="46"/>
      <c r="R433" s="46"/>
      <c r="S433" s="46"/>
      <c r="T433" s="46"/>
      <c r="U433" s="46"/>
    </row>
    <row r="434" spans="1:21" ht="18.75" hidden="1" x14ac:dyDescent="0.25">
      <c r="A434" s="217"/>
      <c r="B434" s="159"/>
      <c r="C434" s="159"/>
      <c r="D434" s="218" t="s">
        <v>166</v>
      </c>
      <c r="E434" s="159"/>
      <c r="F434" s="159"/>
      <c r="G434" s="191"/>
      <c r="H434" s="133" t="s">
        <v>46</v>
      </c>
      <c r="I434" s="45"/>
      <c r="J434" s="653">
        <v>0</v>
      </c>
      <c r="K434" s="46"/>
      <c r="L434" s="546"/>
      <c r="M434" s="46"/>
      <c r="N434" s="46"/>
      <c r="O434" s="46"/>
      <c r="P434" s="46"/>
      <c r="Q434" s="46"/>
      <c r="R434" s="46"/>
      <c r="S434" s="46"/>
      <c r="T434" s="46"/>
      <c r="U434" s="46"/>
    </row>
    <row r="435" spans="1:21" ht="18.75" hidden="1" x14ac:dyDescent="0.25">
      <c r="A435" s="217"/>
      <c r="B435" s="159"/>
      <c r="C435" s="159"/>
      <c r="D435" s="159"/>
      <c r="E435" s="159"/>
      <c r="F435" s="159"/>
      <c r="G435" s="191"/>
      <c r="H435" s="133" t="s">
        <v>34</v>
      </c>
      <c r="I435" s="45"/>
      <c r="J435" s="653">
        <v>0</v>
      </c>
      <c r="K435" s="46"/>
      <c r="L435" s="546"/>
      <c r="M435" s="46"/>
      <c r="N435" s="46"/>
      <c r="O435" s="46"/>
      <c r="P435" s="46"/>
      <c r="Q435" s="46"/>
      <c r="R435" s="46"/>
      <c r="S435" s="46"/>
      <c r="T435" s="46"/>
      <c r="U435" s="46"/>
    </row>
    <row r="436" spans="1:21" ht="18.75" hidden="1" x14ac:dyDescent="0.25">
      <c r="A436" s="217"/>
      <c r="B436" s="159"/>
      <c r="C436" s="159"/>
      <c r="D436" s="218" t="s">
        <v>167</v>
      </c>
      <c r="E436" s="159"/>
      <c r="F436" s="159"/>
      <c r="G436" s="191"/>
      <c r="H436" s="133" t="s">
        <v>46</v>
      </c>
      <c r="I436" s="45"/>
      <c r="J436" s="653">
        <v>0</v>
      </c>
      <c r="K436" s="46"/>
      <c r="L436" s="546"/>
      <c r="M436" s="46"/>
      <c r="N436" s="46"/>
      <c r="O436" s="46"/>
      <c r="P436" s="46"/>
      <c r="Q436" s="46"/>
      <c r="R436" s="46"/>
      <c r="S436" s="46"/>
      <c r="T436" s="46"/>
      <c r="U436" s="46"/>
    </row>
    <row r="437" spans="1:21" ht="18.75" hidden="1" x14ac:dyDescent="0.25">
      <c r="A437" s="217"/>
      <c r="B437" s="159"/>
      <c r="C437" s="159"/>
      <c r="D437" s="159"/>
      <c r="E437" s="159"/>
      <c r="F437" s="159"/>
      <c r="G437" s="191"/>
      <c r="H437" s="133" t="s">
        <v>34</v>
      </c>
      <c r="I437" s="45"/>
      <c r="J437" s="653">
        <v>0</v>
      </c>
      <c r="K437" s="46"/>
      <c r="L437" s="546"/>
      <c r="M437" s="46"/>
      <c r="N437" s="46"/>
      <c r="O437" s="46"/>
      <c r="P437" s="46"/>
      <c r="Q437" s="46"/>
      <c r="R437" s="46"/>
      <c r="S437" s="46"/>
      <c r="T437" s="46"/>
      <c r="U437" s="46"/>
    </row>
    <row r="438" spans="1:21" ht="18.75" hidden="1" x14ac:dyDescent="0.25">
      <c r="A438" s="217"/>
      <c r="B438" s="159"/>
      <c r="C438" s="159"/>
      <c r="D438" s="218" t="s">
        <v>168</v>
      </c>
      <c r="E438" s="159"/>
      <c r="F438" s="159"/>
      <c r="G438" s="191"/>
      <c r="H438" s="133" t="s">
        <v>46</v>
      </c>
      <c r="I438" s="45"/>
      <c r="J438" s="653">
        <v>0</v>
      </c>
      <c r="K438" s="46"/>
      <c r="L438" s="546"/>
      <c r="M438" s="46"/>
      <c r="N438" s="46"/>
      <c r="O438" s="46"/>
      <c r="P438" s="46"/>
      <c r="Q438" s="46"/>
      <c r="R438" s="46"/>
      <c r="S438" s="46"/>
      <c r="T438" s="46"/>
      <c r="U438" s="46"/>
    </row>
    <row r="439" spans="1:21" ht="18.75" hidden="1" x14ac:dyDescent="0.25">
      <c r="A439" s="217"/>
      <c r="B439" s="159"/>
      <c r="C439" s="159"/>
      <c r="D439" s="159"/>
      <c r="E439" s="159"/>
      <c r="F439" s="159"/>
      <c r="G439" s="191"/>
      <c r="H439" s="133" t="s">
        <v>34</v>
      </c>
      <c r="I439" s="45"/>
      <c r="J439" s="653">
        <v>0</v>
      </c>
      <c r="K439" s="46"/>
      <c r="L439" s="546"/>
      <c r="M439" s="46"/>
      <c r="N439" s="46"/>
      <c r="O439" s="46"/>
      <c r="P439" s="46"/>
      <c r="Q439" s="46"/>
      <c r="R439" s="46"/>
      <c r="S439" s="46"/>
      <c r="T439" s="46"/>
      <c r="U439" s="46"/>
    </row>
    <row r="440" spans="1:21" ht="19.5" hidden="1" x14ac:dyDescent="0.3">
      <c r="A440" s="217"/>
      <c r="B440" s="159"/>
      <c r="C440" s="162" t="s">
        <v>169</v>
      </c>
      <c r="D440" s="159"/>
      <c r="E440" s="159"/>
      <c r="F440" s="159"/>
      <c r="G440" s="191"/>
      <c r="H440" s="131" t="s">
        <v>46</v>
      </c>
      <c r="I440" s="147">
        <f ca="1">IFERROR(__xludf.DUMMYFUNCTION("IMPORTRANGE(""https://docs.google.com/spreadsheets/d/1eHaY18a8A9IcSdp1K8H6x8fbOy06t2VsZHhMHf-1x7Y/edit?usp=sharing"",""แผน!HJ82"")"),0)</f>
        <v>0</v>
      </c>
      <c r="J440" s="669">
        <f>J442+J444+J446+J452+J454</f>
        <v>0</v>
      </c>
      <c r="K440" s="132">
        <f ca="1">IF(I440&gt;0,J440*100/I440,0)</f>
        <v>0</v>
      </c>
      <c r="L440" s="546"/>
      <c r="M440" s="46"/>
      <c r="N440" s="46"/>
      <c r="O440" s="46"/>
      <c r="P440" s="46"/>
      <c r="Q440" s="46"/>
      <c r="R440" s="46"/>
      <c r="S440" s="46"/>
      <c r="T440" s="46"/>
      <c r="U440" s="46"/>
    </row>
    <row r="441" spans="1:21" ht="19.5" hidden="1" x14ac:dyDescent="0.3">
      <c r="A441" s="217"/>
      <c r="B441" s="159"/>
      <c r="C441" s="159"/>
      <c r="D441" s="159"/>
      <c r="E441" s="159"/>
      <c r="F441" s="159"/>
      <c r="G441" s="191"/>
      <c r="H441" s="131" t="s">
        <v>34</v>
      </c>
      <c r="I441" s="147">
        <f ca="1">IFERROR(__xludf.DUMMYFUNCTION("IMPORTRANGE(""https://docs.google.com/spreadsheets/d/1eHaY18a8A9IcSdp1K8H6x8fbOy06t2VsZHhMHf-1x7Y/edit?usp=sharing"",""แผน!HK82"")"),0)</f>
        <v>0</v>
      </c>
      <c r="J441" s="669">
        <f>J443+J445+J447+J453+J455</f>
        <v>0</v>
      </c>
      <c r="K441" s="132">
        <f ca="1">IF(I441&gt;0,J441*100/I441,0)</f>
        <v>0</v>
      </c>
      <c r="L441" s="546"/>
      <c r="M441" s="46"/>
      <c r="N441" s="46"/>
      <c r="O441" s="46"/>
      <c r="P441" s="46"/>
      <c r="Q441" s="46"/>
      <c r="R441" s="46"/>
      <c r="S441" s="46"/>
      <c r="T441" s="46"/>
      <c r="U441" s="46"/>
    </row>
    <row r="442" spans="1:21" ht="18.75" hidden="1" x14ac:dyDescent="0.25">
      <c r="A442" s="217"/>
      <c r="B442" s="159"/>
      <c r="C442" s="159"/>
      <c r="D442" s="218" t="s">
        <v>170</v>
      </c>
      <c r="E442" s="159"/>
      <c r="F442" s="159"/>
      <c r="G442" s="191"/>
      <c r="H442" s="133" t="s">
        <v>46</v>
      </c>
      <c r="I442" s="45"/>
      <c r="J442" s="653">
        <v>0</v>
      </c>
      <c r="K442" s="46"/>
      <c r="L442" s="546"/>
      <c r="M442" s="46"/>
      <c r="N442" s="46"/>
      <c r="O442" s="46"/>
      <c r="P442" s="46"/>
      <c r="Q442" s="46"/>
      <c r="R442" s="46"/>
      <c r="S442" s="46"/>
      <c r="T442" s="46"/>
      <c r="U442" s="46"/>
    </row>
    <row r="443" spans="1:21" ht="18.75" hidden="1" x14ac:dyDescent="0.25">
      <c r="A443" s="217"/>
      <c r="B443" s="159"/>
      <c r="C443" s="159"/>
      <c r="D443" s="159"/>
      <c r="E443" s="159"/>
      <c r="F443" s="159"/>
      <c r="G443" s="191"/>
      <c r="H443" s="133" t="s">
        <v>34</v>
      </c>
      <c r="I443" s="45"/>
      <c r="J443" s="653">
        <v>0</v>
      </c>
      <c r="K443" s="46"/>
      <c r="L443" s="546"/>
      <c r="M443" s="46"/>
      <c r="N443" s="46"/>
      <c r="O443" s="46"/>
      <c r="P443" s="46"/>
      <c r="Q443" s="46"/>
      <c r="R443" s="46"/>
      <c r="S443" s="46"/>
      <c r="T443" s="46"/>
      <c r="U443" s="46"/>
    </row>
    <row r="444" spans="1:21" ht="18.75" hidden="1" x14ac:dyDescent="0.25">
      <c r="A444" s="217"/>
      <c r="B444" s="159"/>
      <c r="C444" s="159"/>
      <c r="D444" s="218" t="s">
        <v>171</v>
      </c>
      <c r="E444" s="159"/>
      <c r="F444" s="159"/>
      <c r="G444" s="191"/>
      <c r="H444" s="133" t="s">
        <v>46</v>
      </c>
      <c r="I444" s="45"/>
      <c r="J444" s="653">
        <v>0</v>
      </c>
      <c r="K444" s="46"/>
      <c r="L444" s="546"/>
      <c r="M444" s="46"/>
      <c r="N444" s="46"/>
      <c r="O444" s="46"/>
      <c r="P444" s="46"/>
      <c r="Q444" s="46"/>
      <c r="R444" s="46"/>
      <c r="S444" s="46"/>
      <c r="T444" s="46"/>
      <c r="U444" s="46"/>
    </row>
    <row r="445" spans="1:21" ht="18.75" hidden="1" x14ac:dyDescent="0.25">
      <c r="A445" s="217"/>
      <c r="B445" s="159"/>
      <c r="C445" s="159"/>
      <c r="D445" s="159"/>
      <c r="E445" s="159"/>
      <c r="F445" s="159"/>
      <c r="G445" s="191"/>
      <c r="H445" s="133" t="s">
        <v>34</v>
      </c>
      <c r="I445" s="45"/>
      <c r="J445" s="653">
        <v>0</v>
      </c>
      <c r="K445" s="46"/>
      <c r="L445" s="546"/>
      <c r="M445" s="46"/>
      <c r="N445" s="46"/>
      <c r="O445" s="46"/>
      <c r="P445" s="46"/>
      <c r="Q445" s="46"/>
      <c r="R445" s="46"/>
      <c r="S445" s="46"/>
      <c r="T445" s="46"/>
      <c r="U445" s="46"/>
    </row>
    <row r="446" spans="1:21" ht="19.5" hidden="1" x14ac:dyDescent="0.3">
      <c r="A446" s="217"/>
      <c r="B446" s="159"/>
      <c r="C446" s="159"/>
      <c r="D446" s="218" t="s">
        <v>172</v>
      </c>
      <c r="E446" s="159"/>
      <c r="F446" s="159"/>
      <c r="G446" s="191"/>
      <c r="H446" s="133" t="s">
        <v>46</v>
      </c>
      <c r="I446" s="45"/>
      <c r="J446" s="669">
        <f>J448+J450</f>
        <v>0</v>
      </c>
      <c r="K446" s="46"/>
      <c r="L446" s="546"/>
      <c r="M446" s="46"/>
      <c r="N446" s="46"/>
      <c r="O446" s="46"/>
      <c r="P446" s="46"/>
      <c r="Q446" s="46"/>
      <c r="R446" s="46"/>
      <c r="S446" s="46"/>
      <c r="T446" s="46"/>
      <c r="U446" s="46"/>
    </row>
    <row r="447" spans="1:21" ht="19.5" hidden="1" x14ac:dyDescent="0.3">
      <c r="A447" s="217"/>
      <c r="B447" s="159"/>
      <c r="C447" s="159"/>
      <c r="D447" s="159"/>
      <c r="E447" s="159"/>
      <c r="F447" s="159"/>
      <c r="G447" s="191"/>
      <c r="H447" s="133" t="s">
        <v>34</v>
      </c>
      <c r="I447" s="45"/>
      <c r="J447" s="669">
        <f>J449+J451</f>
        <v>0</v>
      </c>
      <c r="K447" s="46"/>
      <c r="L447" s="546"/>
      <c r="M447" s="46"/>
      <c r="N447" s="46"/>
      <c r="O447" s="46"/>
      <c r="P447" s="46"/>
      <c r="Q447" s="46"/>
      <c r="R447" s="46"/>
      <c r="S447" s="46"/>
      <c r="T447" s="46"/>
      <c r="U447" s="46"/>
    </row>
    <row r="448" spans="1:21" ht="18.75" hidden="1" x14ac:dyDescent="0.25">
      <c r="A448" s="217"/>
      <c r="B448" s="159"/>
      <c r="C448" s="159"/>
      <c r="D448" s="159"/>
      <c r="E448" s="218" t="s">
        <v>173</v>
      </c>
      <c r="F448" s="159"/>
      <c r="G448" s="191"/>
      <c r="H448" s="133" t="s">
        <v>46</v>
      </c>
      <c r="I448" s="45"/>
      <c r="J448" s="653">
        <v>0</v>
      </c>
      <c r="K448" s="46"/>
      <c r="L448" s="546"/>
      <c r="M448" s="46"/>
      <c r="N448" s="46"/>
      <c r="O448" s="46"/>
      <c r="P448" s="46"/>
      <c r="Q448" s="46"/>
      <c r="R448" s="46"/>
      <c r="S448" s="46"/>
      <c r="T448" s="46"/>
      <c r="U448" s="46"/>
    </row>
    <row r="449" spans="1:21" ht="18.75" hidden="1" x14ac:dyDescent="0.25">
      <c r="A449" s="217"/>
      <c r="B449" s="159"/>
      <c r="C449" s="159"/>
      <c r="D449" s="159"/>
      <c r="E449" s="159"/>
      <c r="F449" s="159"/>
      <c r="G449" s="191"/>
      <c r="H449" s="133" t="s">
        <v>34</v>
      </c>
      <c r="I449" s="45"/>
      <c r="J449" s="653">
        <v>0</v>
      </c>
      <c r="K449" s="46"/>
      <c r="L449" s="546"/>
      <c r="M449" s="46"/>
      <c r="N449" s="46"/>
      <c r="O449" s="46"/>
      <c r="P449" s="46"/>
      <c r="Q449" s="46"/>
      <c r="R449" s="46"/>
      <c r="S449" s="46"/>
      <c r="T449" s="46"/>
      <c r="U449" s="46"/>
    </row>
    <row r="450" spans="1:21" ht="18.75" hidden="1" x14ac:dyDescent="0.25">
      <c r="A450" s="217"/>
      <c r="B450" s="159"/>
      <c r="C450" s="159"/>
      <c r="D450" s="159"/>
      <c r="E450" s="218" t="s">
        <v>174</v>
      </c>
      <c r="F450" s="159"/>
      <c r="G450" s="191"/>
      <c r="H450" s="133" t="s">
        <v>46</v>
      </c>
      <c r="I450" s="45"/>
      <c r="J450" s="653">
        <v>0</v>
      </c>
      <c r="K450" s="46"/>
      <c r="L450" s="546"/>
      <c r="M450" s="46"/>
      <c r="N450" s="46"/>
      <c r="O450" s="46"/>
      <c r="P450" s="46"/>
      <c r="Q450" s="46"/>
      <c r="R450" s="46"/>
      <c r="S450" s="46"/>
      <c r="T450" s="46"/>
      <c r="U450" s="46"/>
    </row>
    <row r="451" spans="1:21" ht="18.75" hidden="1" x14ac:dyDescent="0.25">
      <c r="A451" s="217"/>
      <c r="B451" s="159"/>
      <c r="C451" s="159"/>
      <c r="D451" s="159"/>
      <c r="E451" s="159"/>
      <c r="F451" s="159"/>
      <c r="G451" s="191"/>
      <c r="H451" s="133" t="s">
        <v>34</v>
      </c>
      <c r="I451" s="45"/>
      <c r="J451" s="653">
        <v>0</v>
      </c>
      <c r="K451" s="46"/>
      <c r="L451" s="546"/>
      <c r="M451" s="46"/>
      <c r="N451" s="46"/>
      <c r="O451" s="46"/>
      <c r="P451" s="46"/>
      <c r="Q451" s="46"/>
      <c r="R451" s="46"/>
      <c r="S451" s="46"/>
      <c r="T451" s="46"/>
      <c r="U451" s="46"/>
    </row>
    <row r="452" spans="1:21" ht="18.75" hidden="1" x14ac:dyDescent="0.25">
      <c r="A452" s="217"/>
      <c r="B452" s="159"/>
      <c r="C452" s="159"/>
      <c r="D452" s="218" t="s">
        <v>175</v>
      </c>
      <c r="E452" s="159"/>
      <c r="F452" s="159"/>
      <c r="G452" s="191"/>
      <c r="H452" s="133" t="s">
        <v>46</v>
      </c>
      <c r="I452" s="45"/>
      <c r="J452" s="653">
        <v>0</v>
      </c>
      <c r="K452" s="46"/>
      <c r="L452" s="546"/>
      <c r="M452" s="46"/>
      <c r="N452" s="46"/>
      <c r="O452" s="46"/>
      <c r="P452" s="46"/>
      <c r="Q452" s="46"/>
      <c r="R452" s="46"/>
      <c r="S452" s="46"/>
      <c r="T452" s="46"/>
      <c r="U452" s="46"/>
    </row>
    <row r="453" spans="1:21" ht="18.75" hidden="1" x14ac:dyDescent="0.25">
      <c r="A453" s="217"/>
      <c r="B453" s="159"/>
      <c r="C453" s="159"/>
      <c r="D453" s="159"/>
      <c r="E453" s="159"/>
      <c r="F453" s="159"/>
      <c r="G453" s="191"/>
      <c r="H453" s="133" t="s">
        <v>34</v>
      </c>
      <c r="I453" s="45"/>
      <c r="J453" s="653">
        <v>0</v>
      </c>
      <c r="K453" s="46"/>
      <c r="L453" s="546"/>
      <c r="M453" s="46"/>
      <c r="N453" s="46"/>
      <c r="O453" s="46"/>
      <c r="P453" s="46"/>
      <c r="Q453" s="46"/>
      <c r="R453" s="46"/>
      <c r="S453" s="46"/>
      <c r="T453" s="46"/>
      <c r="U453" s="46"/>
    </row>
    <row r="454" spans="1:21" ht="18.75" hidden="1" x14ac:dyDescent="0.25">
      <c r="A454" s="217"/>
      <c r="B454" s="159"/>
      <c r="C454" s="159"/>
      <c r="D454" s="218" t="s">
        <v>176</v>
      </c>
      <c r="E454" s="159"/>
      <c r="F454" s="159"/>
      <c r="G454" s="191"/>
      <c r="H454" s="133" t="s">
        <v>46</v>
      </c>
      <c r="I454" s="45"/>
      <c r="J454" s="671">
        <v>0</v>
      </c>
      <c r="K454" s="46"/>
      <c r="L454" s="546"/>
      <c r="M454" s="46"/>
      <c r="N454" s="46"/>
      <c r="O454" s="46"/>
      <c r="P454" s="46"/>
      <c r="Q454" s="46"/>
      <c r="R454" s="46"/>
      <c r="S454" s="46"/>
      <c r="T454" s="46"/>
      <c r="U454" s="46"/>
    </row>
    <row r="455" spans="1:21" ht="18.75" hidden="1" x14ac:dyDescent="0.25">
      <c r="A455" s="217"/>
      <c r="B455" s="159"/>
      <c r="C455" s="159"/>
      <c r="D455" s="159"/>
      <c r="E455" s="159"/>
      <c r="F455" s="159"/>
      <c r="G455" s="191"/>
      <c r="H455" s="133" t="s">
        <v>34</v>
      </c>
      <c r="I455" s="45"/>
      <c r="J455" s="653">
        <v>0</v>
      </c>
      <c r="K455" s="46"/>
      <c r="L455" s="546"/>
      <c r="M455" s="46"/>
      <c r="N455" s="46"/>
      <c r="O455" s="46"/>
      <c r="P455" s="46"/>
      <c r="Q455" s="46"/>
      <c r="R455" s="46"/>
      <c r="S455" s="46"/>
      <c r="T455" s="46"/>
      <c r="U455" s="46"/>
    </row>
    <row r="456" spans="1:21" ht="19.5" x14ac:dyDescent="0.3">
      <c r="A456" s="570"/>
      <c r="B456" s="464" t="s">
        <v>177</v>
      </c>
      <c r="C456" s="463"/>
      <c r="D456" s="463"/>
      <c r="E456" s="463"/>
      <c r="F456" s="463"/>
      <c r="G456" s="474"/>
      <c r="H456" s="670" t="s">
        <v>46</v>
      </c>
      <c r="I456" s="468">
        <f ca="1">I457</f>
        <v>113</v>
      </c>
      <c r="J456" s="667">
        <f>J457</f>
        <v>0</v>
      </c>
      <c r="K456" s="469">
        <f ca="1">IF(I456&gt;0,J456*100/I456,0)</f>
        <v>0</v>
      </c>
      <c r="L456" s="569"/>
      <c r="M456" s="470"/>
      <c r="N456" s="470"/>
      <c r="O456" s="470"/>
      <c r="P456" s="470"/>
      <c r="Q456" s="470"/>
      <c r="R456" s="470"/>
      <c r="S456" s="470"/>
      <c r="T456" s="470"/>
      <c r="U456" s="470"/>
    </row>
    <row r="457" spans="1:21" ht="19.5" x14ac:dyDescent="0.3">
      <c r="A457" s="217"/>
      <c r="B457" s="159"/>
      <c r="C457" s="162" t="s">
        <v>178</v>
      </c>
      <c r="D457" s="159"/>
      <c r="E457" s="159"/>
      <c r="F457" s="159"/>
      <c r="G457" s="191"/>
      <c r="H457" s="131" t="s">
        <v>46</v>
      </c>
      <c r="I457" s="147">
        <f ca="1">IFERROR(__xludf.DUMMYFUNCTION("IMPORTRANGE(""https://docs.google.com/spreadsheets/d/1eHaY18a8A9IcSdp1K8H6x8fbOy06t2VsZHhMHf-1x7Y/edit?usp=sharing"",""แผน!HL82"")"),113)</f>
        <v>113</v>
      </c>
      <c r="J457" s="669">
        <f>J459+J467+J473</f>
        <v>0</v>
      </c>
      <c r="K457" s="132">
        <f ca="1">IF(I457&gt;0,J457*100/I457,0)</f>
        <v>0</v>
      </c>
      <c r="L457" s="546"/>
      <c r="M457" s="46"/>
      <c r="N457" s="46"/>
      <c r="O457" s="46"/>
      <c r="P457" s="46"/>
      <c r="Q457" s="46"/>
      <c r="R457" s="46"/>
      <c r="S457" s="46"/>
      <c r="T457" s="46"/>
      <c r="U457" s="46"/>
    </row>
    <row r="458" spans="1:21" ht="19.5" x14ac:dyDescent="0.3">
      <c r="A458" s="217"/>
      <c r="B458" s="159"/>
      <c r="C458" s="159"/>
      <c r="D458" s="159"/>
      <c r="E458" s="159"/>
      <c r="F458" s="159"/>
      <c r="G458" s="191"/>
      <c r="H458" s="131" t="s">
        <v>34</v>
      </c>
      <c r="I458" s="147">
        <f ca="1">IFERROR(__xludf.DUMMYFUNCTION("IMPORTRANGE(""https://docs.google.com/spreadsheets/d/1eHaY18a8A9IcSdp1K8H6x8fbOy06t2VsZHhMHf-1x7Y/edit?usp=sharing"",""แผน!HM82"")"),0)</f>
        <v>0</v>
      </c>
      <c r="J458" s="669">
        <f>J460+J468+J474</f>
        <v>0</v>
      </c>
      <c r="K458" s="132">
        <f ca="1">IF(I458&gt;0,J458*100/I458,0)</f>
        <v>0</v>
      </c>
      <c r="L458" s="546"/>
      <c r="M458" s="46"/>
      <c r="N458" s="46"/>
      <c r="O458" s="46"/>
      <c r="P458" s="46"/>
      <c r="Q458" s="46"/>
      <c r="R458" s="46"/>
      <c r="S458" s="46"/>
      <c r="T458" s="46"/>
      <c r="U458" s="46"/>
    </row>
    <row r="459" spans="1:21" ht="18.75" x14ac:dyDescent="0.25">
      <c r="A459" s="217"/>
      <c r="B459" s="159"/>
      <c r="C459" s="218" t="s">
        <v>179</v>
      </c>
      <c r="D459" s="159"/>
      <c r="E459" s="159"/>
      <c r="F459" s="159"/>
      <c r="G459" s="191"/>
      <c r="H459" s="133" t="s">
        <v>46</v>
      </c>
      <c r="I459" s="45"/>
      <c r="J459" s="665">
        <f>J461+J463</f>
        <v>0</v>
      </c>
      <c r="K459" s="46"/>
      <c r="L459" s="546"/>
      <c r="M459" s="46"/>
      <c r="N459" s="46"/>
      <c r="O459" s="46"/>
      <c r="P459" s="46"/>
      <c r="Q459" s="46"/>
      <c r="R459" s="46"/>
      <c r="S459" s="46"/>
      <c r="T459" s="46"/>
      <c r="U459" s="46"/>
    </row>
    <row r="460" spans="1:21" ht="18.75" x14ac:dyDescent="0.25">
      <c r="A460" s="217"/>
      <c r="B460" s="159"/>
      <c r="C460" s="159"/>
      <c r="D460" s="159"/>
      <c r="E460" s="159"/>
      <c r="F460" s="159"/>
      <c r="G460" s="191"/>
      <c r="H460" s="133" t="s">
        <v>34</v>
      </c>
      <c r="I460" s="45"/>
      <c r="J460" s="665">
        <f>J462+J464</f>
        <v>0</v>
      </c>
      <c r="K460" s="46"/>
      <c r="L460" s="546"/>
      <c r="M460" s="46"/>
      <c r="N460" s="46"/>
      <c r="O460" s="46"/>
      <c r="P460" s="46"/>
      <c r="Q460" s="46"/>
      <c r="R460" s="46"/>
      <c r="S460" s="46"/>
      <c r="T460" s="46"/>
      <c r="U460" s="46"/>
    </row>
    <row r="461" spans="1:21" ht="18.75" x14ac:dyDescent="0.25">
      <c r="A461" s="217"/>
      <c r="B461" s="159"/>
      <c r="C461" s="159"/>
      <c r="D461" s="348" t="s">
        <v>180</v>
      </c>
      <c r="E461" s="159"/>
      <c r="F461" s="159"/>
      <c r="G461" s="191"/>
      <c r="H461" s="133" t="s">
        <v>46</v>
      </c>
      <c r="I461" s="45"/>
      <c r="J461" s="653">
        <v>0</v>
      </c>
      <c r="K461" s="46"/>
      <c r="L461" s="546"/>
      <c r="M461" s="46"/>
      <c r="N461" s="46"/>
      <c r="O461" s="46"/>
      <c r="P461" s="46"/>
      <c r="Q461" s="46"/>
      <c r="R461" s="46"/>
      <c r="S461" s="46"/>
      <c r="T461" s="46"/>
      <c r="U461" s="46"/>
    </row>
    <row r="462" spans="1:21" ht="18.75" x14ac:dyDescent="0.25">
      <c r="A462" s="217"/>
      <c r="B462" s="159"/>
      <c r="C462" s="159"/>
      <c r="D462" s="159"/>
      <c r="E462" s="159"/>
      <c r="F462" s="159"/>
      <c r="G462" s="191"/>
      <c r="H462" s="133" t="s">
        <v>34</v>
      </c>
      <c r="I462" s="45"/>
      <c r="J462" s="653">
        <v>0</v>
      </c>
      <c r="K462" s="46"/>
      <c r="L462" s="546"/>
      <c r="M462" s="46"/>
      <c r="N462" s="46"/>
      <c r="O462" s="46"/>
      <c r="P462" s="46"/>
      <c r="Q462" s="46"/>
      <c r="R462" s="46"/>
      <c r="S462" s="46"/>
      <c r="T462" s="46"/>
      <c r="U462" s="46"/>
    </row>
    <row r="463" spans="1:21" ht="18.75" x14ac:dyDescent="0.25">
      <c r="A463" s="217"/>
      <c r="B463" s="159"/>
      <c r="C463" s="159"/>
      <c r="D463" s="348" t="s">
        <v>181</v>
      </c>
      <c r="E463" s="159"/>
      <c r="F463" s="159"/>
      <c r="G463" s="191"/>
      <c r="H463" s="133" t="s">
        <v>46</v>
      </c>
      <c r="I463" s="45"/>
      <c r="J463" s="653">
        <v>0</v>
      </c>
      <c r="K463" s="46"/>
      <c r="L463" s="546"/>
      <c r="M463" s="46"/>
      <c r="N463" s="46"/>
      <c r="O463" s="46"/>
      <c r="P463" s="46"/>
      <c r="Q463" s="46"/>
      <c r="R463" s="46"/>
      <c r="S463" s="46"/>
      <c r="T463" s="46"/>
      <c r="U463" s="46"/>
    </row>
    <row r="464" spans="1:21" ht="18.75" x14ac:dyDescent="0.25">
      <c r="A464" s="217"/>
      <c r="B464" s="159"/>
      <c r="C464" s="159"/>
      <c r="D464" s="159"/>
      <c r="E464" s="159"/>
      <c r="F464" s="159"/>
      <c r="G464" s="191"/>
      <c r="H464" s="133" t="s">
        <v>34</v>
      </c>
      <c r="I464" s="45"/>
      <c r="J464" s="653">
        <v>0</v>
      </c>
      <c r="K464" s="46"/>
      <c r="L464" s="546"/>
      <c r="M464" s="46"/>
      <c r="N464" s="46"/>
      <c r="O464" s="46"/>
      <c r="P464" s="46"/>
      <c r="Q464" s="46"/>
      <c r="R464" s="46"/>
      <c r="S464" s="46"/>
      <c r="T464" s="46"/>
      <c r="U464" s="46"/>
    </row>
    <row r="465" spans="1:21" ht="18.75" x14ac:dyDescent="0.25">
      <c r="A465" s="217"/>
      <c r="B465" s="159"/>
      <c r="C465" s="159"/>
      <c r="D465" s="348" t="s">
        <v>182</v>
      </c>
      <c r="E465" s="159"/>
      <c r="F465" s="159"/>
      <c r="G465" s="191"/>
      <c r="H465" s="133" t="s">
        <v>46</v>
      </c>
      <c r="I465" s="45"/>
      <c r="J465" s="653">
        <v>0</v>
      </c>
      <c r="K465" s="46"/>
      <c r="L465" s="546"/>
      <c r="M465" s="46"/>
      <c r="N465" s="46"/>
      <c r="O465" s="46"/>
      <c r="P465" s="46"/>
      <c r="Q465" s="46"/>
      <c r="R465" s="46"/>
      <c r="S465" s="46"/>
      <c r="T465" s="46"/>
      <c r="U465" s="46"/>
    </row>
    <row r="466" spans="1:21" ht="18.75" x14ac:dyDescent="0.25">
      <c r="A466" s="217"/>
      <c r="B466" s="159"/>
      <c r="C466" s="159"/>
      <c r="D466" s="159"/>
      <c r="E466" s="159"/>
      <c r="F466" s="159"/>
      <c r="G466" s="191"/>
      <c r="H466" s="133" t="s">
        <v>34</v>
      </c>
      <c r="I466" s="45"/>
      <c r="J466" s="653">
        <v>0</v>
      </c>
      <c r="K466" s="46"/>
      <c r="L466" s="546"/>
      <c r="M466" s="46"/>
      <c r="N466" s="46"/>
      <c r="O466" s="46"/>
      <c r="P466" s="46"/>
      <c r="Q466" s="46"/>
      <c r="R466" s="46"/>
      <c r="S466" s="46"/>
      <c r="T466" s="46"/>
      <c r="U466" s="46"/>
    </row>
    <row r="467" spans="1:21" ht="18.75" x14ac:dyDescent="0.25">
      <c r="A467" s="217"/>
      <c r="B467" s="159"/>
      <c r="C467" s="348" t="s">
        <v>183</v>
      </c>
      <c r="D467" s="159"/>
      <c r="E467" s="159"/>
      <c r="F467" s="159"/>
      <c r="G467" s="191"/>
      <c r="H467" s="133" t="s">
        <v>46</v>
      </c>
      <c r="I467" s="45"/>
      <c r="J467" s="665">
        <f>J469+J471</f>
        <v>0</v>
      </c>
      <c r="K467" s="46"/>
      <c r="L467" s="546"/>
      <c r="M467" s="46"/>
      <c r="N467" s="46"/>
      <c r="O467" s="46"/>
      <c r="P467" s="46"/>
      <c r="Q467" s="46"/>
      <c r="R467" s="46"/>
      <c r="S467" s="46"/>
      <c r="T467" s="46"/>
      <c r="U467" s="46"/>
    </row>
    <row r="468" spans="1:21" ht="18.75" x14ac:dyDescent="0.25">
      <c r="A468" s="217"/>
      <c r="B468" s="159"/>
      <c r="C468" s="159"/>
      <c r="D468" s="159"/>
      <c r="E468" s="159"/>
      <c r="F468" s="159"/>
      <c r="G468" s="191"/>
      <c r="H468" s="133" t="s">
        <v>34</v>
      </c>
      <c r="I468" s="45"/>
      <c r="J468" s="665">
        <f>J470+J472</f>
        <v>0</v>
      </c>
      <c r="K468" s="46"/>
      <c r="L468" s="546"/>
      <c r="M468" s="46"/>
      <c r="N468" s="46"/>
      <c r="O468" s="46"/>
      <c r="P468" s="46"/>
      <c r="Q468" s="46"/>
      <c r="R468" s="46"/>
      <c r="S468" s="46"/>
      <c r="T468" s="46"/>
      <c r="U468" s="46"/>
    </row>
    <row r="469" spans="1:21" ht="18.75" x14ac:dyDescent="0.25">
      <c r="A469" s="217"/>
      <c r="B469" s="159"/>
      <c r="C469" s="159"/>
      <c r="D469" s="348" t="s">
        <v>184</v>
      </c>
      <c r="E469" s="159"/>
      <c r="F469" s="159"/>
      <c r="G469" s="191"/>
      <c r="H469" s="133" t="s">
        <v>46</v>
      </c>
      <c r="I469" s="45"/>
      <c r="J469" s="653">
        <v>0</v>
      </c>
      <c r="K469" s="46"/>
      <c r="L469" s="546"/>
      <c r="M469" s="46"/>
      <c r="N469" s="46"/>
      <c r="O469" s="46"/>
      <c r="P469" s="46"/>
      <c r="Q469" s="46"/>
      <c r="R469" s="46"/>
      <c r="S469" s="46"/>
      <c r="T469" s="46"/>
      <c r="U469" s="46"/>
    </row>
    <row r="470" spans="1:21" ht="18.75" x14ac:dyDescent="0.25">
      <c r="A470" s="217"/>
      <c r="B470" s="159"/>
      <c r="C470" s="159"/>
      <c r="D470" s="159"/>
      <c r="E470" s="159"/>
      <c r="F470" s="159"/>
      <c r="G470" s="191"/>
      <c r="H470" s="133" t="s">
        <v>34</v>
      </c>
      <c r="I470" s="45"/>
      <c r="J470" s="653">
        <v>0</v>
      </c>
      <c r="K470" s="46"/>
      <c r="L470" s="546"/>
      <c r="M470" s="46"/>
      <c r="N470" s="46"/>
      <c r="O470" s="46"/>
      <c r="P470" s="46"/>
      <c r="Q470" s="46"/>
      <c r="R470" s="46"/>
      <c r="S470" s="46"/>
      <c r="T470" s="46"/>
      <c r="U470" s="46"/>
    </row>
    <row r="471" spans="1:21" ht="18.75" x14ac:dyDescent="0.25">
      <c r="A471" s="217"/>
      <c r="B471" s="159"/>
      <c r="C471" s="159"/>
      <c r="D471" s="348" t="s">
        <v>185</v>
      </c>
      <c r="E471" s="159"/>
      <c r="F471" s="159"/>
      <c r="G471" s="191"/>
      <c r="H471" s="133" t="s">
        <v>46</v>
      </c>
      <c r="I471" s="45"/>
      <c r="J471" s="653">
        <v>0</v>
      </c>
      <c r="K471" s="46"/>
      <c r="L471" s="546"/>
      <c r="M471" s="46"/>
      <c r="N471" s="46"/>
      <c r="O471" s="46"/>
      <c r="P471" s="46"/>
      <c r="Q471" s="46"/>
      <c r="R471" s="46"/>
      <c r="S471" s="46"/>
      <c r="T471" s="46"/>
      <c r="U471" s="46"/>
    </row>
    <row r="472" spans="1:21" ht="18.75" x14ac:dyDescent="0.25">
      <c r="A472" s="217"/>
      <c r="B472" s="159"/>
      <c r="C472" s="159"/>
      <c r="D472" s="159"/>
      <c r="E472" s="159"/>
      <c r="F472" s="159"/>
      <c r="G472" s="191"/>
      <c r="H472" s="133" t="s">
        <v>34</v>
      </c>
      <c r="I472" s="45"/>
      <c r="J472" s="653">
        <v>0</v>
      </c>
      <c r="K472" s="46"/>
      <c r="L472" s="546"/>
      <c r="M472" s="46"/>
      <c r="N472" s="46"/>
      <c r="O472" s="46"/>
      <c r="P472" s="46"/>
      <c r="Q472" s="46"/>
      <c r="R472" s="46"/>
      <c r="S472" s="46"/>
      <c r="T472" s="46"/>
      <c r="U472" s="46"/>
    </row>
    <row r="473" spans="1:21" ht="18.75" x14ac:dyDescent="0.25">
      <c r="A473" s="217"/>
      <c r="B473" s="159"/>
      <c r="C473" s="218" t="s">
        <v>186</v>
      </c>
      <c r="D473" s="159"/>
      <c r="E473" s="159"/>
      <c r="F473" s="159"/>
      <c r="G473" s="191"/>
      <c r="H473" s="133" t="s">
        <v>46</v>
      </c>
      <c r="I473" s="45"/>
      <c r="J473" s="653">
        <v>0</v>
      </c>
      <c r="K473" s="46"/>
      <c r="L473" s="546"/>
      <c r="M473" s="46"/>
      <c r="N473" s="46"/>
      <c r="O473" s="46"/>
      <c r="P473" s="46"/>
      <c r="Q473" s="46"/>
      <c r="R473" s="46"/>
      <c r="S473" s="46"/>
      <c r="T473" s="46"/>
      <c r="U473" s="46"/>
    </row>
    <row r="474" spans="1:21" ht="18.75" x14ac:dyDescent="0.25">
      <c r="A474" s="217"/>
      <c r="B474" s="159"/>
      <c r="C474" s="159"/>
      <c r="D474" s="159"/>
      <c r="E474" s="159"/>
      <c r="F474" s="159"/>
      <c r="G474" s="191"/>
      <c r="H474" s="133" t="s">
        <v>34</v>
      </c>
      <c r="I474" s="45"/>
      <c r="J474" s="653">
        <v>0</v>
      </c>
      <c r="K474" s="46"/>
      <c r="L474" s="546"/>
      <c r="M474" s="46"/>
      <c r="N474" s="46"/>
      <c r="O474" s="46"/>
      <c r="P474" s="46"/>
      <c r="Q474" s="46"/>
      <c r="R474" s="46"/>
      <c r="S474" s="46"/>
      <c r="T474" s="46"/>
      <c r="U474" s="46"/>
    </row>
    <row r="475" spans="1:21" ht="19.5" hidden="1" x14ac:dyDescent="0.3">
      <c r="A475" s="570"/>
      <c r="B475" s="668" t="s">
        <v>187</v>
      </c>
      <c r="C475" s="463"/>
      <c r="D475" s="463"/>
      <c r="E475" s="463"/>
      <c r="F475" s="463"/>
      <c r="G475" s="474"/>
      <c r="H475" s="467" t="s">
        <v>46</v>
      </c>
      <c r="I475" s="468">
        <v>0</v>
      </c>
      <c r="J475" s="667">
        <f>J478+J480</f>
        <v>0</v>
      </c>
      <c r="K475" s="469">
        <f>IF(I475&gt;0,J475*100/I475,0)</f>
        <v>0</v>
      </c>
      <c r="L475" s="569"/>
      <c r="M475" s="470"/>
      <c r="N475" s="470"/>
      <c r="O475" s="470"/>
      <c r="P475" s="470"/>
      <c r="Q475" s="470"/>
      <c r="R475" s="470"/>
      <c r="S475" s="470"/>
      <c r="T475" s="470"/>
      <c r="U475" s="470"/>
    </row>
    <row r="476" spans="1:21" ht="19.5" hidden="1" x14ac:dyDescent="0.3">
      <c r="A476" s="663"/>
      <c r="B476" s="661"/>
      <c r="C476" s="664" t="s">
        <v>188</v>
      </c>
      <c r="D476" s="661"/>
      <c r="E476" s="661"/>
      <c r="F476" s="661"/>
      <c r="G476" s="660"/>
      <c r="H476" s="659" t="s">
        <v>46</v>
      </c>
      <c r="I476" s="666">
        <v>0</v>
      </c>
      <c r="J476" s="657">
        <f>J478+J480</f>
        <v>0</v>
      </c>
      <c r="K476" s="656">
        <f>IF(I476&gt;0,J476*100/I476,0)</f>
        <v>0</v>
      </c>
      <c r="L476" s="655"/>
      <c r="M476" s="654"/>
      <c r="N476" s="654"/>
      <c r="O476" s="654"/>
      <c r="P476" s="654"/>
      <c r="Q476" s="654"/>
      <c r="R476" s="654"/>
      <c r="S476" s="654"/>
      <c r="T476" s="654"/>
      <c r="U476" s="654"/>
    </row>
    <row r="477" spans="1:21" ht="19.5" hidden="1" x14ac:dyDescent="0.3">
      <c r="A477" s="663"/>
      <c r="B477" s="661"/>
      <c r="C477" s="662" t="s">
        <v>189</v>
      </c>
      <c r="D477" s="661"/>
      <c r="E477" s="661"/>
      <c r="F477" s="661"/>
      <c r="G477" s="660"/>
      <c r="H477" s="659" t="s">
        <v>34</v>
      </c>
      <c r="I477" s="666">
        <v>0</v>
      </c>
      <c r="J477" s="657">
        <f>J479+J481</f>
        <v>0</v>
      </c>
      <c r="K477" s="656">
        <f>IF(I477&gt;0,J477*100/I477,0)</f>
        <v>0</v>
      </c>
      <c r="L477" s="655"/>
      <c r="M477" s="654"/>
      <c r="N477" s="654"/>
      <c r="O477" s="654"/>
      <c r="P477" s="654"/>
      <c r="Q477" s="654"/>
      <c r="R477" s="654"/>
      <c r="S477" s="654"/>
      <c r="T477" s="654"/>
      <c r="U477" s="654"/>
    </row>
    <row r="478" spans="1:21" ht="18.75" hidden="1" x14ac:dyDescent="0.25">
      <c r="A478" s="217"/>
      <c r="B478" s="159"/>
      <c r="C478" s="159"/>
      <c r="D478" s="218" t="s">
        <v>190</v>
      </c>
      <c r="E478" s="159"/>
      <c r="F478" s="159"/>
      <c r="G478" s="191"/>
      <c r="H478" s="133" t="s">
        <v>46</v>
      </c>
      <c r="I478" s="45"/>
      <c r="J478" s="665">
        <v>0</v>
      </c>
      <c r="K478" s="46"/>
      <c r="L478" s="546"/>
      <c r="M478" s="46"/>
      <c r="N478" s="46"/>
      <c r="O478" s="46"/>
      <c r="P478" s="46"/>
      <c r="Q478" s="46"/>
      <c r="R478" s="46"/>
      <c r="S478" s="46"/>
      <c r="T478" s="46"/>
      <c r="U478" s="46"/>
    </row>
    <row r="479" spans="1:21" ht="18.75" hidden="1" x14ac:dyDescent="0.25">
      <c r="A479" s="217"/>
      <c r="B479" s="159"/>
      <c r="C479" s="159"/>
      <c r="D479" s="159"/>
      <c r="E479" s="159"/>
      <c r="F479" s="159"/>
      <c r="G479" s="191"/>
      <c r="H479" s="133" t="s">
        <v>34</v>
      </c>
      <c r="I479" s="45"/>
      <c r="J479" s="665">
        <v>0</v>
      </c>
      <c r="K479" s="46"/>
      <c r="L479" s="546"/>
      <c r="M479" s="46"/>
      <c r="N479" s="46"/>
      <c r="O479" s="46"/>
      <c r="P479" s="46"/>
      <c r="Q479" s="46"/>
      <c r="R479" s="46"/>
      <c r="S479" s="46"/>
      <c r="T479" s="46"/>
      <c r="U479" s="46"/>
    </row>
    <row r="480" spans="1:21" ht="18.75" hidden="1" x14ac:dyDescent="0.25">
      <c r="A480" s="217"/>
      <c r="B480" s="159"/>
      <c r="C480" s="159"/>
      <c r="D480" s="348" t="s">
        <v>191</v>
      </c>
      <c r="E480" s="159"/>
      <c r="F480" s="159"/>
      <c r="G480" s="191"/>
      <c r="H480" s="133" t="s">
        <v>46</v>
      </c>
      <c r="I480" s="45"/>
      <c r="J480" s="665">
        <v>0</v>
      </c>
      <c r="K480" s="46"/>
      <c r="L480" s="546"/>
      <c r="M480" s="46"/>
      <c r="N480" s="46"/>
      <c r="O480" s="46"/>
      <c r="P480" s="46"/>
      <c r="Q480" s="46"/>
      <c r="R480" s="46"/>
      <c r="S480" s="46"/>
      <c r="T480" s="46"/>
      <c r="U480" s="46"/>
    </row>
    <row r="481" spans="1:21" ht="18.75" hidden="1" x14ac:dyDescent="0.25">
      <c r="A481" s="217"/>
      <c r="B481" s="159"/>
      <c r="C481" s="159"/>
      <c r="D481" s="159"/>
      <c r="E481" s="159"/>
      <c r="F481" s="159"/>
      <c r="G481" s="191"/>
      <c r="H481" s="133" t="s">
        <v>34</v>
      </c>
      <c r="I481" s="45"/>
      <c r="J481" s="665">
        <v>0</v>
      </c>
      <c r="K481" s="46"/>
      <c r="L481" s="546"/>
      <c r="M481" s="46"/>
      <c r="N481" s="46"/>
      <c r="O481" s="46"/>
      <c r="P481" s="46"/>
      <c r="Q481" s="46"/>
      <c r="R481" s="46"/>
      <c r="S481" s="46"/>
      <c r="T481" s="46"/>
      <c r="U481" s="46"/>
    </row>
    <row r="482" spans="1:21" ht="18.75" hidden="1" x14ac:dyDescent="0.25">
      <c r="A482" s="217"/>
      <c r="B482" s="159"/>
      <c r="C482" s="159"/>
      <c r="D482" s="348" t="s">
        <v>192</v>
      </c>
      <c r="E482" s="159"/>
      <c r="F482" s="159"/>
      <c r="G482" s="191"/>
      <c r="H482" s="133" t="s">
        <v>46</v>
      </c>
      <c r="I482" s="45"/>
      <c r="J482" s="665">
        <f ca="1">IFERROR(__xludf.DUMMYFUNCTION("IMPORTRANGE(""https://docs.google.com/spreadsheets/d/1eHaY18a8A9IcSdp1K8H6x8fbOy06t2VsZHhMHf-1x7Y/edit?usp=sharing"",""แผน!HN53"")"),0)</f>
        <v>0</v>
      </c>
      <c r="K482" s="46"/>
      <c r="L482" s="546"/>
      <c r="M482" s="46"/>
      <c r="N482" s="46"/>
      <c r="O482" s="46"/>
      <c r="P482" s="46"/>
      <c r="Q482" s="46"/>
      <c r="R482" s="46"/>
      <c r="S482" s="46"/>
      <c r="T482" s="46"/>
      <c r="U482" s="46"/>
    </row>
    <row r="483" spans="1:21" ht="18.75" hidden="1" x14ac:dyDescent="0.25">
      <c r="A483" s="217"/>
      <c r="B483" s="159"/>
      <c r="C483" s="159"/>
      <c r="D483" s="159"/>
      <c r="E483" s="159"/>
      <c r="F483" s="159"/>
      <c r="G483" s="191"/>
      <c r="H483" s="133" t="s">
        <v>34</v>
      </c>
      <c r="I483" s="45"/>
      <c r="J483" s="665">
        <f ca="1">IFERROR(__xludf.DUMMYFUNCTION("IMPORTRANGE(""https://docs.google.com/spreadsheets/d/1eHaY18a8A9IcSdp1K8H6x8fbOy06t2VsZHhMHf-1x7Y/edit?usp=sharing"",""แผน!HO53"")"),0)</f>
        <v>0</v>
      </c>
      <c r="K483" s="46"/>
      <c r="L483" s="546"/>
      <c r="M483" s="46"/>
      <c r="N483" s="46"/>
      <c r="O483" s="46"/>
      <c r="P483" s="46"/>
      <c r="Q483" s="46"/>
      <c r="R483" s="46"/>
      <c r="S483" s="46"/>
      <c r="T483" s="46"/>
      <c r="U483" s="46"/>
    </row>
    <row r="484" spans="1:21" ht="19.5" hidden="1" x14ac:dyDescent="0.3">
      <c r="A484" s="663"/>
      <c r="B484" s="661"/>
      <c r="C484" s="664" t="s">
        <v>193</v>
      </c>
      <c r="D484" s="661"/>
      <c r="E484" s="661"/>
      <c r="F484" s="661"/>
      <c r="G484" s="660"/>
      <c r="H484" s="659" t="s">
        <v>46</v>
      </c>
      <c r="I484" s="658">
        <f>J480</f>
        <v>0</v>
      </c>
      <c r="J484" s="657">
        <f>J486+J488+J490</f>
        <v>0</v>
      </c>
      <c r="K484" s="656">
        <f>IF(I484&gt;0,J484*100/I484,0)</f>
        <v>0</v>
      </c>
      <c r="L484" s="655"/>
      <c r="M484" s="654"/>
      <c r="N484" s="654"/>
      <c r="O484" s="654"/>
      <c r="P484" s="654"/>
      <c r="Q484" s="654"/>
      <c r="R484" s="654"/>
      <c r="S484" s="654"/>
      <c r="T484" s="654"/>
      <c r="U484" s="654"/>
    </row>
    <row r="485" spans="1:21" ht="19.5" hidden="1" x14ac:dyDescent="0.3">
      <c r="A485" s="663"/>
      <c r="B485" s="661"/>
      <c r="C485" s="662" t="s">
        <v>194</v>
      </c>
      <c r="D485" s="661"/>
      <c r="E485" s="661"/>
      <c r="F485" s="661"/>
      <c r="G485" s="660"/>
      <c r="H485" s="659" t="s">
        <v>34</v>
      </c>
      <c r="I485" s="658">
        <f>J481</f>
        <v>0</v>
      </c>
      <c r="J485" s="657">
        <f>J487+J489+J491</f>
        <v>0</v>
      </c>
      <c r="K485" s="656">
        <f>IF(I485&gt;0,J485*100/I485,0)</f>
        <v>0</v>
      </c>
      <c r="L485" s="655"/>
      <c r="M485" s="654"/>
      <c r="N485" s="654"/>
      <c r="O485" s="654"/>
      <c r="P485" s="654"/>
      <c r="Q485" s="654"/>
      <c r="R485" s="654"/>
      <c r="S485" s="654"/>
      <c r="T485" s="654"/>
      <c r="U485" s="654"/>
    </row>
    <row r="486" spans="1:21" ht="18.75" hidden="1" x14ac:dyDescent="0.25">
      <c r="A486" s="217"/>
      <c r="B486" s="159"/>
      <c r="C486" s="159"/>
      <c r="D486" s="348" t="s">
        <v>195</v>
      </c>
      <c r="E486" s="159"/>
      <c r="F486" s="159"/>
      <c r="G486" s="191"/>
      <c r="H486" s="133" t="s">
        <v>46</v>
      </c>
      <c r="I486" s="45"/>
      <c r="J486" s="653">
        <v>0</v>
      </c>
      <c r="K486" s="46"/>
      <c r="L486" s="546"/>
      <c r="M486" s="46"/>
      <c r="N486" s="46"/>
      <c r="O486" s="46"/>
      <c r="P486" s="46"/>
      <c r="Q486" s="46"/>
      <c r="R486" s="46"/>
      <c r="S486" s="46"/>
      <c r="T486" s="46"/>
      <c r="U486" s="46"/>
    </row>
    <row r="487" spans="1:21" ht="18.75" hidden="1" x14ac:dyDescent="0.25">
      <c r="A487" s="217"/>
      <c r="B487" s="159"/>
      <c r="C487" s="159"/>
      <c r="D487" s="159"/>
      <c r="E487" s="159"/>
      <c r="F487" s="159"/>
      <c r="G487" s="191"/>
      <c r="H487" s="133" t="s">
        <v>34</v>
      </c>
      <c r="I487" s="45"/>
      <c r="J487" s="653">
        <v>0</v>
      </c>
      <c r="K487" s="46"/>
      <c r="L487" s="546"/>
      <c r="M487" s="46"/>
      <c r="N487" s="46"/>
      <c r="O487" s="46"/>
      <c r="P487" s="46"/>
      <c r="Q487" s="46"/>
      <c r="R487" s="46"/>
      <c r="S487" s="46"/>
      <c r="T487" s="46"/>
      <c r="U487" s="46"/>
    </row>
    <row r="488" spans="1:21" ht="18.75" hidden="1" x14ac:dyDescent="0.25">
      <c r="A488" s="217"/>
      <c r="B488" s="159"/>
      <c r="C488" s="159"/>
      <c r="D488" s="348" t="s">
        <v>196</v>
      </c>
      <c r="E488" s="159"/>
      <c r="F488" s="159"/>
      <c r="G488" s="191"/>
      <c r="H488" s="133" t="s">
        <v>46</v>
      </c>
      <c r="I488" s="45"/>
      <c r="J488" s="653">
        <v>0</v>
      </c>
      <c r="K488" s="46"/>
      <c r="L488" s="546"/>
      <c r="M488" s="46"/>
      <c r="N488" s="46"/>
      <c r="O488" s="46"/>
      <c r="P488" s="46"/>
      <c r="Q488" s="46"/>
      <c r="R488" s="46"/>
      <c r="S488" s="46"/>
      <c r="T488" s="46"/>
      <c r="U488" s="46"/>
    </row>
    <row r="489" spans="1:21" ht="18.75" hidden="1" x14ac:dyDescent="0.25">
      <c r="A489" s="217"/>
      <c r="B489" s="159"/>
      <c r="C489" s="159"/>
      <c r="D489" s="159"/>
      <c r="E489" s="159"/>
      <c r="F489" s="159"/>
      <c r="G489" s="191"/>
      <c r="H489" s="133" t="s">
        <v>34</v>
      </c>
      <c r="I489" s="45"/>
      <c r="J489" s="653">
        <v>0</v>
      </c>
      <c r="K489" s="46"/>
      <c r="L489" s="546"/>
      <c r="M489" s="46"/>
      <c r="N489" s="46"/>
      <c r="O489" s="46"/>
      <c r="P489" s="46"/>
      <c r="Q489" s="46"/>
      <c r="R489" s="46"/>
      <c r="S489" s="46"/>
      <c r="T489" s="46"/>
      <c r="U489" s="46"/>
    </row>
    <row r="490" spans="1:21" ht="18.75" hidden="1" x14ac:dyDescent="0.25">
      <c r="A490" s="217"/>
      <c r="B490" s="159"/>
      <c r="C490" s="159"/>
      <c r="D490" s="348" t="s">
        <v>197</v>
      </c>
      <c r="E490" s="159"/>
      <c r="F490" s="159"/>
      <c r="G490" s="191"/>
      <c r="H490" s="133" t="s">
        <v>46</v>
      </c>
      <c r="I490" s="45"/>
      <c r="J490" s="653">
        <v>0</v>
      </c>
      <c r="K490" s="46"/>
      <c r="L490" s="546"/>
      <c r="M490" s="46"/>
      <c r="N490" s="46"/>
      <c r="O490" s="46"/>
      <c r="P490" s="46"/>
      <c r="Q490" s="46"/>
      <c r="R490" s="46"/>
      <c r="S490" s="46"/>
      <c r="T490" s="46"/>
      <c r="U490" s="46"/>
    </row>
    <row r="491" spans="1:21" ht="18.75" hidden="1" x14ac:dyDescent="0.25">
      <c r="A491" s="350"/>
      <c r="B491" s="3"/>
      <c r="C491" s="3"/>
      <c r="D491" s="3"/>
      <c r="E491" s="3"/>
      <c r="F491" s="3"/>
      <c r="G491" s="351"/>
      <c r="H491" s="352" t="s">
        <v>34</v>
      </c>
      <c r="I491" s="55"/>
      <c r="J491" s="652">
        <v>0</v>
      </c>
      <c r="K491" s="4"/>
      <c r="L491" s="545"/>
      <c r="M491" s="4"/>
      <c r="N491" s="4"/>
      <c r="O491" s="4"/>
      <c r="P491" s="4"/>
      <c r="Q491" s="4"/>
      <c r="R491" s="4"/>
      <c r="S491" s="4"/>
      <c r="T491" s="4"/>
      <c r="U491" s="4"/>
    </row>
    <row r="492" spans="1:21" ht="19.5" hidden="1" x14ac:dyDescent="0.3">
      <c r="A492" s="313"/>
      <c r="B492" s="322" t="s">
        <v>198</v>
      </c>
      <c r="C492" s="315"/>
      <c r="D492" s="315"/>
      <c r="E492" s="307"/>
      <c r="F492" s="307"/>
      <c r="G492" s="308"/>
      <c r="H492" s="339" t="s">
        <v>35</v>
      </c>
      <c r="I492" s="310">
        <f ca="1">I503</f>
        <v>0</v>
      </c>
      <c r="J492" s="310">
        <f ca="1">J503</f>
        <v>0</v>
      </c>
      <c r="K492" s="311">
        <f ca="1">IF(I492&gt;0,J492*100/I492,0)</f>
        <v>0</v>
      </c>
      <c r="L492" s="651"/>
      <c r="M492" s="312"/>
      <c r="N492" s="312"/>
      <c r="O492" s="312"/>
      <c r="P492" s="312"/>
      <c r="Q492" s="312"/>
      <c r="R492" s="312"/>
      <c r="S492" s="312"/>
      <c r="T492" s="312"/>
      <c r="U492" s="312"/>
    </row>
    <row r="493" spans="1:21" ht="19.5" hidden="1" x14ac:dyDescent="0.3">
      <c r="A493" s="128"/>
      <c r="B493" s="159"/>
      <c r="C493" s="188" t="s">
        <v>18</v>
      </c>
      <c r="D493" s="838" t="s">
        <v>19</v>
      </c>
      <c r="E493" s="518"/>
      <c r="F493" s="518"/>
      <c r="G493" s="43"/>
      <c r="H493" s="232" t="s">
        <v>14</v>
      </c>
      <c r="I493" s="45"/>
      <c r="J493" s="45"/>
      <c r="K493" s="46"/>
      <c r="L493" s="550">
        <f ca="1">L494+L495</f>
        <v>0</v>
      </c>
      <c r="M493" s="132">
        <f ca="1">M494+M495</f>
        <v>0</v>
      </c>
      <c r="N493" s="132">
        <f ca="1">N494+N495</f>
        <v>0</v>
      </c>
      <c r="O493" s="132">
        <f ca="1">IF(L493&gt;0,N493*100/L493,0)</f>
        <v>0</v>
      </c>
      <c r="P493" s="132">
        <f ca="1">IF(M493&gt;0,N493*100/M493,0)</f>
        <v>0</v>
      </c>
      <c r="Q493" s="132">
        <f ca="1">Q494+Q495</f>
        <v>0</v>
      </c>
      <c r="R493" s="132">
        <f ca="1">R494+R495</f>
        <v>0</v>
      </c>
      <c r="S493" s="132">
        <f ca="1">S494+S495</f>
        <v>0</v>
      </c>
      <c r="T493" s="132">
        <f ca="1">IF(Q493&gt;0,S493*100/Q493,0)</f>
        <v>0</v>
      </c>
      <c r="U493" s="132">
        <f ca="1">IF(R493&gt;0,S493*100/R493,0)</f>
        <v>0</v>
      </c>
    </row>
    <row r="494" spans="1:21" ht="18.75" hidden="1" x14ac:dyDescent="0.25">
      <c r="A494" s="128"/>
      <c r="B494" s="159"/>
      <c r="C494" s="159"/>
      <c r="D494" s="139"/>
      <c r="E494" s="157" t="s">
        <v>158</v>
      </c>
      <c r="F494" s="41"/>
      <c r="G494" s="43"/>
      <c r="H494" s="160" t="s">
        <v>14</v>
      </c>
      <c r="I494" s="45"/>
      <c r="J494" s="45"/>
      <c r="K494" s="46"/>
      <c r="L494" s="549">
        <f>L497+L500</f>
        <v>0</v>
      </c>
      <c r="M494" s="49">
        <f>M497+M500</f>
        <v>0</v>
      </c>
      <c r="N494" s="49">
        <f>N497+N500</f>
        <v>0</v>
      </c>
      <c r="O494" s="49">
        <f>IF(L494&gt;0,N494*100/L494,0)</f>
        <v>0</v>
      </c>
      <c r="P494" s="49">
        <f>IF(M494&gt;0,N494*100/M494,0)</f>
        <v>0</v>
      </c>
      <c r="Q494" s="49">
        <f>Q497+Q500</f>
        <v>0</v>
      </c>
      <c r="R494" s="49">
        <f>R497+R500</f>
        <v>0</v>
      </c>
      <c r="S494" s="49">
        <f>S497+S500</f>
        <v>0</v>
      </c>
      <c r="T494" s="49">
        <f>IF(Q494&gt;0,S494*100/Q494,0)</f>
        <v>0</v>
      </c>
      <c r="U494" s="49">
        <f>IF(R494&gt;0,S494*100/R494,0)</f>
        <v>0</v>
      </c>
    </row>
    <row r="495" spans="1:21" ht="18.75" hidden="1" x14ac:dyDescent="0.25">
      <c r="A495" s="128"/>
      <c r="B495" s="159"/>
      <c r="C495" s="159"/>
      <c r="D495" s="139"/>
      <c r="E495" s="48" t="s">
        <v>159</v>
      </c>
      <c r="F495" s="41"/>
      <c r="G495" s="43"/>
      <c r="H495" s="134" t="s">
        <v>14</v>
      </c>
      <c r="I495" s="45"/>
      <c r="J495" s="45"/>
      <c r="K495" s="46"/>
      <c r="L495" s="548">
        <f ca="1">L498+L501</f>
        <v>0</v>
      </c>
      <c r="M495" s="47">
        <f ca="1">M498+M501</f>
        <v>0</v>
      </c>
      <c r="N495" s="47">
        <f ca="1">N498+N501</f>
        <v>0</v>
      </c>
      <c r="O495" s="47">
        <f ca="1">IF(L495&gt;0,N495*100/L495,0)</f>
        <v>0</v>
      </c>
      <c r="P495" s="47">
        <f ca="1">IF(M495&gt;0,N495*100/M495,0)</f>
        <v>0</v>
      </c>
      <c r="Q495" s="47">
        <f ca="1">Q498+Q501</f>
        <v>0</v>
      </c>
      <c r="R495" s="47">
        <f ca="1">R498+R501</f>
        <v>0</v>
      </c>
      <c r="S495" s="47">
        <f ca="1">S498+S501</f>
        <v>0</v>
      </c>
      <c r="T495" s="47">
        <f ca="1">IF(Q495&gt;0,S495*100/Q495,0)</f>
        <v>0</v>
      </c>
      <c r="U495" s="47">
        <f ca="1">IF(R495&gt;0,S495*100/R495,0)</f>
        <v>0</v>
      </c>
    </row>
    <row r="496" spans="1:21" ht="18.75" hidden="1" x14ac:dyDescent="0.25">
      <c r="A496" s="128"/>
      <c r="B496" s="159"/>
      <c r="C496" s="159"/>
      <c r="D496" s="649" t="s">
        <v>22</v>
      </c>
      <c r="E496" s="41"/>
      <c r="F496" s="41"/>
      <c r="G496" s="43"/>
      <c r="H496" s="134" t="s">
        <v>14</v>
      </c>
      <c r="I496" s="135"/>
      <c r="J496" s="135"/>
      <c r="K496" s="136"/>
      <c r="L496" s="548">
        <f ca="1">L497+L498</f>
        <v>0</v>
      </c>
      <c r="M496" s="47">
        <f ca="1">M497+M498</f>
        <v>0</v>
      </c>
      <c r="N496" s="47">
        <f ca="1">N497+N498</f>
        <v>0</v>
      </c>
      <c r="O496" s="47">
        <f ca="1">IF(L496&gt;0,N496*100/L496,0)</f>
        <v>0</v>
      </c>
      <c r="P496" s="47">
        <f ca="1">IF(M496&gt;0,N496*100/M496,0)</f>
        <v>0</v>
      </c>
      <c r="Q496" s="47">
        <f ca="1">Q497+Q498</f>
        <v>0</v>
      </c>
      <c r="R496" s="47">
        <f ca="1">R497+R498</f>
        <v>0</v>
      </c>
      <c r="S496" s="47">
        <f ca="1">S497+S498</f>
        <v>0</v>
      </c>
      <c r="T496" s="47">
        <f ca="1">IF(Q496&gt;0,S496*100/Q496,0)</f>
        <v>0</v>
      </c>
      <c r="U496" s="47">
        <f ca="1">IF(R496&gt;0,S496*100/R496,0)</f>
        <v>0</v>
      </c>
    </row>
    <row r="497" spans="1:21" ht="18.75" hidden="1" x14ac:dyDescent="0.25">
      <c r="A497" s="128"/>
      <c r="B497" s="159"/>
      <c r="C497" s="159"/>
      <c r="D497" s="139"/>
      <c r="E497" s="157" t="s">
        <v>158</v>
      </c>
      <c r="F497" s="41"/>
      <c r="G497" s="43"/>
      <c r="H497" s="160" t="s">
        <v>14</v>
      </c>
      <c r="I497" s="45"/>
      <c r="J497" s="45"/>
      <c r="K497" s="46"/>
      <c r="L497" s="549">
        <v>0</v>
      </c>
      <c r="M497" s="49">
        <v>0</v>
      </c>
      <c r="N497" s="49">
        <v>0</v>
      </c>
      <c r="O497" s="49">
        <f>IF(L497&gt;0,N497*100/L497,0)</f>
        <v>0</v>
      </c>
      <c r="P497" s="49">
        <f>IF(M497&gt;0,N497*100/M497,0)</f>
        <v>0</v>
      </c>
      <c r="Q497" s="49">
        <v>0</v>
      </c>
      <c r="R497" s="49">
        <v>0</v>
      </c>
      <c r="S497" s="49">
        <v>0</v>
      </c>
      <c r="T497" s="49">
        <f>IF(Q497&gt;0,S497*100/Q497,0)</f>
        <v>0</v>
      </c>
      <c r="U497" s="49">
        <f>IF(R497&gt;0,S497*100/R497,0)</f>
        <v>0</v>
      </c>
    </row>
    <row r="498" spans="1:21" ht="18.75" hidden="1" x14ac:dyDescent="0.25">
      <c r="A498" s="128"/>
      <c r="B498" s="159"/>
      <c r="C498" s="159"/>
      <c r="D498" s="139"/>
      <c r="E498" s="48" t="s">
        <v>159</v>
      </c>
      <c r="F498" s="41"/>
      <c r="G498" s="43"/>
      <c r="H498" s="134" t="s">
        <v>14</v>
      </c>
      <c r="I498" s="45"/>
      <c r="J498" s="45"/>
      <c r="K498" s="46"/>
      <c r="L498" s="548">
        <f ca="1">IFERROR(__xludf.DUMMYFUNCTION("IMPORTRANGE(""https://docs.google.com/spreadsheets/d/1-uDff_7J0KD5mKrp0Vvzr7lt3OU09vwQwhkpOPPYv2Y/edit?usp=sharing"",""งบพรบ!HU82"")"),0)</f>
        <v>0</v>
      </c>
      <c r="M498" s="47">
        <f ca="1">IFERROR(__xludf.DUMMYFUNCTION("IMPORTRANGE(""https://docs.google.com/spreadsheets/d/1-uDff_7J0KD5mKrp0Vvzr7lt3OU09vwQwhkpOPPYv2Y/edit?usp=sharing"",""งบพรบ!HZ82"")"),0)</f>
        <v>0</v>
      </c>
      <c r="N498" s="47">
        <f ca="1">IFERROR(__xludf.DUMMYFUNCTION("IMPORTRANGE(""https://docs.google.com/spreadsheets/d/1-uDff_7J0KD5mKrp0Vvzr7lt3OU09vwQwhkpOPPYv2Y/edit?usp=sharing"",""งบพรบ!IB82"")"),0)</f>
        <v>0</v>
      </c>
      <c r="O498" s="47">
        <f ca="1">IF(L498&gt;0,N498*100/L498,0)</f>
        <v>0</v>
      </c>
      <c r="P498" s="47">
        <f ca="1">IF(M498&gt;0,N498*100/M498,0)</f>
        <v>0</v>
      </c>
      <c r="Q498" s="47">
        <f ca="1">IFERROR(__xludf.DUMMYFUNCTION("IMPORTRANGE(""https://docs.google.com/spreadsheets/d/1ItG2mGa2ceCfYo0BwxsXqNm01IGEUdYcSSLTEv9YCik/edit?usp=sharing"",""เบิกจ่ายกองทุน!AD82"")"),0)</f>
        <v>0</v>
      </c>
      <c r="R498" s="47">
        <f ca="1">IFERROR(__xludf.DUMMYFUNCTION("IMPORTRANGE(""https://docs.google.com/spreadsheets/d/1ItG2mGa2ceCfYo0BwxsXqNm01IGEUdYcSSLTEv9YCik/edit?usp=sharing"",""เบิกจ่ายกองทุน!AE82"")"),0)</f>
        <v>0</v>
      </c>
      <c r="S498" s="47">
        <f ca="1">IFERROR(__xludf.DUMMYFUNCTION("IMPORTRANGE(""https://docs.google.com/spreadsheets/d/1ItG2mGa2ceCfYo0BwxsXqNm01IGEUdYcSSLTEv9YCik/edit?usp=sharing"",""เบิกจ่ายกองทุน!AF82"")"),0)</f>
        <v>0</v>
      </c>
      <c r="T498" s="47">
        <f ca="1">IF(Q498&gt;0,S498*100/Q498,0)</f>
        <v>0</v>
      </c>
      <c r="U498" s="47">
        <f ca="1">IF(R498&gt;0,S498*100/R498,0)</f>
        <v>0</v>
      </c>
    </row>
    <row r="499" spans="1:21" ht="18.75" hidden="1" x14ac:dyDescent="0.25">
      <c r="A499" s="128"/>
      <c r="B499" s="159"/>
      <c r="C499" s="159"/>
      <c r="D499" s="649" t="s">
        <v>23</v>
      </c>
      <c r="E499" s="41"/>
      <c r="F499" s="41"/>
      <c r="G499" s="43"/>
      <c r="H499" s="137" t="s">
        <v>14</v>
      </c>
      <c r="I499" s="135"/>
      <c r="J499" s="135"/>
      <c r="K499" s="136"/>
      <c r="L499" s="548">
        <f ca="1">L500+L501</f>
        <v>0</v>
      </c>
      <c r="M499" s="47">
        <f ca="1">M500+M501</f>
        <v>0</v>
      </c>
      <c r="N499" s="47">
        <f ca="1">N500+N501</f>
        <v>0</v>
      </c>
      <c r="O499" s="47">
        <f ca="1">IF(L499&gt;0,N499*100/L499,0)</f>
        <v>0</v>
      </c>
      <c r="P499" s="47">
        <f ca="1">IF(M499&gt;0,N499*100/M499,0)</f>
        <v>0</v>
      </c>
      <c r="Q499" s="47">
        <f>Q500+Q501</f>
        <v>0</v>
      </c>
      <c r="R499" s="47">
        <f>R500+R501</f>
        <v>0</v>
      </c>
      <c r="S499" s="47">
        <f>S500+S501</f>
        <v>0</v>
      </c>
      <c r="T499" s="47">
        <f>IF(Q499&gt;0,S499*100/Q499,0)</f>
        <v>0</v>
      </c>
      <c r="U499" s="47">
        <f>IF(R499&gt;0,S499*100/R499,0)</f>
        <v>0</v>
      </c>
    </row>
    <row r="500" spans="1:21" ht="18.75" hidden="1" x14ac:dyDescent="0.25">
      <c r="A500" s="128"/>
      <c r="B500" s="159"/>
      <c r="C500" s="159"/>
      <c r="D500" s="159"/>
      <c r="E500" s="157" t="s">
        <v>20</v>
      </c>
      <c r="F500" s="41"/>
      <c r="G500" s="43"/>
      <c r="H500" s="160" t="s">
        <v>14</v>
      </c>
      <c r="I500" s="135"/>
      <c r="J500" s="135"/>
      <c r="K500" s="136"/>
      <c r="L500" s="549">
        <v>0</v>
      </c>
      <c r="M500" s="49">
        <v>0</v>
      </c>
      <c r="N500" s="49">
        <v>0</v>
      </c>
      <c r="O500" s="49">
        <f>IF(L500&gt;0,N500*100/L500,0)</f>
        <v>0</v>
      </c>
      <c r="P500" s="49">
        <f>IF(M500&gt;0,N500*100/M500,0)</f>
        <v>0</v>
      </c>
      <c r="Q500" s="49">
        <v>0</v>
      </c>
      <c r="R500" s="49">
        <v>0</v>
      </c>
      <c r="S500" s="49">
        <v>0</v>
      </c>
      <c r="T500" s="49">
        <f>IF(Q500&gt;0,S500*100/Q500,0)</f>
        <v>0</v>
      </c>
      <c r="U500" s="49">
        <f>IF(R500&gt;0,S500*100/R500,0)</f>
        <v>0</v>
      </c>
    </row>
    <row r="501" spans="1:21" ht="18.75" hidden="1" x14ac:dyDescent="0.25">
      <c r="A501" s="128"/>
      <c r="B501" s="159"/>
      <c r="C501" s="159"/>
      <c r="D501" s="159"/>
      <c r="E501" s="48" t="s">
        <v>21</v>
      </c>
      <c r="F501" s="41"/>
      <c r="G501" s="43"/>
      <c r="H501" s="137" t="s">
        <v>14</v>
      </c>
      <c r="I501" s="135"/>
      <c r="J501" s="135"/>
      <c r="K501" s="136"/>
      <c r="L501" s="548">
        <f ca="1">IFERROR(__xludf.DUMMYFUNCTION("IMPORTRANGE(""https://docs.google.com/spreadsheets/d/1-uDff_7J0KD5mKrp0Vvzr7lt3OU09vwQwhkpOPPYv2Y/edit?usp=sharing"",""งบพรบ!HX82"")"),0)</f>
        <v>0</v>
      </c>
      <c r="M501" s="47">
        <f ca="1">IFERROR(__xludf.DUMMYFUNCTION("IMPORTRANGE(""https://docs.google.com/spreadsheets/d/1-uDff_7J0KD5mKrp0Vvzr7lt3OU09vwQwhkpOPPYv2Y/edit?usp=sharing"",""งบพรบ!IA82"")"),0)</f>
        <v>0</v>
      </c>
      <c r="N501" s="47">
        <f ca="1">IFERROR(__xludf.DUMMYFUNCTION("IMPORTRANGE(""https://docs.google.com/spreadsheets/d/1-uDff_7J0KD5mKrp0Vvzr7lt3OU09vwQwhkpOPPYv2Y/edit?usp=sharing"",""งบพรบ!IC82"")"),0)</f>
        <v>0</v>
      </c>
      <c r="O501" s="47">
        <f ca="1">IF(L501&gt;0,N501*100/L501,0)</f>
        <v>0</v>
      </c>
      <c r="P501" s="47">
        <f ca="1">IF(M501&gt;0,N501*100/M501,0)</f>
        <v>0</v>
      </c>
      <c r="Q501" s="47">
        <v>0</v>
      </c>
      <c r="R501" s="47">
        <v>0</v>
      </c>
      <c r="S501" s="47">
        <v>0</v>
      </c>
      <c r="T501" s="47">
        <f>IF(Q501&gt;0,S501*100/Q501,0)</f>
        <v>0</v>
      </c>
      <c r="U501" s="47">
        <f>IF(R501&gt;0,S501*100/R501,0)</f>
        <v>0</v>
      </c>
    </row>
    <row r="502" spans="1:21" ht="19.5" hidden="1" x14ac:dyDescent="0.3">
      <c r="A502" s="138"/>
      <c r="B502" s="139"/>
      <c r="C502" s="188" t="s">
        <v>18</v>
      </c>
      <c r="D502" s="557" t="s">
        <v>38</v>
      </c>
      <c r="E502" s="141"/>
      <c r="F502" s="141"/>
      <c r="G502" s="142"/>
      <c r="H502" s="189"/>
      <c r="I502" s="135"/>
      <c r="J502" s="135"/>
      <c r="K502" s="136"/>
      <c r="L502" s="558"/>
      <c r="M502" s="136"/>
      <c r="N502" s="136"/>
      <c r="O502" s="136"/>
      <c r="P502" s="136"/>
      <c r="Q502" s="136"/>
      <c r="R502" s="136"/>
      <c r="S502" s="136"/>
      <c r="T502" s="136"/>
      <c r="U502" s="136"/>
    </row>
    <row r="503" spans="1:21" ht="19.5" hidden="1" x14ac:dyDescent="0.3">
      <c r="A503" s="217"/>
      <c r="B503" s="159"/>
      <c r="C503" s="159"/>
      <c r="D503" s="162" t="s">
        <v>199</v>
      </c>
      <c r="E503" s="41"/>
      <c r="F503" s="41"/>
      <c r="G503" s="43"/>
      <c r="H503" s="133" t="s">
        <v>35</v>
      </c>
      <c r="I503" s="147">
        <f ca="1">IFERROR(__xludf.DUMMYFUNCTION("IMPORTRANGE(""https://docs.google.com/spreadsheets/d/1eHaY18a8A9IcSdp1K8H6x8fbOy06t2VsZHhMHf-1x7Y/edit?usp=sharing"",""แผน!GX82"")"),0)</f>
        <v>0</v>
      </c>
      <c r="J503" s="147">
        <f ca="1">IF(AND(J504=I504,J505=I505,J506=I506,J507=I507),I503,0)</f>
        <v>0</v>
      </c>
      <c r="K503" s="132">
        <f ca="1">IF(I503&gt;0,J503*100/I503,0)</f>
        <v>0</v>
      </c>
      <c r="L503" s="546"/>
      <c r="M503" s="46"/>
      <c r="N503" s="46"/>
      <c r="O503" s="46"/>
      <c r="P503" s="46"/>
      <c r="Q503" s="46"/>
      <c r="R503" s="46"/>
      <c r="S503" s="46"/>
      <c r="T503" s="46"/>
      <c r="U503" s="46"/>
    </row>
    <row r="504" spans="1:21" ht="18.75" hidden="1" x14ac:dyDescent="0.25">
      <c r="A504" s="217"/>
      <c r="B504" s="159"/>
      <c r="C504" s="159"/>
      <c r="D504" s="159"/>
      <c r="E504" s="48" t="s">
        <v>200</v>
      </c>
      <c r="F504" s="41"/>
      <c r="G504" s="43"/>
      <c r="H504" s="133" t="s">
        <v>35</v>
      </c>
      <c r="I504" s="152">
        <f ca="1">IFERROR(__xludf.DUMMYFUNCTION("IMPORTRANGE(""https://docs.google.com/spreadsheets/d/1eHaY18a8A9IcSdp1K8H6x8fbOy06t2VsZHhMHf-1x7Y/edit?usp=sharing"",""แผน!GY82"")"),0)</f>
        <v>0</v>
      </c>
      <c r="J504" s="167">
        <v>0</v>
      </c>
      <c r="K504" s="47">
        <f ca="1">IF(I504&gt;0,J504*100/I504,0)</f>
        <v>0</v>
      </c>
      <c r="L504" s="546"/>
      <c r="M504" s="46"/>
      <c r="N504" s="46"/>
      <c r="O504" s="46"/>
      <c r="P504" s="46"/>
      <c r="Q504" s="46"/>
      <c r="R504" s="46"/>
      <c r="S504" s="46"/>
      <c r="T504" s="46"/>
      <c r="U504" s="46"/>
    </row>
    <row r="505" spans="1:21" ht="18.75" hidden="1" x14ac:dyDescent="0.25">
      <c r="A505" s="217"/>
      <c r="B505" s="159"/>
      <c r="C505" s="159"/>
      <c r="D505" s="159"/>
      <c r="E505" s="48" t="s">
        <v>201</v>
      </c>
      <c r="F505" s="41"/>
      <c r="G505" s="43"/>
      <c r="H505" s="133" t="s">
        <v>35</v>
      </c>
      <c r="I505" s="152">
        <f ca="1">IFERROR(__xludf.DUMMYFUNCTION("IMPORTRANGE(""https://docs.google.com/spreadsheets/d/1eHaY18a8A9IcSdp1K8H6x8fbOy06t2VsZHhMHf-1x7Y/edit?usp=sharing"",""แผน!GZ82"")"),0)</f>
        <v>0</v>
      </c>
      <c r="J505" s="167">
        <v>0</v>
      </c>
      <c r="K505" s="47">
        <f ca="1">IF(I505&gt;0,J505*100/I505,0)</f>
        <v>0</v>
      </c>
      <c r="L505" s="546"/>
      <c r="M505" s="46"/>
      <c r="N505" s="46"/>
      <c r="O505" s="46"/>
      <c r="P505" s="46"/>
      <c r="Q505" s="46"/>
      <c r="R505" s="46"/>
      <c r="S505" s="46"/>
      <c r="T505" s="46"/>
      <c r="U505" s="46"/>
    </row>
    <row r="506" spans="1:21" ht="18.75" hidden="1" x14ac:dyDescent="0.25">
      <c r="A506" s="217"/>
      <c r="B506" s="159"/>
      <c r="C506" s="159"/>
      <c r="D506" s="159"/>
      <c r="E506" s="48" t="s">
        <v>202</v>
      </c>
      <c r="F506" s="41"/>
      <c r="G506" s="43"/>
      <c r="H506" s="133" t="s">
        <v>35</v>
      </c>
      <c r="I506" s="152">
        <f ca="1">IFERROR(__xludf.DUMMYFUNCTION("IMPORTRANGE(""https://docs.google.com/spreadsheets/d/1eHaY18a8A9IcSdp1K8H6x8fbOy06t2VsZHhMHf-1x7Y/edit?usp=sharing"",""แผน!HA82"")"),0)</f>
        <v>0</v>
      </c>
      <c r="J506" s="167">
        <v>0</v>
      </c>
      <c r="K506" s="47">
        <f ca="1">IF(I506&gt;0,J506*100/I506,0)</f>
        <v>0</v>
      </c>
      <c r="L506" s="546"/>
      <c r="M506" s="46"/>
      <c r="N506" s="46"/>
      <c r="O506" s="46"/>
      <c r="P506" s="46"/>
      <c r="Q506" s="46"/>
      <c r="R506" s="46"/>
      <c r="S506" s="46"/>
      <c r="T506" s="46"/>
      <c r="U506" s="46"/>
    </row>
    <row r="507" spans="1:21" ht="18.75" hidden="1" x14ac:dyDescent="0.25">
      <c r="A507" s="217"/>
      <c r="B507" s="159"/>
      <c r="C507" s="159"/>
      <c r="D507" s="159"/>
      <c r="E507" s="353" t="s">
        <v>203</v>
      </c>
      <c r="F507" s="41"/>
      <c r="G507" s="43"/>
      <c r="H507" s="133" t="s">
        <v>35</v>
      </c>
      <c r="I507" s="152">
        <f ca="1">IFERROR(__xludf.DUMMYFUNCTION("IMPORTRANGE(""https://docs.google.com/spreadsheets/d/1eHaY18a8A9IcSdp1K8H6x8fbOy06t2VsZHhMHf-1x7Y/edit?usp=sharing"",""แผน!HB82"")"),0)</f>
        <v>0</v>
      </c>
      <c r="J507" s="167">
        <v>0</v>
      </c>
      <c r="K507" s="47">
        <f ca="1">IF(I507&gt;0,J507*100/I507,0)</f>
        <v>0</v>
      </c>
      <c r="L507" s="546"/>
      <c r="M507" s="46"/>
      <c r="N507" s="46"/>
      <c r="O507" s="46"/>
      <c r="P507" s="46"/>
      <c r="Q507" s="46"/>
      <c r="R507" s="46"/>
      <c r="S507" s="46"/>
      <c r="T507" s="46"/>
      <c r="U507" s="46"/>
    </row>
    <row r="508" spans="1:21" ht="18.75" hidden="1" x14ac:dyDescent="0.25">
      <c r="A508" s="217"/>
      <c r="B508" s="159"/>
      <c r="C508" s="159"/>
      <c r="D508" s="159"/>
      <c r="E508" s="48" t="s">
        <v>204</v>
      </c>
      <c r="F508" s="41"/>
      <c r="G508" s="43"/>
      <c r="H508" s="133" t="s">
        <v>35</v>
      </c>
      <c r="I508" s="152">
        <v>0</v>
      </c>
      <c r="J508" s="152">
        <v>0</v>
      </c>
      <c r="K508" s="47">
        <f>IF(I508&gt;0,J508*100/I508,0)</f>
        <v>0</v>
      </c>
      <c r="L508" s="546"/>
      <c r="M508" s="46"/>
      <c r="N508" s="46"/>
      <c r="O508" s="46"/>
      <c r="P508" s="46"/>
      <c r="Q508" s="46"/>
      <c r="R508" s="46"/>
      <c r="S508" s="46"/>
      <c r="T508" s="46"/>
      <c r="U508" s="46"/>
    </row>
    <row r="509" spans="1:21" ht="19.5" hidden="1" x14ac:dyDescent="0.3">
      <c r="A509" s="350"/>
      <c r="B509" s="3"/>
      <c r="C509" s="3"/>
      <c r="D509" s="354" t="s">
        <v>50</v>
      </c>
      <c r="E509" s="1"/>
      <c r="F509" s="1"/>
      <c r="G509" s="53"/>
      <c r="H509" s="352" t="s">
        <v>35</v>
      </c>
      <c r="I509" s="197">
        <f ca="1">IFERROR(__xludf.DUMMYFUNCTION("IMPORTRANGE(""https://docs.google.com/spreadsheets/d/1eHaY18a8A9IcSdp1K8H6x8fbOy06t2VsZHhMHf-1x7Y/edit?usp=sharing"",""แผน!HC82"")"),0)</f>
        <v>0</v>
      </c>
      <c r="J509" s="355">
        <v>0</v>
      </c>
      <c r="K509" s="111">
        <f ca="1">IF(I509&gt;0,J509*100/I509,0)</f>
        <v>0</v>
      </c>
      <c r="L509" s="545"/>
      <c r="M509" s="4"/>
      <c r="N509" s="4"/>
      <c r="O509" s="4"/>
      <c r="P509" s="4"/>
      <c r="Q509" s="4"/>
      <c r="R509" s="4"/>
      <c r="S509" s="4"/>
      <c r="T509" s="4"/>
      <c r="U509" s="4"/>
    </row>
    <row r="510" spans="1:21" ht="19.5" x14ac:dyDescent="0.3">
      <c r="A510" s="648" t="s">
        <v>205</v>
      </c>
      <c r="B510" s="647"/>
      <c r="C510" s="647"/>
      <c r="D510" s="647"/>
      <c r="E510" s="646"/>
      <c r="F510" s="646"/>
      <c r="G510" s="646"/>
      <c r="H510" s="646"/>
      <c r="I510" s="645"/>
      <c r="J510" s="645"/>
      <c r="K510" s="644"/>
      <c r="L510" s="836"/>
      <c r="M510" s="835"/>
      <c r="N510" s="835"/>
      <c r="O510" s="835"/>
      <c r="P510" s="835"/>
      <c r="Q510" s="835"/>
      <c r="R510" s="835"/>
      <c r="S510" s="835"/>
      <c r="T510" s="835"/>
      <c r="U510" s="835"/>
    </row>
    <row r="511" spans="1:21" ht="19.5" hidden="1" x14ac:dyDescent="0.3">
      <c r="A511" s="834" t="s">
        <v>206</v>
      </c>
      <c r="B511" s="364"/>
      <c r="C511" s="364"/>
      <c r="D511" s="365"/>
      <c r="E511" s="364"/>
      <c r="F511" s="364"/>
      <c r="G511" s="364"/>
      <c r="H511" s="366"/>
      <c r="I511" s="367"/>
      <c r="J511" s="367"/>
      <c r="K511" s="368"/>
      <c r="L511" s="636"/>
      <c r="M511" s="369"/>
      <c r="N511" s="369"/>
      <c r="O511" s="369"/>
      <c r="P511" s="369"/>
      <c r="Q511" s="369"/>
      <c r="R511" s="369"/>
      <c r="S511" s="369"/>
      <c r="T511" s="369"/>
      <c r="U511" s="369"/>
    </row>
    <row r="512" spans="1:21" ht="19.5" hidden="1" x14ac:dyDescent="0.3">
      <c r="A512" s="370"/>
      <c r="B512" s="833" t="s">
        <v>207</v>
      </c>
      <c r="C512" s="372"/>
      <c r="D512" s="373"/>
      <c r="E512" s="373"/>
      <c r="F512" s="373"/>
      <c r="G512" s="374"/>
      <c r="H512" s="832" t="s">
        <v>61</v>
      </c>
      <c r="I512" s="831">
        <f>I524</f>
        <v>0</v>
      </c>
      <c r="J512" s="831">
        <f>J524</f>
        <v>0</v>
      </c>
      <c r="K512" s="830">
        <f>IF(I512&gt;0,J512*100/I512,0)</f>
        <v>0</v>
      </c>
      <c r="L512" s="592"/>
      <c r="M512" s="378"/>
      <c r="N512" s="378"/>
      <c r="O512" s="378"/>
      <c r="P512" s="378"/>
      <c r="Q512" s="378"/>
      <c r="R512" s="378"/>
      <c r="S512" s="378"/>
      <c r="T512" s="378"/>
      <c r="U512" s="378"/>
    </row>
    <row r="513" spans="1:21" ht="19.5" hidden="1" x14ac:dyDescent="0.3">
      <c r="A513" s="128"/>
      <c r="B513" s="41"/>
      <c r="C513" s="744" t="s">
        <v>18</v>
      </c>
      <c r="D513" s="560" t="s">
        <v>19</v>
      </c>
      <c r="E513" s="41"/>
      <c r="F513" s="41"/>
      <c r="G513" s="43"/>
      <c r="H513" s="829" t="s">
        <v>14</v>
      </c>
      <c r="I513" s="45"/>
      <c r="J513" s="45"/>
      <c r="K513" s="46"/>
      <c r="L513" s="550">
        <f ca="1">L514+L515</f>
        <v>0</v>
      </c>
      <c r="M513" s="132">
        <f ca="1">M514+M515</f>
        <v>0</v>
      </c>
      <c r="N513" s="132">
        <f ca="1">N514+N515</f>
        <v>0</v>
      </c>
      <c r="O513" s="132">
        <f ca="1">IF(L513&gt;0,N513*100/L513,0)</f>
        <v>0</v>
      </c>
      <c r="P513" s="132">
        <f ca="1">IF(M513&gt;0,N513*100/M513,0)</f>
        <v>0</v>
      </c>
      <c r="Q513" s="132">
        <f>Q514+Q515</f>
        <v>0</v>
      </c>
      <c r="R513" s="132">
        <f>R514+R515</f>
        <v>0</v>
      </c>
      <c r="S513" s="132">
        <f>S514+S515</f>
        <v>0</v>
      </c>
      <c r="T513" s="132">
        <f>IF(Q513&gt;0,S513*100/Q513,0)</f>
        <v>0</v>
      </c>
      <c r="U513" s="132">
        <f>IF(R513&gt;0,S513*100/R513,0)</f>
        <v>0</v>
      </c>
    </row>
    <row r="514" spans="1:21" ht="18.75" hidden="1" x14ac:dyDescent="0.25">
      <c r="A514" s="128"/>
      <c r="B514" s="41"/>
      <c r="C514" s="41"/>
      <c r="D514" s="41"/>
      <c r="E514" s="157" t="s">
        <v>20</v>
      </c>
      <c r="F514" s="41"/>
      <c r="G514" s="43"/>
      <c r="H514" s="158" t="s">
        <v>14</v>
      </c>
      <c r="I514" s="45"/>
      <c r="J514" s="45"/>
      <c r="K514" s="46"/>
      <c r="L514" s="549">
        <f>L517+L520</f>
        <v>0</v>
      </c>
      <c r="M514" s="49">
        <f>M517+M520</f>
        <v>0</v>
      </c>
      <c r="N514" s="49">
        <f>N517+N520</f>
        <v>0</v>
      </c>
      <c r="O514" s="49">
        <f>IF(L514&gt;0,N514*100/L514,0)</f>
        <v>0</v>
      </c>
      <c r="P514" s="49">
        <f>IF(M514&gt;0,N514*100/M514,0)</f>
        <v>0</v>
      </c>
      <c r="Q514" s="49">
        <f>Q517+Q520</f>
        <v>0</v>
      </c>
      <c r="R514" s="49">
        <f>R517+R520</f>
        <v>0</v>
      </c>
      <c r="S514" s="49">
        <f>S517+S520</f>
        <v>0</v>
      </c>
      <c r="T514" s="49">
        <f>IF(Q514&gt;0,S514*100/Q514,0)</f>
        <v>0</v>
      </c>
      <c r="U514" s="49">
        <f>IF(R514&gt;0,S514*100/R514,0)</f>
        <v>0</v>
      </c>
    </row>
    <row r="515" spans="1:21" ht="18.75" hidden="1" x14ac:dyDescent="0.25">
      <c r="A515" s="128"/>
      <c r="B515" s="41"/>
      <c r="C515" s="41"/>
      <c r="D515" s="41"/>
      <c r="E515" s="157" t="s">
        <v>21</v>
      </c>
      <c r="F515" s="41"/>
      <c r="G515" s="43"/>
      <c r="H515" s="158" t="s">
        <v>14</v>
      </c>
      <c r="I515" s="45"/>
      <c r="J515" s="45"/>
      <c r="K515" s="46"/>
      <c r="L515" s="548">
        <f ca="1">L518+L521</f>
        <v>0</v>
      </c>
      <c r="M515" s="47">
        <f ca="1">M518+M521</f>
        <v>0</v>
      </c>
      <c r="N515" s="47">
        <f ca="1">N518+N521</f>
        <v>0</v>
      </c>
      <c r="O515" s="47">
        <f ca="1">IF(L515&gt;0,N515*100/L515,0)</f>
        <v>0</v>
      </c>
      <c r="P515" s="47">
        <f ca="1">IF(M515&gt;0,N515*100/M515,0)</f>
        <v>0</v>
      </c>
      <c r="Q515" s="47">
        <f>Q518+Q521</f>
        <v>0</v>
      </c>
      <c r="R515" s="47">
        <f>R518+R521</f>
        <v>0</v>
      </c>
      <c r="S515" s="47">
        <f>S518+S521</f>
        <v>0</v>
      </c>
      <c r="T515" s="47">
        <f>IF(Q515&gt;0,S515*100/Q515,0)</f>
        <v>0</v>
      </c>
      <c r="U515" s="47">
        <f>IF(R515&gt;0,S515*100/R515,0)</f>
        <v>0</v>
      </c>
    </row>
    <row r="516" spans="1:21" ht="18.75" hidden="1" x14ac:dyDescent="0.25">
      <c r="A516" s="128"/>
      <c r="B516" s="41"/>
      <c r="C516" s="41"/>
      <c r="D516" s="828" t="s">
        <v>22</v>
      </c>
      <c r="E516" s="41"/>
      <c r="F516" s="41"/>
      <c r="G516" s="43"/>
      <c r="H516" s="160" t="s">
        <v>14</v>
      </c>
      <c r="I516" s="135"/>
      <c r="J516" s="135"/>
      <c r="K516" s="136"/>
      <c r="L516" s="548">
        <f ca="1">L517+L518</f>
        <v>0</v>
      </c>
      <c r="M516" s="47">
        <f ca="1">M517+M518</f>
        <v>0</v>
      </c>
      <c r="N516" s="47">
        <f ca="1">N517+N518</f>
        <v>0</v>
      </c>
      <c r="O516" s="47">
        <f ca="1">IF(L516&gt;0,N516*100/L516,0)</f>
        <v>0</v>
      </c>
      <c r="P516" s="47">
        <f ca="1">IF(M516&gt;0,N516*100/M516,0)</f>
        <v>0</v>
      </c>
      <c r="Q516" s="47">
        <f>Q517+Q518</f>
        <v>0</v>
      </c>
      <c r="R516" s="47">
        <f>R517+R518</f>
        <v>0</v>
      </c>
      <c r="S516" s="47">
        <f>S517+S518</f>
        <v>0</v>
      </c>
      <c r="T516" s="47">
        <f>IF(Q516&gt;0,S516*100/Q516,0)</f>
        <v>0</v>
      </c>
      <c r="U516" s="47">
        <f>IF(R516&gt;0,S516*100/R516,0)</f>
        <v>0</v>
      </c>
    </row>
    <row r="517" spans="1:21" ht="18.75" hidden="1" x14ac:dyDescent="0.25">
      <c r="A517" s="128"/>
      <c r="B517" s="41"/>
      <c r="C517" s="41"/>
      <c r="D517" s="41"/>
      <c r="E517" s="157" t="s">
        <v>36</v>
      </c>
      <c r="F517" s="41"/>
      <c r="G517" s="43"/>
      <c r="H517" s="160" t="s">
        <v>14</v>
      </c>
      <c r="I517" s="135"/>
      <c r="J517" s="135"/>
      <c r="K517" s="136"/>
      <c r="L517" s="549">
        <v>0</v>
      </c>
      <c r="M517" s="49">
        <v>0</v>
      </c>
      <c r="N517" s="49">
        <v>0</v>
      </c>
      <c r="O517" s="49">
        <f>IF(L517&gt;0,N517*100/L517,0)</f>
        <v>0</v>
      </c>
      <c r="P517" s="49">
        <f>IF(M517&gt;0,N517*100/M517,0)</f>
        <v>0</v>
      </c>
      <c r="Q517" s="49">
        <v>0</v>
      </c>
      <c r="R517" s="49">
        <v>0</v>
      </c>
      <c r="S517" s="49">
        <v>0</v>
      </c>
      <c r="T517" s="49">
        <f>IF(Q517&gt;0,S517*100/Q517,0)</f>
        <v>0</v>
      </c>
      <c r="U517" s="49">
        <f>IF(R517&gt;0,S517*100/R517,0)</f>
        <v>0</v>
      </c>
    </row>
    <row r="518" spans="1:21" ht="18.75" hidden="1" x14ac:dyDescent="0.25">
      <c r="A518" s="128"/>
      <c r="B518" s="41"/>
      <c r="C518" s="41"/>
      <c r="D518" s="41"/>
      <c r="E518" s="157" t="s">
        <v>37</v>
      </c>
      <c r="F518" s="41"/>
      <c r="G518" s="43"/>
      <c r="H518" s="160" t="s">
        <v>14</v>
      </c>
      <c r="I518" s="135"/>
      <c r="J518" s="135"/>
      <c r="K518" s="136"/>
      <c r="L518" s="548">
        <f ca="1">IFERROR(__xludf.DUMMYFUNCTION("IMPORTRANGE(""https://docs.google.com/spreadsheets/d/1-uDff_7J0KD5mKrp0Vvzr7lt3OU09vwQwhkpOPPYv2Y/edit?usp=sharing"",""งบพรบ!FM82"")"),0)</f>
        <v>0</v>
      </c>
      <c r="M518" s="47">
        <f ca="1">IFERROR(__xludf.DUMMYFUNCTION("IMPORTRANGE(""https://docs.google.com/spreadsheets/d/1-uDff_7J0KD5mKrp0Vvzr7lt3OU09vwQwhkpOPPYv2Y/edit?usp=sharing"",""งบพรบ!FR82"")"),0)</f>
        <v>0</v>
      </c>
      <c r="N518" s="47">
        <f ca="1">IFERROR(__xludf.DUMMYFUNCTION("IMPORTRANGE(""https://docs.google.com/spreadsheets/d/1-uDff_7J0KD5mKrp0Vvzr7lt3OU09vwQwhkpOPPYv2Y/edit?usp=sharing"",""งบพรบ!FT82"")"),0)</f>
        <v>0</v>
      </c>
      <c r="O518" s="47">
        <f ca="1">IF(L518&gt;0,N518*100/L518,0)</f>
        <v>0</v>
      </c>
      <c r="P518" s="47">
        <f ca="1">IF(M518&gt;0,N518*100/M518,0)</f>
        <v>0</v>
      </c>
      <c r="Q518" s="47">
        <v>0</v>
      </c>
      <c r="R518" s="47">
        <v>0</v>
      </c>
      <c r="S518" s="47">
        <v>0</v>
      </c>
      <c r="T518" s="47">
        <f>IF(Q518&gt;0,S518*100/Q518,0)</f>
        <v>0</v>
      </c>
      <c r="U518" s="47">
        <f>IF(R518&gt;0,S518*100/R518,0)</f>
        <v>0</v>
      </c>
    </row>
    <row r="519" spans="1:21" ht="18.75" hidden="1" x14ac:dyDescent="0.25">
      <c r="A519" s="128"/>
      <c r="B519" s="41"/>
      <c r="C519" s="41"/>
      <c r="D519" s="828" t="s">
        <v>23</v>
      </c>
      <c r="E519" s="41"/>
      <c r="F519" s="41"/>
      <c r="G519" s="43"/>
      <c r="H519" s="493" t="s">
        <v>14</v>
      </c>
      <c r="I519" s="135"/>
      <c r="J519" s="135"/>
      <c r="K519" s="136"/>
      <c r="L519" s="548">
        <f ca="1">L520+L521</f>
        <v>0</v>
      </c>
      <c r="M519" s="47">
        <f ca="1">M520+M521</f>
        <v>0</v>
      </c>
      <c r="N519" s="47">
        <f ca="1">N520+N521</f>
        <v>0</v>
      </c>
      <c r="O519" s="47">
        <f ca="1">IF(L519&gt;0,N519*100/L519,0)</f>
        <v>0</v>
      </c>
      <c r="P519" s="47">
        <f ca="1">IF(M519&gt;0,N519*100/M519,0)</f>
        <v>0</v>
      </c>
      <c r="Q519" s="47">
        <f>Q520+Q521</f>
        <v>0</v>
      </c>
      <c r="R519" s="47">
        <f>R520+R521</f>
        <v>0</v>
      </c>
      <c r="S519" s="47">
        <f>S520+S521</f>
        <v>0</v>
      </c>
      <c r="T519" s="47">
        <f>IF(Q519&gt;0,S519*100/Q519,0)</f>
        <v>0</v>
      </c>
      <c r="U519" s="47">
        <f>IF(R519&gt;0,S519*100/R519,0)</f>
        <v>0</v>
      </c>
    </row>
    <row r="520" spans="1:21" ht="18.75" hidden="1" x14ac:dyDescent="0.25">
      <c r="A520" s="128"/>
      <c r="B520" s="41"/>
      <c r="C520" s="41"/>
      <c r="D520" s="41"/>
      <c r="E520" s="157" t="s">
        <v>20</v>
      </c>
      <c r="F520" s="41"/>
      <c r="G520" s="43"/>
      <c r="H520" s="160" t="s">
        <v>14</v>
      </c>
      <c r="I520" s="135"/>
      <c r="J520" s="135"/>
      <c r="K520" s="136"/>
      <c r="L520" s="549">
        <v>0</v>
      </c>
      <c r="M520" s="49">
        <v>0</v>
      </c>
      <c r="N520" s="49">
        <v>0</v>
      </c>
      <c r="O520" s="49">
        <f>IF(L520&gt;0,N520*100/L520,0)</f>
        <v>0</v>
      </c>
      <c r="P520" s="49">
        <f>IF(M520&gt;0,N520*100/M520,0)</f>
        <v>0</v>
      </c>
      <c r="Q520" s="49">
        <v>0</v>
      </c>
      <c r="R520" s="49">
        <v>0</v>
      </c>
      <c r="S520" s="49">
        <v>0</v>
      </c>
      <c r="T520" s="49">
        <f>IF(Q520&gt;0,S520*100/Q520,0)</f>
        <v>0</v>
      </c>
      <c r="U520" s="49">
        <f>IF(R520&gt;0,S520*100/R520,0)</f>
        <v>0</v>
      </c>
    </row>
    <row r="521" spans="1:21" ht="18.75" hidden="1" x14ac:dyDescent="0.25">
      <c r="A521" s="128"/>
      <c r="B521" s="41"/>
      <c r="C521" s="41"/>
      <c r="D521" s="41"/>
      <c r="E521" s="157" t="s">
        <v>21</v>
      </c>
      <c r="F521" s="41"/>
      <c r="G521" s="43"/>
      <c r="H521" s="493" t="s">
        <v>14</v>
      </c>
      <c r="I521" s="135"/>
      <c r="J521" s="135"/>
      <c r="K521" s="136"/>
      <c r="L521" s="548">
        <f ca="1">IFERROR(__xludf.DUMMYFUNCTION("IMPORTRANGE(""https://docs.google.com/spreadsheets/d/1-uDff_7J0KD5mKrp0Vvzr7lt3OU09vwQwhkpOPPYv2Y/edit?usp=sharing"",""งบพรบ!FP82"")"),0)</f>
        <v>0</v>
      </c>
      <c r="M521" s="47">
        <f ca="1">IFERROR(__xludf.DUMMYFUNCTION("IMPORTRANGE(""https://docs.google.com/spreadsheets/d/1-uDff_7J0KD5mKrp0Vvzr7lt3OU09vwQwhkpOPPYv2Y/edit?usp=sharing"",""งบพรบ!FS82"")"),0)</f>
        <v>0</v>
      </c>
      <c r="N521" s="47">
        <f ca="1">IFERROR(__xludf.DUMMYFUNCTION("IMPORTRANGE(""https://docs.google.com/spreadsheets/d/1-uDff_7J0KD5mKrp0Vvzr7lt3OU09vwQwhkpOPPYv2Y/edit?usp=sharing"",""งบพรบ!FU82"")"),0)</f>
        <v>0</v>
      </c>
      <c r="O521" s="47">
        <f ca="1">IF(L521&gt;0,N521*100/L521,0)</f>
        <v>0</v>
      </c>
      <c r="P521" s="47">
        <f ca="1">IF(M521&gt;0,N521*100/M521,0)</f>
        <v>0</v>
      </c>
      <c r="Q521" s="47">
        <v>0</v>
      </c>
      <c r="R521" s="47">
        <v>0</v>
      </c>
      <c r="S521" s="47">
        <v>0</v>
      </c>
      <c r="T521" s="47">
        <f>IF(Q521&gt;0,S521*100/Q521,0)</f>
        <v>0</v>
      </c>
      <c r="U521" s="47">
        <f>IF(R521&gt;0,S521*100/R521,0)</f>
        <v>0</v>
      </c>
    </row>
    <row r="522" spans="1:21" ht="19.5" hidden="1" x14ac:dyDescent="0.3">
      <c r="A522" s="138"/>
      <c r="B522" s="139"/>
      <c r="C522" s="744" t="s">
        <v>18</v>
      </c>
      <c r="D522" s="582" t="s">
        <v>38</v>
      </c>
      <c r="E522" s="141"/>
      <c r="F522" s="141"/>
      <c r="G522" s="142"/>
      <c r="H522" s="143"/>
      <c r="I522" s="135"/>
      <c r="J522" s="45"/>
      <c r="K522" s="46"/>
      <c r="L522" s="546"/>
      <c r="M522" s="46"/>
      <c r="N522" s="46"/>
      <c r="O522" s="136"/>
      <c r="P522" s="136"/>
      <c r="Q522" s="46"/>
      <c r="R522" s="46"/>
      <c r="S522" s="46"/>
      <c r="T522" s="136"/>
      <c r="U522" s="136"/>
    </row>
    <row r="523" spans="1:21" ht="18.75" hidden="1" x14ac:dyDescent="0.25">
      <c r="A523" s="217"/>
      <c r="B523" s="41"/>
      <c r="C523" s="159"/>
      <c r="D523" s="190" t="s">
        <v>208</v>
      </c>
      <c r="E523" s="139"/>
      <c r="F523" s="41"/>
      <c r="G523" s="43"/>
      <c r="H523" s="770" t="s">
        <v>11</v>
      </c>
      <c r="I523" s="495">
        <v>0</v>
      </c>
      <c r="J523" s="737">
        <v>0</v>
      </c>
      <c r="K523" s="49">
        <f>IF(I523&gt;0,J523*100/I523,0)</f>
        <v>0</v>
      </c>
      <c r="L523" s="546"/>
      <c r="M523" s="46"/>
      <c r="N523" s="46"/>
      <c r="O523" s="46"/>
      <c r="P523" s="46"/>
      <c r="Q523" s="46"/>
      <c r="R523" s="46"/>
      <c r="S523" s="46"/>
      <c r="T523" s="46"/>
      <c r="U523" s="46"/>
    </row>
    <row r="524" spans="1:21" ht="18.75" hidden="1" x14ac:dyDescent="0.25">
      <c r="A524" s="350"/>
      <c r="B524" s="1"/>
      <c r="C524" s="3"/>
      <c r="D524" s="827" t="s">
        <v>209</v>
      </c>
      <c r="E524" s="264"/>
      <c r="F524" s="1"/>
      <c r="G524" s="53"/>
      <c r="H524" s="826" t="s">
        <v>61</v>
      </c>
      <c r="I524" s="498">
        <v>0</v>
      </c>
      <c r="J524" s="773">
        <v>0</v>
      </c>
      <c r="K524" s="772">
        <f>IF(I524&gt;0,J524*100/I524,0)</f>
        <v>0</v>
      </c>
      <c r="L524" s="546"/>
      <c r="M524" s="46"/>
      <c r="N524" s="46"/>
      <c r="O524" s="46"/>
      <c r="P524" s="46"/>
      <c r="Q524" s="46"/>
      <c r="R524" s="46"/>
      <c r="S524" s="46"/>
      <c r="T524" s="46"/>
      <c r="U524" s="46"/>
    </row>
    <row r="525" spans="1:21" ht="12.75" hidden="1" x14ac:dyDescent="0.2">
      <c r="A525" s="615"/>
      <c r="B525" s="614"/>
      <c r="C525" s="614"/>
      <c r="D525" s="613"/>
      <c r="E525" s="613"/>
      <c r="F525" s="613"/>
      <c r="G525" s="612"/>
      <c r="H525" s="611"/>
      <c r="I525" s="610"/>
      <c r="J525" s="610"/>
      <c r="K525" s="609"/>
      <c r="L525" s="590"/>
      <c r="M525" s="247"/>
      <c r="N525" s="247"/>
      <c r="O525" s="247"/>
      <c r="P525" s="247"/>
      <c r="Q525" s="247"/>
      <c r="R525" s="247"/>
      <c r="S525" s="247"/>
      <c r="T525" s="247"/>
      <c r="U525" s="247"/>
    </row>
    <row r="526" spans="1:21" ht="12.75" hidden="1" x14ac:dyDescent="0.2">
      <c r="A526" s="241"/>
      <c r="B526" s="242"/>
      <c r="C526" s="242"/>
      <c r="D526" s="243"/>
      <c r="E526" s="243"/>
      <c r="F526" s="243"/>
      <c r="G526" s="244"/>
      <c r="H526" s="245"/>
      <c r="I526" s="246"/>
      <c r="J526" s="246"/>
      <c r="K526" s="247"/>
      <c r="L526" s="590"/>
      <c r="M526" s="247"/>
      <c r="N526" s="247"/>
      <c r="O526" s="247"/>
      <c r="P526" s="247"/>
      <c r="Q526" s="247"/>
      <c r="R526" s="247"/>
      <c r="S526" s="247"/>
      <c r="T526" s="247"/>
      <c r="U526" s="247"/>
    </row>
    <row r="527" spans="1:21" ht="12.75" hidden="1" x14ac:dyDescent="0.2">
      <c r="A527" s="241"/>
      <c r="B527" s="242"/>
      <c r="C527" s="242"/>
      <c r="D527" s="243"/>
      <c r="E527" s="243"/>
      <c r="F527" s="243"/>
      <c r="G527" s="244"/>
      <c r="H527" s="245"/>
      <c r="I527" s="246"/>
      <c r="J527" s="246"/>
      <c r="K527" s="247"/>
      <c r="L527" s="590"/>
      <c r="M527" s="247"/>
      <c r="N527" s="247"/>
      <c r="O527" s="247"/>
      <c r="P527" s="247"/>
      <c r="Q527" s="247"/>
      <c r="R527" s="247"/>
      <c r="S527" s="247"/>
      <c r="T527" s="247"/>
      <c r="U527" s="247"/>
    </row>
    <row r="528" spans="1:21" ht="12.75" hidden="1" x14ac:dyDescent="0.2">
      <c r="A528" s="241"/>
      <c r="B528" s="242"/>
      <c r="C528" s="242"/>
      <c r="D528" s="243"/>
      <c r="E528" s="243"/>
      <c r="F528" s="243"/>
      <c r="G528" s="244"/>
      <c r="H528" s="245"/>
      <c r="I528" s="246"/>
      <c r="J528" s="246"/>
      <c r="K528" s="247"/>
      <c r="L528" s="590"/>
      <c r="M528" s="247"/>
      <c r="N528" s="247"/>
      <c r="O528" s="247"/>
      <c r="P528" s="247"/>
      <c r="Q528" s="247"/>
      <c r="R528" s="247"/>
      <c r="S528" s="247"/>
      <c r="T528" s="247"/>
      <c r="U528" s="247"/>
    </row>
    <row r="529" spans="1:21" ht="12.75" hidden="1" x14ac:dyDescent="0.2">
      <c r="A529" s="241"/>
      <c r="B529" s="242"/>
      <c r="C529" s="242"/>
      <c r="D529" s="243"/>
      <c r="E529" s="243"/>
      <c r="F529" s="243"/>
      <c r="G529" s="244"/>
      <c r="H529" s="245"/>
      <c r="I529" s="246"/>
      <c r="J529" s="246"/>
      <c r="K529" s="247"/>
      <c r="L529" s="590"/>
      <c r="M529" s="247"/>
      <c r="N529" s="247"/>
      <c r="O529" s="247"/>
      <c r="P529" s="247"/>
      <c r="Q529" s="247"/>
      <c r="R529" s="247"/>
      <c r="S529" s="247"/>
      <c r="T529" s="247"/>
      <c r="U529" s="247"/>
    </row>
    <row r="530" spans="1:21" ht="12.75" hidden="1" x14ac:dyDescent="0.2">
      <c r="A530" s="241"/>
      <c r="B530" s="242"/>
      <c r="C530" s="242"/>
      <c r="D530" s="243"/>
      <c r="E530" s="243"/>
      <c r="F530" s="243"/>
      <c r="G530" s="244"/>
      <c r="H530" s="245"/>
      <c r="I530" s="246"/>
      <c r="J530" s="246"/>
      <c r="K530" s="247"/>
      <c r="L530" s="590"/>
      <c r="M530" s="247"/>
      <c r="N530" s="247"/>
      <c r="O530" s="247"/>
      <c r="P530" s="247"/>
      <c r="Q530" s="247"/>
      <c r="R530" s="247"/>
      <c r="S530" s="247"/>
      <c r="T530" s="247"/>
      <c r="U530" s="247"/>
    </row>
    <row r="531" spans="1:21" ht="12.75" hidden="1" x14ac:dyDescent="0.2">
      <c r="A531" s="241"/>
      <c r="B531" s="242"/>
      <c r="C531" s="242"/>
      <c r="D531" s="243"/>
      <c r="E531" s="243"/>
      <c r="F531" s="243"/>
      <c r="G531" s="244"/>
      <c r="H531" s="245"/>
      <c r="I531" s="246"/>
      <c r="J531" s="246"/>
      <c r="K531" s="247"/>
      <c r="L531" s="590"/>
      <c r="M531" s="247"/>
      <c r="N531" s="247"/>
      <c r="O531" s="247"/>
      <c r="P531" s="247"/>
      <c r="Q531" s="247"/>
      <c r="R531" s="247"/>
      <c r="S531" s="247"/>
      <c r="T531" s="247"/>
      <c r="U531" s="247"/>
    </row>
    <row r="532" spans="1:21" ht="12.75" hidden="1" x14ac:dyDescent="0.2">
      <c r="A532" s="381"/>
      <c r="B532" s="333"/>
      <c r="C532" s="333"/>
      <c r="D532" s="382"/>
      <c r="E532" s="382"/>
      <c r="F532" s="382"/>
      <c r="G532" s="383"/>
      <c r="H532" s="334"/>
      <c r="I532" s="335"/>
      <c r="J532" s="335"/>
      <c r="K532" s="336"/>
      <c r="L532" s="562"/>
      <c r="M532" s="336"/>
      <c r="N532" s="336"/>
      <c r="O532" s="336"/>
      <c r="P532" s="336"/>
      <c r="Q532" s="336"/>
      <c r="R532" s="336"/>
      <c r="S532" s="336"/>
      <c r="T532" s="336"/>
      <c r="U532" s="336"/>
    </row>
    <row r="533" spans="1:21" ht="19.5" hidden="1" x14ac:dyDescent="0.3">
      <c r="A533" s="370"/>
      <c r="B533" s="371" t="s">
        <v>210</v>
      </c>
      <c r="C533" s="372"/>
      <c r="D533" s="373"/>
      <c r="E533" s="373"/>
      <c r="F533" s="373"/>
      <c r="G533" s="374"/>
      <c r="H533" s="384" t="s">
        <v>61</v>
      </c>
      <c r="I533" s="593">
        <f>I545</f>
        <v>0</v>
      </c>
      <c r="J533" s="593">
        <f>J545</f>
        <v>0</v>
      </c>
      <c r="K533" s="377">
        <f>IF(I533&gt;0,J533*100/I533,0)</f>
        <v>0</v>
      </c>
      <c r="L533" s="592"/>
      <c r="M533" s="378"/>
      <c r="N533" s="378"/>
      <c r="O533" s="378"/>
      <c r="P533" s="378"/>
      <c r="Q533" s="378"/>
      <c r="R533" s="378"/>
      <c r="S533" s="378"/>
      <c r="T533" s="378"/>
      <c r="U533" s="378"/>
    </row>
    <row r="534" spans="1:21" ht="19.5" hidden="1" x14ac:dyDescent="0.3">
      <c r="A534" s="128"/>
      <c r="B534" s="41"/>
      <c r="C534" s="129" t="s">
        <v>18</v>
      </c>
      <c r="D534" s="591" t="s">
        <v>19</v>
      </c>
      <c r="E534" s="41"/>
      <c r="F534" s="41"/>
      <c r="G534" s="43"/>
      <c r="H534" s="131" t="s">
        <v>14</v>
      </c>
      <c r="I534" s="45"/>
      <c r="J534" s="45"/>
      <c r="K534" s="46"/>
      <c r="L534" s="550">
        <f ca="1">L535+L536</f>
        <v>0</v>
      </c>
      <c r="M534" s="132">
        <f ca="1">M535+M536</f>
        <v>0</v>
      </c>
      <c r="N534" s="132">
        <f ca="1">N535+N536</f>
        <v>0</v>
      </c>
      <c r="O534" s="132">
        <f ca="1">IF(L534&gt;0,N534*100/L534,0)</f>
        <v>0</v>
      </c>
      <c r="P534" s="132">
        <f ca="1">IF(M534&gt;0,N534*100/M534,0)</f>
        <v>0</v>
      </c>
      <c r="Q534" s="132">
        <f>Q535+Q536</f>
        <v>0</v>
      </c>
      <c r="R534" s="132">
        <f>R535+R536</f>
        <v>0</v>
      </c>
      <c r="S534" s="132">
        <f>S535+S536</f>
        <v>0</v>
      </c>
      <c r="T534" s="132">
        <f>IF(Q534&gt;0,S534*100/Q534,0)</f>
        <v>0</v>
      </c>
      <c r="U534" s="132">
        <f>IF(R534&gt;0,S534*100/R534,0)</f>
        <v>0</v>
      </c>
    </row>
    <row r="535" spans="1:21" ht="18.75" hidden="1" x14ac:dyDescent="0.25">
      <c r="A535" s="128"/>
      <c r="B535" s="159"/>
      <c r="C535" s="41"/>
      <c r="D535" s="41"/>
      <c r="E535" s="157" t="s">
        <v>20</v>
      </c>
      <c r="F535" s="41"/>
      <c r="G535" s="43"/>
      <c r="H535" s="158" t="s">
        <v>14</v>
      </c>
      <c r="I535" s="45"/>
      <c r="J535" s="45"/>
      <c r="K535" s="46"/>
      <c r="L535" s="549">
        <f>L538+L541</f>
        <v>0</v>
      </c>
      <c r="M535" s="49">
        <f>M538+M541</f>
        <v>0</v>
      </c>
      <c r="N535" s="49">
        <f>N538+N541</f>
        <v>0</v>
      </c>
      <c r="O535" s="49">
        <f>IF(L535&gt;0,N535*100/L535,0)</f>
        <v>0</v>
      </c>
      <c r="P535" s="49">
        <f>IF(M535&gt;0,N535*100/M535,0)</f>
        <v>0</v>
      </c>
      <c r="Q535" s="49">
        <f>Q538+Q541</f>
        <v>0</v>
      </c>
      <c r="R535" s="49">
        <f>R538+R541</f>
        <v>0</v>
      </c>
      <c r="S535" s="49">
        <f>S538+S541</f>
        <v>0</v>
      </c>
      <c r="T535" s="49">
        <f>IF(Q535&gt;0,S535*100/Q535,0)</f>
        <v>0</v>
      </c>
      <c r="U535" s="49">
        <f>IF(R535&gt;0,S535*100/R535,0)</f>
        <v>0</v>
      </c>
    </row>
    <row r="536" spans="1:21" ht="18.75" hidden="1" x14ac:dyDescent="0.25">
      <c r="A536" s="128"/>
      <c r="B536" s="41"/>
      <c r="C536" s="159"/>
      <c r="D536" s="41"/>
      <c r="E536" s="218" t="s">
        <v>21</v>
      </c>
      <c r="F536" s="41"/>
      <c r="G536" s="43"/>
      <c r="H536" s="133" t="s">
        <v>14</v>
      </c>
      <c r="I536" s="45"/>
      <c r="J536" s="45"/>
      <c r="K536" s="46"/>
      <c r="L536" s="548">
        <f ca="1">L539+L542</f>
        <v>0</v>
      </c>
      <c r="M536" s="47">
        <f ca="1">M539+M542</f>
        <v>0</v>
      </c>
      <c r="N536" s="47">
        <f ca="1">N539+N542</f>
        <v>0</v>
      </c>
      <c r="O536" s="47">
        <f ca="1">IF(L536&gt;0,N536*100/L536,0)</f>
        <v>0</v>
      </c>
      <c r="P536" s="47">
        <f ca="1">IF(M536&gt;0,N536*100/M536,0)</f>
        <v>0</v>
      </c>
      <c r="Q536" s="47">
        <f>Q539+Q542</f>
        <v>0</v>
      </c>
      <c r="R536" s="47">
        <f>R539+R542</f>
        <v>0</v>
      </c>
      <c r="S536" s="47">
        <f>S539+S542</f>
        <v>0</v>
      </c>
      <c r="T536" s="47">
        <f>IF(Q536&gt;0,S536*100/Q536,0)</f>
        <v>0</v>
      </c>
      <c r="U536" s="47">
        <f>IF(R536&gt;0,S536*100/R536,0)</f>
        <v>0</v>
      </c>
    </row>
    <row r="537" spans="1:21" ht="18.75" hidden="1" x14ac:dyDescent="0.25">
      <c r="A537" s="128"/>
      <c r="B537" s="41"/>
      <c r="C537" s="159"/>
      <c r="D537" s="42" t="s">
        <v>22</v>
      </c>
      <c r="E537" s="159"/>
      <c r="F537" s="41"/>
      <c r="G537" s="43"/>
      <c r="H537" s="134" t="s">
        <v>14</v>
      </c>
      <c r="I537" s="135"/>
      <c r="J537" s="135"/>
      <c r="K537" s="136"/>
      <c r="L537" s="548">
        <f ca="1">L538+L539</f>
        <v>0</v>
      </c>
      <c r="M537" s="47">
        <f ca="1">M538+M539</f>
        <v>0</v>
      </c>
      <c r="N537" s="47">
        <f ca="1">N538+N539</f>
        <v>0</v>
      </c>
      <c r="O537" s="47">
        <f ca="1">IF(L537&gt;0,N537*100/L537,0)</f>
        <v>0</v>
      </c>
      <c r="P537" s="47">
        <f ca="1">IF(M537&gt;0,N537*100/M537,0)</f>
        <v>0</v>
      </c>
      <c r="Q537" s="47">
        <f>Q538+Q539</f>
        <v>0</v>
      </c>
      <c r="R537" s="47">
        <f>R538+R539</f>
        <v>0</v>
      </c>
      <c r="S537" s="47">
        <f>S538+S539</f>
        <v>0</v>
      </c>
      <c r="T537" s="47">
        <f>IF(Q537&gt;0,S537*100/Q537,0)</f>
        <v>0</v>
      </c>
      <c r="U537" s="47">
        <f>IF(R537&gt;0,S537*100/R537,0)</f>
        <v>0</v>
      </c>
    </row>
    <row r="538" spans="1:21" ht="18.75" hidden="1" x14ac:dyDescent="0.25">
      <c r="A538" s="128"/>
      <c r="B538" s="41"/>
      <c r="C538" s="41"/>
      <c r="D538" s="41"/>
      <c r="E538" s="157" t="s">
        <v>36</v>
      </c>
      <c r="F538" s="41"/>
      <c r="G538" s="43"/>
      <c r="H538" s="160" t="s">
        <v>14</v>
      </c>
      <c r="I538" s="135"/>
      <c r="J538" s="135"/>
      <c r="K538" s="136"/>
      <c r="L538" s="549">
        <v>0</v>
      </c>
      <c r="M538" s="49">
        <v>0</v>
      </c>
      <c r="N538" s="49">
        <v>0</v>
      </c>
      <c r="O538" s="49">
        <f>IF(L538&gt;0,N538*100/L538,0)</f>
        <v>0</v>
      </c>
      <c r="P538" s="49">
        <f>IF(M538&gt;0,N538*100/M538,0)</f>
        <v>0</v>
      </c>
      <c r="Q538" s="49">
        <v>0</v>
      </c>
      <c r="R538" s="49">
        <v>0</v>
      </c>
      <c r="S538" s="49">
        <v>0</v>
      </c>
      <c r="T538" s="49">
        <f>IF(Q538&gt;0,S538*100/Q538,0)</f>
        <v>0</v>
      </c>
      <c r="U538" s="49">
        <f>IF(R538&gt;0,S538*100/R538,0)</f>
        <v>0</v>
      </c>
    </row>
    <row r="539" spans="1:21" ht="18.75" hidden="1" x14ac:dyDescent="0.25">
      <c r="A539" s="128"/>
      <c r="B539" s="41"/>
      <c r="C539" s="41"/>
      <c r="D539" s="41"/>
      <c r="E539" s="48" t="s">
        <v>37</v>
      </c>
      <c r="F539" s="41"/>
      <c r="G539" s="43"/>
      <c r="H539" s="134" t="s">
        <v>14</v>
      </c>
      <c r="I539" s="135"/>
      <c r="J539" s="135"/>
      <c r="K539" s="136"/>
      <c r="L539" s="548">
        <f ca="1">IFERROR(__xludf.DUMMYFUNCTION("IMPORTRANGE(""https://docs.google.com/spreadsheets/d/1-uDff_7J0KD5mKrp0Vvzr7lt3OU09vwQwhkpOPPYv2Y/edit?usp=sharing"",""งบพรบ!FW82"")"),0)</f>
        <v>0</v>
      </c>
      <c r="M539" s="47">
        <f ca="1">IFERROR(__xludf.DUMMYFUNCTION("IMPORTRANGE(""https://docs.google.com/spreadsheets/d/1-uDff_7J0KD5mKrp0Vvzr7lt3OU09vwQwhkpOPPYv2Y/edit?usp=sharing"",""งบพรบ!GB82"")"),0)</f>
        <v>0</v>
      </c>
      <c r="N539" s="47">
        <f ca="1">IFERROR(__xludf.DUMMYFUNCTION("IMPORTRANGE(""https://docs.google.com/spreadsheets/d/1-uDff_7J0KD5mKrp0Vvzr7lt3OU09vwQwhkpOPPYv2Y/edit?usp=sharing"",""งบพรบ!GD82"")"),0)</f>
        <v>0</v>
      </c>
      <c r="O539" s="47">
        <f ca="1">IF(L539&gt;0,N539*100/L539,0)</f>
        <v>0</v>
      </c>
      <c r="P539" s="47">
        <f ca="1">IF(M539&gt;0,N539*100/M539,0)</f>
        <v>0</v>
      </c>
      <c r="Q539" s="47">
        <v>0</v>
      </c>
      <c r="R539" s="47">
        <v>0</v>
      </c>
      <c r="S539" s="47">
        <v>0</v>
      </c>
      <c r="T539" s="47">
        <f>IF(Q539&gt;0,S539*100/Q539,0)</f>
        <v>0</v>
      </c>
      <c r="U539" s="47">
        <f>IF(R539&gt;0,S539*100/R539,0)</f>
        <v>0</v>
      </c>
    </row>
    <row r="540" spans="1:21" ht="18.75" hidden="1" x14ac:dyDescent="0.25">
      <c r="A540" s="128"/>
      <c r="B540" s="41"/>
      <c r="C540" s="41"/>
      <c r="D540" s="42" t="s">
        <v>23</v>
      </c>
      <c r="E540" s="41"/>
      <c r="F540" s="41"/>
      <c r="G540" s="43"/>
      <c r="H540" s="137" t="s">
        <v>14</v>
      </c>
      <c r="I540" s="135"/>
      <c r="J540" s="135"/>
      <c r="K540" s="136"/>
      <c r="L540" s="548">
        <f ca="1">L541+L542</f>
        <v>0</v>
      </c>
      <c r="M540" s="47">
        <f ca="1">M541+M542</f>
        <v>0</v>
      </c>
      <c r="N540" s="47">
        <f ca="1">N541+N542</f>
        <v>0</v>
      </c>
      <c r="O540" s="47">
        <f ca="1">IF(L540&gt;0,N540*100/L540,0)</f>
        <v>0</v>
      </c>
      <c r="P540" s="47">
        <f ca="1">IF(M540&gt;0,N540*100/M540,0)</f>
        <v>0</v>
      </c>
      <c r="Q540" s="47">
        <f>Q541+Q542</f>
        <v>0</v>
      </c>
      <c r="R540" s="47">
        <f>R541+R542</f>
        <v>0</v>
      </c>
      <c r="S540" s="47">
        <f>S541+S542</f>
        <v>0</v>
      </c>
      <c r="T540" s="47">
        <f>IF(Q540&gt;0,S540*100/Q540,0)</f>
        <v>0</v>
      </c>
      <c r="U540" s="47">
        <f>IF(R540&gt;0,S540*100/R540,0)</f>
        <v>0</v>
      </c>
    </row>
    <row r="541" spans="1:21" ht="18.75" hidden="1" x14ac:dyDescent="0.25">
      <c r="A541" s="128"/>
      <c r="B541" s="41"/>
      <c r="C541" s="41"/>
      <c r="D541" s="41"/>
      <c r="E541" s="157" t="s">
        <v>20</v>
      </c>
      <c r="F541" s="41"/>
      <c r="G541" s="43"/>
      <c r="H541" s="160" t="s">
        <v>14</v>
      </c>
      <c r="I541" s="135"/>
      <c r="J541" s="135"/>
      <c r="K541" s="136"/>
      <c r="L541" s="549">
        <v>0</v>
      </c>
      <c r="M541" s="49">
        <v>0</v>
      </c>
      <c r="N541" s="49">
        <v>0</v>
      </c>
      <c r="O541" s="49">
        <f>IF(L541&gt;0,N541*100/L541,0)</f>
        <v>0</v>
      </c>
      <c r="P541" s="49">
        <f>IF(M541&gt;0,N541*100/M541,0)</f>
        <v>0</v>
      </c>
      <c r="Q541" s="49">
        <v>0</v>
      </c>
      <c r="R541" s="49">
        <v>0</v>
      </c>
      <c r="S541" s="49">
        <v>0</v>
      </c>
      <c r="T541" s="49">
        <f>IF(Q541&gt;0,S541*100/Q541,0)</f>
        <v>0</v>
      </c>
      <c r="U541" s="49">
        <f>IF(R541&gt;0,S541*100/R541,0)</f>
        <v>0</v>
      </c>
    </row>
    <row r="542" spans="1:21" ht="18.75" hidden="1" x14ac:dyDescent="0.25">
      <c r="A542" s="128"/>
      <c r="B542" s="41"/>
      <c r="C542" s="41"/>
      <c r="D542" s="41"/>
      <c r="E542" s="48" t="s">
        <v>21</v>
      </c>
      <c r="F542" s="41"/>
      <c r="G542" s="43"/>
      <c r="H542" s="137" t="s">
        <v>14</v>
      </c>
      <c r="I542" s="135"/>
      <c r="J542" s="135"/>
      <c r="K542" s="136"/>
      <c r="L542" s="548">
        <f ca="1">IFERROR(__xludf.DUMMYFUNCTION("IMPORTRANGE(""https://docs.google.com/spreadsheets/d/1-uDff_7J0KD5mKrp0Vvzr7lt3OU09vwQwhkpOPPYv2Y/edit?usp=sharing"",""งบพรบ!FZ82"")"),0)</f>
        <v>0</v>
      </c>
      <c r="M542" s="47">
        <f ca="1">IFERROR(__xludf.DUMMYFUNCTION("IMPORTRANGE(""https://docs.google.com/spreadsheets/d/1-uDff_7J0KD5mKrp0Vvzr7lt3OU09vwQwhkpOPPYv2Y/edit?usp=sharing"",""งบพรบ!GC82"")"),0)</f>
        <v>0</v>
      </c>
      <c r="N542" s="47">
        <f ca="1">IFERROR(__xludf.DUMMYFUNCTION("IMPORTRANGE(""https://docs.google.com/spreadsheets/d/1-uDff_7J0KD5mKrp0Vvzr7lt3OU09vwQwhkpOPPYv2Y/edit?usp=sharing"",""งบพรบ!GE82"")"),0)</f>
        <v>0</v>
      </c>
      <c r="O542" s="47">
        <f ca="1">IF(L542&gt;0,N542*100/L542,0)</f>
        <v>0</v>
      </c>
      <c r="P542" s="47">
        <f ca="1">IF(M542&gt;0,N542*100/M542,0)</f>
        <v>0</v>
      </c>
      <c r="Q542" s="47">
        <v>0</v>
      </c>
      <c r="R542" s="47">
        <v>0</v>
      </c>
      <c r="S542" s="47">
        <v>0</v>
      </c>
      <c r="T542" s="47">
        <f>IF(Q542&gt;0,S542*100/Q542,0)</f>
        <v>0</v>
      </c>
      <c r="U542" s="47">
        <f>IF(R542&gt;0,S542*100/R542,0)</f>
        <v>0</v>
      </c>
    </row>
    <row r="543" spans="1:21" ht="19.5" hidden="1" x14ac:dyDescent="0.3">
      <c r="A543" s="138"/>
      <c r="B543" s="139"/>
      <c r="C543" s="386" t="s">
        <v>18</v>
      </c>
      <c r="D543" s="563" t="s">
        <v>38</v>
      </c>
      <c r="E543" s="141"/>
      <c r="F543" s="141"/>
      <c r="G543" s="142"/>
      <c r="H543" s="143"/>
      <c r="I543" s="135"/>
      <c r="J543" s="45"/>
      <c r="K543" s="46"/>
      <c r="L543" s="546"/>
      <c r="M543" s="46"/>
      <c r="N543" s="46"/>
      <c r="O543" s="136"/>
      <c r="P543" s="136"/>
      <c r="Q543" s="46"/>
      <c r="R543" s="46"/>
      <c r="S543" s="46"/>
      <c r="T543" s="136"/>
      <c r="U543" s="136"/>
    </row>
    <row r="544" spans="1:21" ht="12.75" hidden="1" x14ac:dyDescent="0.2">
      <c r="A544" s="241"/>
      <c r="B544" s="243"/>
      <c r="C544" s="242"/>
      <c r="D544" s="243"/>
      <c r="E544" s="242"/>
      <c r="F544" s="243"/>
      <c r="G544" s="244"/>
      <c r="H544" s="244"/>
      <c r="I544" s="246"/>
      <c r="J544" s="246"/>
      <c r="K544" s="247"/>
      <c r="L544" s="590"/>
      <c r="M544" s="247"/>
      <c r="N544" s="247"/>
      <c r="O544" s="247"/>
      <c r="P544" s="247"/>
      <c r="Q544" s="247"/>
      <c r="R544" s="247"/>
      <c r="S544" s="247"/>
      <c r="T544" s="247"/>
      <c r="U544" s="247"/>
    </row>
    <row r="545" spans="1:21" ht="12.75" hidden="1" x14ac:dyDescent="0.2">
      <c r="A545" s="241"/>
      <c r="B545" s="243"/>
      <c r="C545" s="242"/>
      <c r="D545" s="243"/>
      <c r="E545" s="242"/>
      <c r="F545" s="243"/>
      <c r="G545" s="244"/>
      <c r="H545" s="244"/>
      <c r="I545" s="246"/>
      <c r="J545" s="246"/>
      <c r="K545" s="247"/>
      <c r="L545" s="590"/>
      <c r="M545" s="247"/>
      <c r="N545" s="247"/>
      <c r="O545" s="247"/>
      <c r="P545" s="247"/>
      <c r="Q545" s="247"/>
      <c r="R545" s="247"/>
      <c r="S545" s="247"/>
      <c r="T545" s="247"/>
      <c r="U545" s="247"/>
    </row>
    <row r="546" spans="1:21" ht="12.75" hidden="1" x14ac:dyDescent="0.2">
      <c r="A546" s="241"/>
      <c r="B546" s="242"/>
      <c r="C546" s="242"/>
      <c r="D546" s="243"/>
      <c r="E546" s="243"/>
      <c r="F546" s="243"/>
      <c r="G546" s="244"/>
      <c r="H546" s="245"/>
      <c r="I546" s="246"/>
      <c r="J546" s="246"/>
      <c r="K546" s="247"/>
      <c r="L546" s="590"/>
      <c r="M546" s="247"/>
      <c r="N546" s="247"/>
      <c r="O546" s="247"/>
      <c r="P546" s="247"/>
      <c r="Q546" s="247"/>
      <c r="R546" s="247"/>
      <c r="S546" s="247"/>
      <c r="T546" s="247"/>
      <c r="U546" s="247"/>
    </row>
    <row r="547" spans="1:21" ht="12.75" hidden="1" x14ac:dyDescent="0.2">
      <c r="A547" s="241"/>
      <c r="B547" s="242"/>
      <c r="C547" s="242"/>
      <c r="D547" s="243"/>
      <c r="E547" s="243"/>
      <c r="F547" s="243"/>
      <c r="G547" s="244"/>
      <c r="H547" s="245"/>
      <c r="I547" s="246"/>
      <c r="J547" s="246"/>
      <c r="K547" s="247"/>
      <c r="L547" s="590"/>
      <c r="M547" s="247"/>
      <c r="N547" s="247"/>
      <c r="O547" s="247"/>
      <c r="P547" s="247"/>
      <c r="Q547" s="247"/>
      <c r="R547" s="247"/>
      <c r="S547" s="247"/>
      <c r="T547" s="247"/>
      <c r="U547" s="247"/>
    </row>
    <row r="548" spans="1:21" ht="12.75" hidden="1" x14ac:dyDescent="0.2">
      <c r="A548" s="241"/>
      <c r="B548" s="242"/>
      <c r="C548" s="242"/>
      <c r="D548" s="243"/>
      <c r="E548" s="243"/>
      <c r="F548" s="243"/>
      <c r="G548" s="244"/>
      <c r="H548" s="245"/>
      <c r="I548" s="246"/>
      <c r="J548" s="246"/>
      <c r="K548" s="247"/>
      <c r="L548" s="590"/>
      <c r="M548" s="247"/>
      <c r="N548" s="247"/>
      <c r="O548" s="247"/>
      <c r="P548" s="247"/>
      <c r="Q548" s="247"/>
      <c r="R548" s="247"/>
      <c r="S548" s="247"/>
      <c r="T548" s="247"/>
      <c r="U548" s="247"/>
    </row>
    <row r="549" spans="1:21" ht="12.75" hidden="1" x14ac:dyDescent="0.2">
      <c r="A549" s="241"/>
      <c r="B549" s="242"/>
      <c r="C549" s="242"/>
      <c r="D549" s="243"/>
      <c r="E549" s="243"/>
      <c r="F549" s="243"/>
      <c r="G549" s="244"/>
      <c r="H549" s="245"/>
      <c r="I549" s="246"/>
      <c r="J549" s="246"/>
      <c r="K549" s="247"/>
      <c r="L549" s="590"/>
      <c r="M549" s="247"/>
      <c r="N549" s="247"/>
      <c r="O549" s="247"/>
      <c r="P549" s="247"/>
      <c r="Q549" s="247"/>
      <c r="R549" s="247"/>
      <c r="S549" s="247"/>
      <c r="T549" s="247"/>
      <c r="U549" s="247"/>
    </row>
    <row r="550" spans="1:21" ht="12.75" hidden="1" x14ac:dyDescent="0.2">
      <c r="A550" s="241"/>
      <c r="B550" s="242"/>
      <c r="C550" s="242"/>
      <c r="D550" s="243"/>
      <c r="E550" s="243"/>
      <c r="F550" s="243"/>
      <c r="G550" s="244"/>
      <c r="H550" s="245"/>
      <c r="I550" s="246"/>
      <c r="J550" s="246"/>
      <c r="K550" s="247"/>
      <c r="L550" s="590"/>
      <c r="M550" s="247"/>
      <c r="N550" s="247"/>
      <c r="O550" s="247"/>
      <c r="P550" s="247"/>
      <c r="Q550" s="247"/>
      <c r="R550" s="247"/>
      <c r="S550" s="247"/>
      <c r="T550" s="247"/>
      <c r="U550" s="247"/>
    </row>
    <row r="551" spans="1:21" ht="12.75" hidden="1" x14ac:dyDescent="0.2">
      <c r="A551" s="241"/>
      <c r="B551" s="242"/>
      <c r="C551" s="242"/>
      <c r="D551" s="243"/>
      <c r="E551" s="243"/>
      <c r="F551" s="243"/>
      <c r="G551" s="244"/>
      <c r="H551" s="245"/>
      <c r="I551" s="246"/>
      <c r="J551" s="246"/>
      <c r="K551" s="247"/>
      <c r="L551" s="590"/>
      <c r="M551" s="247"/>
      <c r="N551" s="247"/>
      <c r="O551" s="247"/>
      <c r="P551" s="247"/>
      <c r="Q551" s="247"/>
      <c r="R551" s="247"/>
      <c r="S551" s="247"/>
      <c r="T551" s="247"/>
      <c r="U551" s="247"/>
    </row>
    <row r="552" spans="1:21" ht="12.75" hidden="1" x14ac:dyDescent="0.2">
      <c r="A552" s="241"/>
      <c r="B552" s="242"/>
      <c r="C552" s="242"/>
      <c r="D552" s="243"/>
      <c r="E552" s="243"/>
      <c r="F552" s="243"/>
      <c r="G552" s="244"/>
      <c r="H552" s="245"/>
      <c r="I552" s="246"/>
      <c r="J552" s="246"/>
      <c r="K552" s="247"/>
      <c r="L552" s="590"/>
      <c r="M552" s="247"/>
      <c r="N552" s="247"/>
      <c r="O552" s="247"/>
      <c r="P552" s="247"/>
      <c r="Q552" s="247"/>
      <c r="R552" s="247"/>
      <c r="S552" s="247"/>
      <c r="T552" s="247"/>
      <c r="U552" s="247"/>
    </row>
    <row r="553" spans="1:21" ht="12.75" hidden="1" x14ac:dyDescent="0.2">
      <c r="A553" s="381"/>
      <c r="B553" s="333"/>
      <c r="C553" s="333"/>
      <c r="D553" s="382"/>
      <c r="E553" s="382"/>
      <c r="F553" s="382"/>
      <c r="G553" s="383"/>
      <c r="H553" s="334"/>
      <c r="I553" s="335"/>
      <c r="J553" s="335"/>
      <c r="K553" s="336"/>
      <c r="L553" s="562"/>
      <c r="M553" s="336"/>
      <c r="N553" s="336"/>
      <c r="O553" s="336"/>
      <c r="P553" s="336"/>
      <c r="Q553" s="336"/>
      <c r="R553" s="336"/>
      <c r="S553" s="336"/>
      <c r="T553" s="336"/>
      <c r="U553" s="336"/>
    </row>
    <row r="554" spans="1:21" ht="19.5" hidden="1" x14ac:dyDescent="0.3">
      <c r="A554" s="370"/>
      <c r="B554" s="371" t="s">
        <v>211</v>
      </c>
      <c r="C554" s="372"/>
      <c r="D554" s="373"/>
      <c r="E554" s="373"/>
      <c r="F554" s="373"/>
      <c r="G554" s="374"/>
      <c r="H554" s="384" t="s">
        <v>61</v>
      </c>
      <c r="I554" s="593">
        <f>I566</f>
        <v>0</v>
      </c>
      <c r="J554" s="593">
        <f>J566</f>
        <v>0</v>
      </c>
      <c r="K554" s="377">
        <f>IF(I554&gt;0,J554*100/I554,0)</f>
        <v>0</v>
      </c>
      <c r="L554" s="592"/>
      <c r="M554" s="378"/>
      <c r="N554" s="378"/>
      <c r="O554" s="378"/>
      <c r="P554" s="378"/>
      <c r="Q554" s="378"/>
      <c r="R554" s="378"/>
      <c r="S554" s="378"/>
      <c r="T554" s="378"/>
      <c r="U554" s="378"/>
    </row>
    <row r="555" spans="1:21" ht="19.5" hidden="1" x14ac:dyDescent="0.3">
      <c r="A555" s="128"/>
      <c r="B555" s="41"/>
      <c r="C555" s="129" t="s">
        <v>18</v>
      </c>
      <c r="D555" s="591" t="s">
        <v>19</v>
      </c>
      <c r="E555" s="41"/>
      <c r="F555" s="41"/>
      <c r="G555" s="43"/>
      <c r="H555" s="131" t="s">
        <v>14</v>
      </c>
      <c r="I555" s="45"/>
      <c r="J555" s="45"/>
      <c r="K555" s="46"/>
      <c r="L555" s="550">
        <f ca="1">L556+L557</f>
        <v>0</v>
      </c>
      <c r="M555" s="132">
        <f ca="1">M556+M557</f>
        <v>0</v>
      </c>
      <c r="N555" s="132">
        <f ca="1">N556+N557</f>
        <v>0</v>
      </c>
      <c r="O555" s="132">
        <f ca="1">IF(L555&gt;0,N555*100/L555,0)</f>
        <v>0</v>
      </c>
      <c r="P555" s="132">
        <f ca="1">IF(M555&gt;0,N555*100/M555,0)</f>
        <v>0</v>
      </c>
      <c r="Q555" s="132">
        <f>Q556+Q557</f>
        <v>0</v>
      </c>
      <c r="R555" s="132">
        <f>R556+R557</f>
        <v>0</v>
      </c>
      <c r="S555" s="132">
        <f>S556+S557</f>
        <v>0</v>
      </c>
      <c r="T555" s="132">
        <f>IF(Q555&gt;0,S555*100/Q555,0)</f>
        <v>0</v>
      </c>
      <c r="U555" s="132">
        <f>IF(R555&gt;0,S555*100/R555,0)</f>
        <v>0</v>
      </c>
    </row>
    <row r="556" spans="1:21" ht="18.75" hidden="1" x14ac:dyDescent="0.25">
      <c r="A556" s="128"/>
      <c r="B556" s="159"/>
      <c r="C556" s="41"/>
      <c r="D556" s="41"/>
      <c r="E556" s="157" t="s">
        <v>20</v>
      </c>
      <c r="F556" s="41"/>
      <c r="G556" s="43"/>
      <c r="H556" s="158" t="s">
        <v>14</v>
      </c>
      <c r="I556" s="45"/>
      <c r="J556" s="45"/>
      <c r="K556" s="46"/>
      <c r="L556" s="549">
        <f>L559+L562</f>
        <v>0</v>
      </c>
      <c r="M556" s="49">
        <f>M559+M562</f>
        <v>0</v>
      </c>
      <c r="N556" s="49">
        <f>N559+N562</f>
        <v>0</v>
      </c>
      <c r="O556" s="49">
        <f>IF(L556&gt;0,N556*100/L556,0)</f>
        <v>0</v>
      </c>
      <c r="P556" s="49">
        <f>IF(M556&gt;0,N556*100/M556,0)</f>
        <v>0</v>
      </c>
      <c r="Q556" s="49">
        <f>Q559+Q562</f>
        <v>0</v>
      </c>
      <c r="R556" s="49">
        <f>R559+R562</f>
        <v>0</v>
      </c>
      <c r="S556" s="49">
        <f>S559+S562</f>
        <v>0</v>
      </c>
      <c r="T556" s="49">
        <f>IF(Q556&gt;0,S556*100/Q556,0)</f>
        <v>0</v>
      </c>
      <c r="U556" s="49">
        <f>IF(R556&gt;0,S556*100/R556,0)</f>
        <v>0</v>
      </c>
    </row>
    <row r="557" spans="1:21" ht="18.75" hidden="1" x14ac:dyDescent="0.25">
      <c r="A557" s="128"/>
      <c r="B557" s="41"/>
      <c r="C557" s="159"/>
      <c r="D557" s="41"/>
      <c r="E557" s="218" t="s">
        <v>21</v>
      </c>
      <c r="F557" s="41"/>
      <c r="G557" s="43"/>
      <c r="H557" s="133" t="s">
        <v>14</v>
      </c>
      <c r="I557" s="45"/>
      <c r="J557" s="45"/>
      <c r="K557" s="46"/>
      <c r="L557" s="548">
        <f ca="1">L560+L563</f>
        <v>0</v>
      </c>
      <c r="M557" s="47">
        <f ca="1">M560+M563</f>
        <v>0</v>
      </c>
      <c r="N557" s="47">
        <f ca="1">N560+N563</f>
        <v>0</v>
      </c>
      <c r="O557" s="47">
        <f ca="1">IF(L557&gt;0,N557*100/L557,0)</f>
        <v>0</v>
      </c>
      <c r="P557" s="47">
        <f ca="1">IF(M557&gt;0,N557*100/M557,0)</f>
        <v>0</v>
      </c>
      <c r="Q557" s="47">
        <f>Q560+Q563</f>
        <v>0</v>
      </c>
      <c r="R557" s="47">
        <f>R560+R563</f>
        <v>0</v>
      </c>
      <c r="S557" s="47">
        <f>S560+S563</f>
        <v>0</v>
      </c>
      <c r="T557" s="47">
        <f>IF(Q557&gt;0,S557*100/Q557,0)</f>
        <v>0</v>
      </c>
      <c r="U557" s="47">
        <f>IF(R557&gt;0,S557*100/R557,0)</f>
        <v>0</v>
      </c>
    </row>
    <row r="558" spans="1:21" ht="18.75" hidden="1" x14ac:dyDescent="0.25">
      <c r="A558" s="128"/>
      <c r="B558" s="41"/>
      <c r="C558" s="159"/>
      <c r="D558" s="42" t="s">
        <v>22</v>
      </c>
      <c r="E558" s="159"/>
      <c r="F558" s="41"/>
      <c r="G558" s="43"/>
      <c r="H558" s="134" t="s">
        <v>14</v>
      </c>
      <c r="I558" s="135"/>
      <c r="J558" s="135"/>
      <c r="K558" s="136"/>
      <c r="L558" s="548">
        <f ca="1">L559+L560</f>
        <v>0</v>
      </c>
      <c r="M558" s="47">
        <f ca="1">M559+M560</f>
        <v>0</v>
      </c>
      <c r="N558" s="47">
        <f ca="1">N559+N560</f>
        <v>0</v>
      </c>
      <c r="O558" s="47">
        <f ca="1">IF(L558&gt;0,N558*100/L558,0)</f>
        <v>0</v>
      </c>
      <c r="P558" s="47">
        <f ca="1">IF(M558&gt;0,N558*100/M558,0)</f>
        <v>0</v>
      </c>
      <c r="Q558" s="47">
        <f>Q559+Q560</f>
        <v>0</v>
      </c>
      <c r="R558" s="47">
        <f>R559+R560</f>
        <v>0</v>
      </c>
      <c r="S558" s="47">
        <f>S559+S560</f>
        <v>0</v>
      </c>
      <c r="T558" s="47">
        <f>IF(Q558&gt;0,S558*100/Q558,0)</f>
        <v>0</v>
      </c>
      <c r="U558" s="47">
        <f>IF(R558&gt;0,S558*100/R558,0)</f>
        <v>0</v>
      </c>
    </row>
    <row r="559" spans="1:21" ht="18.75" hidden="1" x14ac:dyDescent="0.25">
      <c r="A559" s="128"/>
      <c r="B559" s="41"/>
      <c r="C559" s="41"/>
      <c r="D559" s="41"/>
      <c r="E559" s="157" t="s">
        <v>36</v>
      </c>
      <c r="F559" s="41"/>
      <c r="G559" s="43"/>
      <c r="H559" s="160" t="s">
        <v>14</v>
      </c>
      <c r="I559" s="135"/>
      <c r="J559" s="135"/>
      <c r="K559" s="136"/>
      <c r="L559" s="549">
        <v>0</v>
      </c>
      <c r="M559" s="49">
        <v>0</v>
      </c>
      <c r="N559" s="49">
        <v>0</v>
      </c>
      <c r="O559" s="49">
        <f>IF(L559&gt;0,N559*100/L559,0)</f>
        <v>0</v>
      </c>
      <c r="P559" s="49">
        <f>IF(M559&gt;0,N559*100/M559,0)</f>
        <v>0</v>
      </c>
      <c r="Q559" s="49">
        <v>0</v>
      </c>
      <c r="R559" s="49">
        <v>0</v>
      </c>
      <c r="S559" s="49">
        <v>0</v>
      </c>
      <c r="T559" s="49">
        <f>IF(Q559&gt;0,S559*100/Q559,0)</f>
        <v>0</v>
      </c>
      <c r="U559" s="49">
        <f>IF(R559&gt;0,S559*100/R559,0)</f>
        <v>0</v>
      </c>
    </row>
    <row r="560" spans="1:21" ht="18.75" hidden="1" x14ac:dyDescent="0.25">
      <c r="A560" s="128"/>
      <c r="B560" s="41"/>
      <c r="C560" s="41"/>
      <c r="D560" s="41"/>
      <c r="E560" s="48" t="s">
        <v>37</v>
      </c>
      <c r="F560" s="41"/>
      <c r="G560" s="43"/>
      <c r="H560" s="134" t="s">
        <v>14</v>
      </c>
      <c r="I560" s="135"/>
      <c r="J560" s="135"/>
      <c r="K560" s="136"/>
      <c r="L560" s="548">
        <f ca="1">IFERROR(__xludf.DUMMYFUNCTION("IMPORTRANGE(""https://docs.google.com/spreadsheets/d/1-uDff_7J0KD5mKrp0Vvzr7lt3OU09vwQwhkpOPPYv2Y/edit?usp=sharing"",""งบพรบ!GG82"")"),0)</f>
        <v>0</v>
      </c>
      <c r="M560" s="47">
        <f ca="1">IFERROR(__xludf.DUMMYFUNCTION("IMPORTRANGE(""https://docs.google.com/spreadsheets/d/1-uDff_7J0KD5mKrp0Vvzr7lt3OU09vwQwhkpOPPYv2Y/edit?usp=sharing"",""งบพรบ!GL82"")"),0)</f>
        <v>0</v>
      </c>
      <c r="N560" s="47">
        <f ca="1">IFERROR(__xludf.DUMMYFUNCTION("IMPORTRANGE(""https://docs.google.com/spreadsheets/d/1-uDff_7J0KD5mKrp0Vvzr7lt3OU09vwQwhkpOPPYv2Y/edit?usp=sharing"",""งบพรบ!GN82"")"),0)</f>
        <v>0</v>
      </c>
      <c r="O560" s="47">
        <f ca="1">IF(L560&gt;0,N560*100/L560,0)</f>
        <v>0</v>
      </c>
      <c r="P560" s="47">
        <f ca="1">IF(M560&gt;0,N560*100/M560,0)</f>
        <v>0</v>
      </c>
      <c r="Q560" s="47">
        <v>0</v>
      </c>
      <c r="R560" s="47">
        <v>0</v>
      </c>
      <c r="S560" s="47">
        <v>0</v>
      </c>
      <c r="T560" s="47">
        <f>IF(Q560&gt;0,S560*100/Q560,0)</f>
        <v>0</v>
      </c>
      <c r="U560" s="47">
        <f>IF(R560&gt;0,S560*100/R560,0)</f>
        <v>0</v>
      </c>
    </row>
    <row r="561" spans="1:21" ht="18.75" hidden="1" x14ac:dyDescent="0.25">
      <c r="A561" s="128"/>
      <c r="B561" s="41"/>
      <c r="C561" s="41"/>
      <c r="D561" s="42" t="s">
        <v>23</v>
      </c>
      <c r="E561" s="41"/>
      <c r="F561" s="41"/>
      <c r="G561" s="43"/>
      <c r="H561" s="137" t="s">
        <v>14</v>
      </c>
      <c r="I561" s="135"/>
      <c r="J561" s="135"/>
      <c r="K561" s="136"/>
      <c r="L561" s="548">
        <f ca="1">L562+L563</f>
        <v>0</v>
      </c>
      <c r="M561" s="47">
        <f ca="1">M562+M563</f>
        <v>0</v>
      </c>
      <c r="N561" s="47">
        <f ca="1">N562+N563</f>
        <v>0</v>
      </c>
      <c r="O561" s="47">
        <f ca="1">IF(L561&gt;0,N561*100/L561,0)</f>
        <v>0</v>
      </c>
      <c r="P561" s="47">
        <f ca="1">IF(M561&gt;0,N561*100/M561,0)</f>
        <v>0</v>
      </c>
      <c r="Q561" s="47">
        <f>Q562+Q563</f>
        <v>0</v>
      </c>
      <c r="R561" s="47">
        <f>R562+R563</f>
        <v>0</v>
      </c>
      <c r="S561" s="47">
        <f>S562+S563</f>
        <v>0</v>
      </c>
      <c r="T561" s="47">
        <f>IF(Q561&gt;0,S561*100/Q561,0)</f>
        <v>0</v>
      </c>
      <c r="U561" s="47">
        <f>IF(R561&gt;0,S561*100/R561,0)</f>
        <v>0</v>
      </c>
    </row>
    <row r="562" spans="1:21" ht="18.75" hidden="1" x14ac:dyDescent="0.25">
      <c r="A562" s="128"/>
      <c r="B562" s="41"/>
      <c r="C562" s="41"/>
      <c r="D562" s="41"/>
      <c r="E562" s="157" t="s">
        <v>20</v>
      </c>
      <c r="F562" s="41"/>
      <c r="G562" s="43"/>
      <c r="H562" s="160" t="s">
        <v>14</v>
      </c>
      <c r="I562" s="135"/>
      <c r="J562" s="135"/>
      <c r="K562" s="136"/>
      <c r="L562" s="549">
        <v>0</v>
      </c>
      <c r="M562" s="49">
        <v>0</v>
      </c>
      <c r="N562" s="49">
        <v>0</v>
      </c>
      <c r="O562" s="49">
        <f>IF(L562&gt;0,N562*100/L562,0)</f>
        <v>0</v>
      </c>
      <c r="P562" s="49">
        <f>IF(M562&gt;0,N562*100/M562,0)</f>
        <v>0</v>
      </c>
      <c r="Q562" s="49">
        <v>0</v>
      </c>
      <c r="R562" s="49">
        <v>0</v>
      </c>
      <c r="S562" s="49">
        <v>0</v>
      </c>
      <c r="T562" s="49">
        <f>IF(Q562&gt;0,S562*100/Q562,0)</f>
        <v>0</v>
      </c>
      <c r="U562" s="49">
        <f>IF(R562&gt;0,S562*100/R562,0)</f>
        <v>0</v>
      </c>
    </row>
    <row r="563" spans="1:21" ht="18.75" hidden="1" x14ac:dyDescent="0.25">
      <c r="A563" s="128"/>
      <c r="B563" s="41"/>
      <c r="C563" s="41"/>
      <c r="D563" s="41"/>
      <c r="E563" s="48" t="s">
        <v>21</v>
      </c>
      <c r="F563" s="41"/>
      <c r="G563" s="43"/>
      <c r="H563" s="137" t="s">
        <v>14</v>
      </c>
      <c r="I563" s="135"/>
      <c r="J563" s="135"/>
      <c r="K563" s="136"/>
      <c r="L563" s="548">
        <f ca="1">IFERROR(__xludf.DUMMYFUNCTION("IMPORTRANGE(""https://docs.google.com/spreadsheets/d/1-uDff_7J0KD5mKrp0Vvzr7lt3OU09vwQwhkpOPPYv2Y/edit?usp=sharing"",""งบพรบ!GJ82"")"),0)</f>
        <v>0</v>
      </c>
      <c r="M563" s="47">
        <f ca="1">IFERROR(__xludf.DUMMYFUNCTION("IMPORTRANGE(""https://docs.google.com/spreadsheets/d/1-uDff_7J0KD5mKrp0Vvzr7lt3OU09vwQwhkpOPPYv2Y/edit?usp=sharing"",""งบพรบ!GM82"")"),0)</f>
        <v>0</v>
      </c>
      <c r="N563" s="47">
        <f ca="1">IFERROR(__xludf.DUMMYFUNCTION("IMPORTRANGE(""https://docs.google.com/spreadsheets/d/1-uDff_7J0KD5mKrp0Vvzr7lt3OU09vwQwhkpOPPYv2Y/edit?usp=sharing"",""งบพรบ!GO82"")"),0)</f>
        <v>0</v>
      </c>
      <c r="O563" s="47">
        <f ca="1">IF(L563&gt;0,N563*100/L563,0)</f>
        <v>0</v>
      </c>
      <c r="P563" s="47">
        <f ca="1">IF(M563&gt;0,N563*100/M563,0)</f>
        <v>0</v>
      </c>
      <c r="Q563" s="47">
        <v>0</v>
      </c>
      <c r="R563" s="47">
        <v>0</v>
      </c>
      <c r="S563" s="47">
        <v>0</v>
      </c>
      <c r="T563" s="47">
        <f>IF(Q563&gt;0,S563*100/Q563,0)</f>
        <v>0</v>
      </c>
      <c r="U563" s="47">
        <f>IF(R563&gt;0,S563*100/R563,0)</f>
        <v>0</v>
      </c>
    </row>
    <row r="564" spans="1:21" ht="19.5" hidden="1" x14ac:dyDescent="0.3">
      <c r="A564" s="138"/>
      <c r="B564" s="139"/>
      <c r="C564" s="386" t="s">
        <v>18</v>
      </c>
      <c r="D564" s="563" t="s">
        <v>38</v>
      </c>
      <c r="E564" s="141"/>
      <c r="F564" s="141"/>
      <c r="G564" s="142"/>
      <c r="H564" s="143"/>
      <c r="I564" s="135"/>
      <c r="J564" s="45"/>
      <c r="K564" s="46"/>
      <c r="L564" s="546"/>
      <c r="M564" s="46"/>
      <c r="N564" s="46"/>
      <c r="O564" s="136"/>
      <c r="P564" s="136"/>
      <c r="Q564" s="46"/>
      <c r="R564" s="46"/>
      <c r="S564" s="46"/>
      <c r="T564" s="136"/>
      <c r="U564" s="136"/>
    </row>
    <row r="565" spans="1:21" ht="12.75" hidden="1" x14ac:dyDescent="0.2">
      <c r="A565" s="241"/>
      <c r="B565" s="243"/>
      <c r="C565" s="242"/>
      <c r="D565" s="243"/>
      <c r="E565" s="242"/>
      <c r="F565" s="243"/>
      <c r="G565" s="244"/>
      <c r="H565" s="244"/>
      <c r="I565" s="246"/>
      <c r="J565" s="246"/>
      <c r="K565" s="247"/>
      <c r="L565" s="590"/>
      <c r="M565" s="247"/>
      <c r="N565" s="247"/>
      <c r="O565" s="247"/>
      <c r="P565" s="247"/>
      <c r="Q565" s="247"/>
      <c r="R565" s="247"/>
      <c r="S565" s="247"/>
      <c r="T565" s="247"/>
      <c r="U565" s="247"/>
    </row>
    <row r="566" spans="1:21" ht="12.75" hidden="1" x14ac:dyDescent="0.2">
      <c r="A566" s="241"/>
      <c r="B566" s="243"/>
      <c r="C566" s="242"/>
      <c r="D566" s="243"/>
      <c r="E566" s="242"/>
      <c r="F566" s="243"/>
      <c r="G566" s="244"/>
      <c r="H566" s="244"/>
      <c r="I566" s="246"/>
      <c r="J566" s="246"/>
      <c r="K566" s="247"/>
      <c r="L566" s="590"/>
      <c r="M566" s="247"/>
      <c r="N566" s="247"/>
      <c r="O566" s="247"/>
      <c r="P566" s="247"/>
      <c r="Q566" s="247"/>
      <c r="R566" s="247"/>
      <c r="S566" s="247"/>
      <c r="T566" s="247"/>
      <c r="U566" s="247"/>
    </row>
    <row r="567" spans="1:21" ht="12.75" hidden="1" x14ac:dyDescent="0.2">
      <c r="A567" s="241"/>
      <c r="B567" s="242"/>
      <c r="C567" s="242"/>
      <c r="D567" s="243"/>
      <c r="E567" s="243"/>
      <c r="F567" s="243"/>
      <c r="G567" s="244"/>
      <c r="H567" s="245"/>
      <c r="I567" s="246"/>
      <c r="J567" s="246"/>
      <c r="K567" s="247"/>
      <c r="L567" s="590"/>
      <c r="M567" s="247"/>
      <c r="N567" s="247"/>
      <c r="O567" s="247"/>
      <c r="P567" s="247"/>
      <c r="Q567" s="247"/>
      <c r="R567" s="247"/>
      <c r="S567" s="247"/>
      <c r="T567" s="247"/>
      <c r="U567" s="247"/>
    </row>
    <row r="568" spans="1:21" ht="12.75" hidden="1" x14ac:dyDescent="0.2">
      <c r="A568" s="241"/>
      <c r="B568" s="242"/>
      <c r="C568" s="242"/>
      <c r="D568" s="243"/>
      <c r="E568" s="243"/>
      <c r="F568" s="243"/>
      <c r="G568" s="244"/>
      <c r="H568" s="245"/>
      <c r="I568" s="246"/>
      <c r="J568" s="246"/>
      <c r="K568" s="247"/>
      <c r="L568" s="590"/>
      <c r="M568" s="247"/>
      <c r="N568" s="247"/>
      <c r="O568" s="247"/>
      <c r="P568" s="247"/>
      <c r="Q568" s="247"/>
      <c r="R568" s="247"/>
      <c r="S568" s="247"/>
      <c r="T568" s="247"/>
      <c r="U568" s="247"/>
    </row>
    <row r="569" spans="1:21" ht="12.75" hidden="1" x14ac:dyDescent="0.2">
      <c r="A569" s="241"/>
      <c r="B569" s="242"/>
      <c r="C569" s="242"/>
      <c r="D569" s="243"/>
      <c r="E569" s="243"/>
      <c r="F569" s="243"/>
      <c r="G569" s="244"/>
      <c r="H569" s="245"/>
      <c r="I569" s="246"/>
      <c r="J569" s="246"/>
      <c r="K569" s="247"/>
      <c r="L569" s="590"/>
      <c r="M569" s="247"/>
      <c r="N569" s="247"/>
      <c r="O569" s="247"/>
      <c r="P569" s="247"/>
      <c r="Q569" s="247"/>
      <c r="R569" s="247"/>
      <c r="S569" s="247"/>
      <c r="T569" s="247"/>
      <c r="U569" s="247"/>
    </row>
    <row r="570" spans="1:21" ht="12.75" hidden="1" x14ac:dyDescent="0.2">
      <c r="A570" s="241"/>
      <c r="B570" s="242"/>
      <c r="C570" s="242"/>
      <c r="D570" s="243"/>
      <c r="E570" s="243"/>
      <c r="F570" s="243"/>
      <c r="G570" s="244"/>
      <c r="H570" s="245"/>
      <c r="I570" s="246"/>
      <c r="J570" s="246"/>
      <c r="K570" s="247"/>
      <c r="L570" s="590"/>
      <c r="M570" s="247"/>
      <c r="N570" s="247"/>
      <c r="O570" s="247"/>
      <c r="P570" s="247"/>
      <c r="Q570" s="247"/>
      <c r="R570" s="247"/>
      <c r="S570" s="247"/>
      <c r="T570" s="247"/>
      <c r="U570" s="247"/>
    </row>
    <row r="571" spans="1:21" ht="12.75" hidden="1" x14ac:dyDescent="0.2">
      <c r="A571" s="241"/>
      <c r="B571" s="242"/>
      <c r="C571" s="242"/>
      <c r="D571" s="243"/>
      <c r="E571" s="243"/>
      <c r="F571" s="243"/>
      <c r="G571" s="244"/>
      <c r="H571" s="245"/>
      <c r="I571" s="246"/>
      <c r="J571" s="246"/>
      <c r="K571" s="247"/>
      <c r="L571" s="590"/>
      <c r="M571" s="247"/>
      <c r="N571" s="247"/>
      <c r="O571" s="247"/>
      <c r="P571" s="247"/>
      <c r="Q571" s="247"/>
      <c r="R571" s="247"/>
      <c r="S571" s="247"/>
      <c r="T571" s="247"/>
      <c r="U571" s="247"/>
    </row>
    <row r="572" spans="1:21" ht="12.75" hidden="1" x14ac:dyDescent="0.2">
      <c r="A572" s="241"/>
      <c r="B572" s="242"/>
      <c r="C572" s="242"/>
      <c r="D572" s="243"/>
      <c r="E572" s="243"/>
      <c r="F572" s="243"/>
      <c r="G572" s="244"/>
      <c r="H572" s="245"/>
      <c r="I572" s="246"/>
      <c r="J572" s="246"/>
      <c r="K572" s="247"/>
      <c r="L572" s="590"/>
      <c r="M572" s="247"/>
      <c r="N572" s="247"/>
      <c r="O572" s="247"/>
      <c r="P572" s="247"/>
      <c r="Q572" s="247"/>
      <c r="R572" s="247"/>
      <c r="S572" s="247"/>
      <c r="T572" s="247"/>
      <c r="U572" s="247"/>
    </row>
    <row r="573" spans="1:21" ht="12.75" hidden="1" x14ac:dyDescent="0.2">
      <c r="A573" s="241"/>
      <c r="B573" s="242"/>
      <c r="C573" s="242"/>
      <c r="D573" s="243"/>
      <c r="E573" s="243"/>
      <c r="F573" s="243"/>
      <c r="G573" s="244"/>
      <c r="H573" s="245"/>
      <c r="I573" s="246"/>
      <c r="J573" s="246"/>
      <c r="K573" s="247"/>
      <c r="L573" s="590"/>
      <c r="M573" s="247"/>
      <c r="N573" s="247"/>
      <c r="O573" s="247"/>
      <c r="P573" s="247"/>
      <c r="Q573" s="247"/>
      <c r="R573" s="247"/>
      <c r="S573" s="247"/>
      <c r="T573" s="247"/>
      <c r="U573" s="247"/>
    </row>
    <row r="574" spans="1:21" ht="12.75" hidden="1" x14ac:dyDescent="0.2">
      <c r="A574" s="381"/>
      <c r="B574" s="333"/>
      <c r="C574" s="333"/>
      <c r="D574" s="382"/>
      <c r="E574" s="382"/>
      <c r="F574" s="382"/>
      <c r="G574" s="383"/>
      <c r="H574" s="334"/>
      <c r="I574" s="335"/>
      <c r="J574" s="335"/>
      <c r="K574" s="336"/>
      <c r="L574" s="562"/>
      <c r="M574" s="336"/>
      <c r="N574" s="336"/>
      <c r="O574" s="336"/>
      <c r="P574" s="336"/>
      <c r="Q574" s="336"/>
      <c r="R574" s="336"/>
      <c r="S574" s="336"/>
      <c r="T574" s="336"/>
      <c r="U574" s="336"/>
    </row>
    <row r="575" spans="1:21" ht="19.5" x14ac:dyDescent="0.3">
      <c r="A575" s="370"/>
      <c r="B575" s="371" t="s">
        <v>213</v>
      </c>
      <c r="C575" s="372"/>
      <c r="D575" s="373"/>
      <c r="E575" s="373"/>
      <c r="F575" s="373"/>
      <c r="G575" s="374"/>
      <c r="H575" s="384" t="s">
        <v>61</v>
      </c>
      <c r="I575" s="385">
        <f>I587</f>
        <v>7</v>
      </c>
      <c r="J575" s="385">
        <f>J587</f>
        <v>0</v>
      </c>
      <c r="K575" s="377">
        <f>IF(I575&gt;0,J575*100/I575,0)</f>
        <v>0</v>
      </c>
      <c r="L575" s="592"/>
      <c r="M575" s="378"/>
      <c r="N575" s="378"/>
      <c r="O575" s="378"/>
      <c r="P575" s="378"/>
      <c r="Q575" s="378"/>
      <c r="R575" s="378"/>
      <c r="S575" s="378"/>
      <c r="T575" s="378"/>
      <c r="U575" s="378"/>
    </row>
    <row r="576" spans="1:21" ht="19.5" x14ac:dyDescent="0.3">
      <c r="A576" s="128"/>
      <c r="B576" s="41"/>
      <c r="C576" s="386" t="s">
        <v>18</v>
      </c>
      <c r="D576" s="591" t="s">
        <v>19</v>
      </c>
      <c r="E576" s="41"/>
      <c r="F576" s="41"/>
      <c r="G576" s="43"/>
      <c r="H576" s="131" t="s">
        <v>14</v>
      </c>
      <c r="I576" s="45"/>
      <c r="J576" s="45"/>
      <c r="K576" s="46"/>
      <c r="L576" s="550">
        <f ca="1">L577+L578</f>
        <v>394333</v>
      </c>
      <c r="M576" s="132">
        <f ca="1">M577+M578</f>
        <v>394333</v>
      </c>
      <c r="N576" s="132">
        <f ca="1">N577+N578</f>
        <v>0</v>
      </c>
      <c r="O576" s="132">
        <f ca="1">IF(L576&gt;0,N576*100/L576,0)</f>
        <v>0</v>
      </c>
      <c r="P576" s="132">
        <f ca="1">IF(M576&gt;0,N576*100/M576,0)</f>
        <v>0</v>
      </c>
      <c r="Q576" s="132">
        <f>Q577+Q578</f>
        <v>0</v>
      </c>
      <c r="R576" s="132">
        <f>R577+R578</f>
        <v>0</v>
      </c>
      <c r="S576" s="132">
        <f>S577+S578</f>
        <v>0</v>
      </c>
      <c r="T576" s="132">
        <f>IF(Q576&gt;0,S576*100/Q576,0)</f>
        <v>0</v>
      </c>
      <c r="U576" s="132">
        <f>IF(R576&gt;0,S576*100/R576,0)</f>
        <v>0</v>
      </c>
    </row>
    <row r="577" spans="1:21" ht="18.75" hidden="1" x14ac:dyDescent="0.25">
      <c r="A577" s="128"/>
      <c r="B577" s="159"/>
      <c r="C577" s="41"/>
      <c r="D577" s="41"/>
      <c r="E577" s="157" t="s">
        <v>20</v>
      </c>
      <c r="F577" s="41"/>
      <c r="G577" s="43"/>
      <c r="H577" s="158" t="s">
        <v>14</v>
      </c>
      <c r="I577" s="45"/>
      <c r="J577" s="45"/>
      <c r="K577" s="46"/>
      <c r="L577" s="549">
        <f>L580+L583</f>
        <v>0</v>
      </c>
      <c r="M577" s="49">
        <f>M580+M583</f>
        <v>0</v>
      </c>
      <c r="N577" s="49">
        <f>N580+N583</f>
        <v>0</v>
      </c>
      <c r="O577" s="49">
        <f>IF(L577&gt;0,N577*100/L577,0)</f>
        <v>0</v>
      </c>
      <c r="P577" s="49">
        <f>IF(M577&gt;0,N577*100/M577,0)</f>
        <v>0</v>
      </c>
      <c r="Q577" s="49">
        <f>Q580+Q583</f>
        <v>0</v>
      </c>
      <c r="R577" s="49">
        <f>R580+R583</f>
        <v>0</v>
      </c>
      <c r="S577" s="49">
        <f>S580+S583</f>
        <v>0</v>
      </c>
      <c r="T577" s="49">
        <f>IF(Q577&gt;0,S577*100/Q577,0)</f>
        <v>0</v>
      </c>
      <c r="U577" s="49">
        <f>IF(R577&gt;0,S577*100/R577,0)</f>
        <v>0</v>
      </c>
    </row>
    <row r="578" spans="1:21" ht="18.75" hidden="1" x14ac:dyDescent="0.25">
      <c r="A578" s="128"/>
      <c r="B578" s="41"/>
      <c r="C578" s="159"/>
      <c r="D578" s="41"/>
      <c r="E578" s="218" t="s">
        <v>21</v>
      </c>
      <c r="F578" s="41"/>
      <c r="G578" s="43"/>
      <c r="H578" s="133" t="s">
        <v>14</v>
      </c>
      <c r="I578" s="45"/>
      <c r="J578" s="45"/>
      <c r="K578" s="46"/>
      <c r="L578" s="548">
        <f ca="1">L581+L584</f>
        <v>394333</v>
      </c>
      <c r="M578" s="47">
        <f ca="1">M581+M584</f>
        <v>394333</v>
      </c>
      <c r="N578" s="47">
        <f ca="1">N581+N584</f>
        <v>0</v>
      </c>
      <c r="O578" s="47">
        <f ca="1">IF(L578&gt;0,N578*100/L578,0)</f>
        <v>0</v>
      </c>
      <c r="P578" s="47">
        <f ca="1">IF(M578&gt;0,N578*100/M578,0)</f>
        <v>0</v>
      </c>
      <c r="Q578" s="47">
        <f>Q581+Q584</f>
        <v>0</v>
      </c>
      <c r="R578" s="47">
        <f>R581+R584</f>
        <v>0</v>
      </c>
      <c r="S578" s="47">
        <f>S581+S584</f>
        <v>0</v>
      </c>
      <c r="T578" s="47">
        <f>IF(Q578&gt;0,S578*100/Q578,0)</f>
        <v>0</v>
      </c>
      <c r="U578" s="47">
        <f>IF(R578&gt;0,S578*100/R578,0)</f>
        <v>0</v>
      </c>
    </row>
    <row r="579" spans="1:21" ht="18.75" x14ac:dyDescent="0.25">
      <c r="A579" s="128"/>
      <c r="B579" s="41"/>
      <c r="C579" s="159"/>
      <c r="D579" s="42" t="s">
        <v>22</v>
      </c>
      <c r="E579" s="159"/>
      <c r="F579" s="41"/>
      <c r="G579" s="43"/>
      <c r="H579" s="134" t="s">
        <v>14</v>
      </c>
      <c r="I579" s="135"/>
      <c r="J579" s="135"/>
      <c r="K579" s="136"/>
      <c r="L579" s="548">
        <f ca="1">L580+L581</f>
        <v>394333</v>
      </c>
      <c r="M579" s="47">
        <f ca="1">M580+M581</f>
        <v>394333</v>
      </c>
      <c r="N579" s="47">
        <f ca="1">N580+N581</f>
        <v>0</v>
      </c>
      <c r="O579" s="47">
        <f ca="1">IF(L579&gt;0,N579*100/L579,0)</f>
        <v>0</v>
      </c>
      <c r="P579" s="47">
        <f ca="1">IF(M579&gt;0,N579*100/M579,0)</f>
        <v>0</v>
      </c>
      <c r="Q579" s="47">
        <f>Q580+Q581</f>
        <v>0</v>
      </c>
      <c r="R579" s="47">
        <f>R580+R581</f>
        <v>0</v>
      </c>
      <c r="S579" s="47">
        <f>S580+S581</f>
        <v>0</v>
      </c>
      <c r="T579" s="47">
        <f>IF(Q579&gt;0,S579*100/Q579,0)</f>
        <v>0</v>
      </c>
      <c r="U579" s="47">
        <f>IF(R579&gt;0,S579*100/R579,0)</f>
        <v>0</v>
      </c>
    </row>
    <row r="580" spans="1:21" ht="18.75" hidden="1" x14ac:dyDescent="0.25">
      <c r="A580" s="128"/>
      <c r="B580" s="41"/>
      <c r="C580" s="41"/>
      <c r="D580" s="41"/>
      <c r="E580" s="157" t="s">
        <v>36</v>
      </c>
      <c r="F580" s="41"/>
      <c r="G580" s="43"/>
      <c r="H580" s="160" t="s">
        <v>14</v>
      </c>
      <c r="I580" s="135"/>
      <c r="J580" s="135"/>
      <c r="K580" s="136"/>
      <c r="L580" s="549">
        <v>0</v>
      </c>
      <c r="M580" s="49">
        <v>0</v>
      </c>
      <c r="N580" s="49">
        <v>0</v>
      </c>
      <c r="O580" s="49">
        <f>IF(L580&gt;0,N580*100/L580,0)</f>
        <v>0</v>
      </c>
      <c r="P580" s="49">
        <f>IF(M580&gt;0,N580*100/M580,0)</f>
        <v>0</v>
      </c>
      <c r="Q580" s="49">
        <v>0</v>
      </c>
      <c r="R580" s="49">
        <v>0</v>
      </c>
      <c r="S580" s="49">
        <v>0</v>
      </c>
      <c r="T580" s="49">
        <f>IF(Q580&gt;0,S580*100/Q580,0)</f>
        <v>0</v>
      </c>
      <c r="U580" s="49">
        <f>IF(R580&gt;0,S580*100/R580,0)</f>
        <v>0</v>
      </c>
    </row>
    <row r="581" spans="1:21" ht="18.75" hidden="1" x14ac:dyDescent="0.25">
      <c r="A581" s="128"/>
      <c r="B581" s="41"/>
      <c r="C581" s="41"/>
      <c r="D581" s="41"/>
      <c r="E581" s="48" t="s">
        <v>37</v>
      </c>
      <c r="F581" s="41"/>
      <c r="G581" s="43"/>
      <c r="H581" s="134" t="s">
        <v>14</v>
      </c>
      <c r="I581" s="135"/>
      <c r="J581" s="135"/>
      <c r="K581" s="136"/>
      <c r="L581" s="548">
        <f ca="1">IFERROR(__xludf.DUMMYFUNCTION("IMPORTRANGE(""https://docs.google.com/spreadsheets/d/1-uDff_7J0KD5mKrp0Vvzr7lt3OU09vwQwhkpOPPYv2Y/edit?usp=sharing"",""งบพรบ!GQ82"")"),394333)</f>
        <v>394333</v>
      </c>
      <c r="M581" s="47">
        <f ca="1">IFERROR(__xludf.DUMMYFUNCTION("IMPORTRANGE(""https://docs.google.com/spreadsheets/d/1-uDff_7J0KD5mKrp0Vvzr7lt3OU09vwQwhkpOPPYv2Y/edit?usp=sharing"",""งบพรบ!GV82"")"),394333)</f>
        <v>394333</v>
      </c>
      <c r="N581" s="47">
        <f ca="1">IFERROR(__xludf.DUMMYFUNCTION("IMPORTRANGE(""https://docs.google.com/spreadsheets/d/1-uDff_7J0KD5mKrp0Vvzr7lt3OU09vwQwhkpOPPYv2Y/edit?usp=sharing"",""งบพรบ!GX82"")"),0)</f>
        <v>0</v>
      </c>
      <c r="O581" s="47">
        <f ca="1">IF(L581&gt;0,N581*100/L581,0)</f>
        <v>0</v>
      </c>
      <c r="P581" s="47">
        <f ca="1">IF(M581&gt;0,N581*100/M581,0)</f>
        <v>0</v>
      </c>
      <c r="Q581" s="47">
        <v>0</v>
      </c>
      <c r="R581" s="47">
        <v>0</v>
      </c>
      <c r="S581" s="47">
        <v>0</v>
      </c>
      <c r="T581" s="47">
        <f>IF(Q581&gt;0,S581*100/Q581,0)</f>
        <v>0</v>
      </c>
      <c r="U581" s="47">
        <f>IF(R581&gt;0,S581*100/R581,0)</f>
        <v>0</v>
      </c>
    </row>
    <row r="582" spans="1:21" ht="18.75" x14ac:dyDescent="0.25">
      <c r="A582" s="128"/>
      <c r="B582" s="41"/>
      <c r="C582" s="41"/>
      <c r="D582" s="42" t="s">
        <v>23</v>
      </c>
      <c r="E582" s="41"/>
      <c r="F582" s="41"/>
      <c r="G582" s="43"/>
      <c r="H582" s="137" t="s">
        <v>14</v>
      </c>
      <c r="I582" s="135"/>
      <c r="J582" s="135"/>
      <c r="K582" s="136"/>
      <c r="L582" s="548">
        <f ca="1">L583+L584</f>
        <v>0</v>
      </c>
      <c r="M582" s="47">
        <f ca="1">M583+M584</f>
        <v>0</v>
      </c>
      <c r="N582" s="47">
        <f ca="1">N583+N584</f>
        <v>0</v>
      </c>
      <c r="O582" s="47">
        <f ca="1">IF(L582&gt;0,N582*100/L582,0)</f>
        <v>0</v>
      </c>
      <c r="P582" s="47">
        <f ca="1">IF(M582&gt;0,N582*100/M582,0)</f>
        <v>0</v>
      </c>
      <c r="Q582" s="47">
        <f>Q583+Q584</f>
        <v>0</v>
      </c>
      <c r="R582" s="47">
        <f>R583+R584</f>
        <v>0</v>
      </c>
      <c r="S582" s="47">
        <f>S583+S584</f>
        <v>0</v>
      </c>
      <c r="T582" s="47">
        <f>IF(Q582&gt;0,S582*100/Q582,0)</f>
        <v>0</v>
      </c>
      <c r="U582" s="47">
        <f>IF(R582&gt;0,S582*100/R582,0)</f>
        <v>0</v>
      </c>
    </row>
    <row r="583" spans="1:21" ht="18.75" hidden="1" x14ac:dyDescent="0.25">
      <c r="A583" s="128"/>
      <c r="B583" s="41"/>
      <c r="C583" s="41"/>
      <c r="D583" s="41"/>
      <c r="E583" s="157" t="s">
        <v>20</v>
      </c>
      <c r="F583" s="41"/>
      <c r="G583" s="43"/>
      <c r="H583" s="160" t="s">
        <v>14</v>
      </c>
      <c r="I583" s="135"/>
      <c r="J583" s="135"/>
      <c r="K583" s="136"/>
      <c r="L583" s="549">
        <v>0</v>
      </c>
      <c r="M583" s="49">
        <v>0</v>
      </c>
      <c r="N583" s="49">
        <v>0</v>
      </c>
      <c r="O583" s="49">
        <f>IF(L583&gt;0,N583*100/L583,0)</f>
        <v>0</v>
      </c>
      <c r="P583" s="49">
        <f>IF(M583&gt;0,N583*100/M583,0)</f>
        <v>0</v>
      </c>
      <c r="Q583" s="49">
        <v>0</v>
      </c>
      <c r="R583" s="49">
        <v>0</v>
      </c>
      <c r="S583" s="49">
        <v>0</v>
      </c>
      <c r="T583" s="49">
        <f>IF(Q583&gt;0,S583*100/Q583,0)</f>
        <v>0</v>
      </c>
      <c r="U583" s="49">
        <f>IF(R583&gt;0,S583*100/R583,0)</f>
        <v>0</v>
      </c>
    </row>
    <row r="584" spans="1:21" ht="18.75" hidden="1" x14ac:dyDescent="0.25">
      <c r="A584" s="128"/>
      <c r="B584" s="41"/>
      <c r="C584" s="41"/>
      <c r="D584" s="41"/>
      <c r="E584" s="48" t="s">
        <v>21</v>
      </c>
      <c r="F584" s="41"/>
      <c r="G584" s="43"/>
      <c r="H584" s="137" t="s">
        <v>14</v>
      </c>
      <c r="I584" s="135"/>
      <c r="J584" s="135"/>
      <c r="K584" s="136"/>
      <c r="L584" s="548">
        <f ca="1">IFERROR(__xludf.DUMMYFUNCTION("IMPORTRANGE(""https://docs.google.com/spreadsheets/d/1-uDff_7J0KD5mKrp0Vvzr7lt3OU09vwQwhkpOPPYv2Y/edit?usp=sharing"",""งบพรบ!GT82"")"),0)</f>
        <v>0</v>
      </c>
      <c r="M584" s="47">
        <f ca="1">IFERROR(__xludf.DUMMYFUNCTION("IMPORTRANGE(""https://docs.google.com/spreadsheets/d/1-uDff_7J0KD5mKrp0Vvzr7lt3OU09vwQwhkpOPPYv2Y/edit?usp=sharing"",""งบพรบ!GW82"")"),0)</f>
        <v>0</v>
      </c>
      <c r="N584" s="47">
        <f ca="1">IFERROR(__xludf.DUMMYFUNCTION("IMPORTRANGE(""https://docs.google.com/spreadsheets/d/1-uDff_7J0KD5mKrp0Vvzr7lt3OU09vwQwhkpOPPYv2Y/edit?usp=sharing"",""งบพรบ!GY82"")"),0)</f>
        <v>0</v>
      </c>
      <c r="O584" s="47">
        <f ca="1">IF(L584&gt;0,N584*100/L584,0)</f>
        <v>0</v>
      </c>
      <c r="P584" s="47">
        <f ca="1">IF(M584&gt;0,N584*100/M584,0)</f>
        <v>0</v>
      </c>
      <c r="Q584" s="47">
        <v>0</v>
      </c>
      <c r="R584" s="47">
        <v>0</v>
      </c>
      <c r="S584" s="47">
        <v>0</v>
      </c>
      <c r="T584" s="47">
        <f>IF(Q584&gt;0,S584*100/Q584,0)</f>
        <v>0</v>
      </c>
      <c r="U584" s="47">
        <f>IF(R584&gt;0,S584*100/R584,0)</f>
        <v>0</v>
      </c>
    </row>
    <row r="585" spans="1:21" ht="19.5" x14ac:dyDescent="0.3">
      <c r="A585" s="138"/>
      <c r="B585" s="139"/>
      <c r="C585" s="386" t="s">
        <v>18</v>
      </c>
      <c r="D585" s="563" t="s">
        <v>38</v>
      </c>
      <c r="E585" s="141"/>
      <c r="F585" s="141"/>
      <c r="G585" s="142"/>
      <c r="H585" s="143"/>
      <c r="I585" s="135"/>
      <c r="J585" s="45"/>
      <c r="K585" s="46"/>
      <c r="L585" s="546"/>
      <c r="M585" s="46"/>
      <c r="N585" s="46"/>
      <c r="O585" s="136"/>
      <c r="P585" s="136"/>
      <c r="Q585" s="46"/>
      <c r="R585" s="46"/>
      <c r="S585" s="46"/>
      <c r="T585" s="136"/>
      <c r="U585" s="136"/>
    </row>
    <row r="586" spans="1:21" ht="18.75" x14ac:dyDescent="0.25">
      <c r="A586" s="387"/>
      <c r="B586" s="388"/>
      <c r="C586" s="342"/>
      <c r="D586" s="394" t="s">
        <v>214</v>
      </c>
      <c r="E586" s="342"/>
      <c r="F586" s="388"/>
      <c r="G586" s="390"/>
      <c r="H586" s="395" t="s">
        <v>79</v>
      </c>
      <c r="I586" s="392">
        <v>4</v>
      </c>
      <c r="J586" s="175">
        <v>0</v>
      </c>
      <c r="K586" s="176">
        <f>IF(I586&gt;0,J586*100/I586,0)</f>
        <v>0</v>
      </c>
      <c r="L586" s="177"/>
      <c r="M586" s="177"/>
      <c r="N586" s="177"/>
      <c r="O586" s="177"/>
      <c r="P586" s="177"/>
      <c r="Q586" s="177"/>
      <c r="R586" s="177"/>
      <c r="S586" s="177"/>
      <c r="T586" s="177"/>
      <c r="U586" s="177"/>
    </row>
    <row r="587" spans="1:21" ht="18.75" x14ac:dyDescent="0.25">
      <c r="A587" s="217"/>
      <c r="B587" s="41"/>
      <c r="C587" s="159"/>
      <c r="D587" s="48" t="s">
        <v>215</v>
      </c>
      <c r="E587" s="159"/>
      <c r="F587" s="41"/>
      <c r="G587" s="43"/>
      <c r="H587" s="44" t="s">
        <v>61</v>
      </c>
      <c r="I587" s="152">
        <v>7</v>
      </c>
      <c r="J587" s="167">
        <v>0</v>
      </c>
      <c r="K587" s="47">
        <f>IF(I587&gt;0,J587*100/I587,0)</f>
        <v>0</v>
      </c>
      <c r="L587" s="46"/>
      <c r="M587" s="46"/>
      <c r="N587" s="46"/>
      <c r="O587" s="46"/>
      <c r="P587" s="46"/>
      <c r="Q587" s="46"/>
      <c r="R587" s="46"/>
      <c r="S587" s="46"/>
      <c r="T587" s="46"/>
      <c r="U587" s="46"/>
    </row>
    <row r="588" spans="1:21" ht="12.75" hidden="1" x14ac:dyDescent="0.2">
      <c r="A588" s="241"/>
      <c r="B588" s="242"/>
      <c r="C588" s="242"/>
      <c r="D588" s="243"/>
      <c r="E588" s="243"/>
      <c r="F588" s="243"/>
      <c r="G588" s="244"/>
      <c r="H588" s="245"/>
      <c r="I588" s="246"/>
      <c r="J588" s="246"/>
      <c r="K588" s="247"/>
      <c r="L588" s="590"/>
      <c r="M588" s="247"/>
      <c r="N588" s="247"/>
      <c r="O588" s="247"/>
      <c r="P588" s="247"/>
      <c r="Q588" s="247"/>
      <c r="R588" s="247"/>
      <c r="S588" s="247"/>
      <c r="T588" s="247"/>
      <c r="U588" s="247"/>
    </row>
    <row r="589" spans="1:21" ht="12.75" hidden="1" x14ac:dyDescent="0.2">
      <c r="A589" s="241"/>
      <c r="B589" s="242"/>
      <c r="C589" s="242"/>
      <c r="D589" s="243"/>
      <c r="E589" s="243"/>
      <c r="F589" s="243"/>
      <c r="G589" s="244"/>
      <c r="H589" s="245"/>
      <c r="I589" s="246"/>
      <c r="J589" s="246"/>
      <c r="K589" s="247"/>
      <c r="L589" s="590"/>
      <c r="M589" s="247"/>
      <c r="N589" s="247"/>
      <c r="O589" s="247"/>
      <c r="P589" s="247"/>
      <c r="Q589" s="247"/>
      <c r="R589" s="247"/>
      <c r="S589" s="247"/>
      <c r="T589" s="247"/>
      <c r="U589" s="247"/>
    </row>
    <row r="590" spans="1:21" ht="12.75" hidden="1" x14ac:dyDescent="0.2">
      <c r="A590" s="241"/>
      <c r="B590" s="242"/>
      <c r="C590" s="242"/>
      <c r="D590" s="243"/>
      <c r="E590" s="243"/>
      <c r="F590" s="243"/>
      <c r="G590" s="244"/>
      <c r="H590" s="245"/>
      <c r="I590" s="246"/>
      <c r="J590" s="246"/>
      <c r="K590" s="247"/>
      <c r="L590" s="590"/>
      <c r="M590" s="247"/>
      <c r="N590" s="247"/>
      <c r="O590" s="247"/>
      <c r="P590" s="247"/>
      <c r="Q590" s="247"/>
      <c r="R590" s="247"/>
      <c r="S590" s="247"/>
      <c r="T590" s="247"/>
      <c r="U590" s="247"/>
    </row>
    <row r="591" spans="1:21" ht="12.75" hidden="1" x14ac:dyDescent="0.2">
      <c r="A591" s="241"/>
      <c r="B591" s="242"/>
      <c r="C591" s="242"/>
      <c r="D591" s="243"/>
      <c r="E591" s="243"/>
      <c r="F591" s="243"/>
      <c r="G591" s="244"/>
      <c r="H591" s="245"/>
      <c r="I591" s="246"/>
      <c r="J591" s="246"/>
      <c r="K591" s="247"/>
      <c r="L591" s="590"/>
      <c r="M591" s="247"/>
      <c r="N591" s="247"/>
      <c r="O591" s="247"/>
      <c r="P591" s="247"/>
      <c r="Q591" s="247"/>
      <c r="R591" s="247"/>
      <c r="S591" s="247"/>
      <c r="T591" s="247"/>
      <c r="U591" s="247"/>
    </row>
    <row r="592" spans="1:21" ht="12.75" hidden="1" x14ac:dyDescent="0.2">
      <c r="A592" s="241"/>
      <c r="B592" s="242"/>
      <c r="C592" s="242"/>
      <c r="D592" s="243"/>
      <c r="E592" s="243"/>
      <c r="F592" s="243"/>
      <c r="G592" s="244"/>
      <c r="H592" s="245"/>
      <c r="I592" s="246"/>
      <c r="J592" s="246"/>
      <c r="K592" s="247"/>
      <c r="L592" s="590"/>
      <c r="M592" s="247"/>
      <c r="N592" s="247"/>
      <c r="O592" s="247"/>
      <c r="P592" s="247"/>
      <c r="Q592" s="247"/>
      <c r="R592" s="247"/>
      <c r="S592" s="247"/>
      <c r="T592" s="247"/>
      <c r="U592" s="247"/>
    </row>
    <row r="593" spans="1:21" ht="12.75" hidden="1" x14ac:dyDescent="0.2">
      <c r="A593" s="241"/>
      <c r="B593" s="242"/>
      <c r="C593" s="242"/>
      <c r="D593" s="243"/>
      <c r="E593" s="243"/>
      <c r="F593" s="243"/>
      <c r="G593" s="244"/>
      <c r="H593" s="245"/>
      <c r="I593" s="246"/>
      <c r="J593" s="246"/>
      <c r="K593" s="247"/>
      <c r="L593" s="590"/>
      <c r="M593" s="247"/>
      <c r="N593" s="247"/>
      <c r="O593" s="247"/>
      <c r="P593" s="247"/>
      <c r="Q593" s="247"/>
      <c r="R593" s="247"/>
      <c r="S593" s="247"/>
      <c r="T593" s="247"/>
      <c r="U593" s="247"/>
    </row>
    <row r="594" spans="1:21" ht="12.75" hidden="1" x14ac:dyDescent="0.2">
      <c r="A594" s="241"/>
      <c r="B594" s="242"/>
      <c r="C594" s="242"/>
      <c r="D594" s="243"/>
      <c r="E594" s="243"/>
      <c r="F594" s="243"/>
      <c r="G594" s="244"/>
      <c r="H594" s="245"/>
      <c r="I594" s="246"/>
      <c r="J594" s="246"/>
      <c r="K594" s="247"/>
      <c r="L594" s="590"/>
      <c r="M594" s="247"/>
      <c r="N594" s="247"/>
      <c r="O594" s="247"/>
      <c r="P594" s="247"/>
      <c r="Q594" s="247"/>
      <c r="R594" s="247"/>
      <c r="S594" s="247"/>
      <c r="T594" s="247"/>
      <c r="U594" s="247"/>
    </row>
    <row r="595" spans="1:21" ht="12.75" hidden="1" x14ac:dyDescent="0.2">
      <c r="A595" s="381"/>
      <c r="B595" s="333"/>
      <c r="C595" s="333"/>
      <c r="D595" s="382"/>
      <c r="E595" s="382"/>
      <c r="F595" s="382"/>
      <c r="G595" s="383"/>
      <c r="H595" s="334"/>
      <c r="I595" s="335"/>
      <c r="J595" s="335"/>
      <c r="K595" s="336"/>
      <c r="L595" s="562"/>
      <c r="M595" s="336"/>
      <c r="N595" s="336"/>
      <c r="O595" s="336"/>
      <c r="P595" s="336"/>
      <c r="Q595" s="336"/>
      <c r="R595" s="336"/>
      <c r="S595" s="336"/>
      <c r="T595" s="336"/>
      <c r="U595" s="336"/>
    </row>
    <row r="596" spans="1:21" ht="19.5" hidden="1" x14ac:dyDescent="0.3">
      <c r="A596" s="589" t="s">
        <v>216</v>
      </c>
      <c r="B596" s="119"/>
      <c r="C596" s="179"/>
      <c r="D596" s="119"/>
      <c r="E596" s="119"/>
      <c r="F596" s="119"/>
      <c r="G596" s="119"/>
      <c r="H596" s="120"/>
      <c r="I596" s="180"/>
      <c r="J596" s="180"/>
      <c r="K596" s="181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</row>
    <row r="597" spans="1:21" ht="19.5" hidden="1" x14ac:dyDescent="0.3">
      <c r="A597" s="124"/>
      <c r="B597" s="588" t="s">
        <v>217</v>
      </c>
      <c r="C597" s="183"/>
      <c r="D597" s="125"/>
      <c r="E597" s="28"/>
      <c r="F597" s="28"/>
      <c r="G597" s="28"/>
      <c r="H597" s="587" t="s">
        <v>99</v>
      </c>
      <c r="I597" s="193"/>
      <c r="J597" s="33"/>
      <c r="K597" s="34"/>
      <c r="L597" s="583"/>
      <c r="M597" s="34"/>
      <c r="N597" s="34"/>
      <c r="O597" s="34"/>
      <c r="P597" s="34"/>
      <c r="Q597" s="34"/>
      <c r="R597" s="34"/>
      <c r="S597" s="34"/>
      <c r="T597" s="34"/>
      <c r="U597" s="34"/>
    </row>
    <row r="598" spans="1:21" ht="19.5" hidden="1" x14ac:dyDescent="0.3">
      <c r="A598" s="586"/>
      <c r="B598" s="585" t="s">
        <v>218</v>
      </c>
      <c r="C598" s="125"/>
      <c r="D598" s="28"/>
      <c r="E598" s="28"/>
      <c r="F598" s="28"/>
      <c r="G598" s="31"/>
      <c r="H598" s="584" t="s">
        <v>35</v>
      </c>
      <c r="I598" s="33"/>
      <c r="J598" s="33"/>
      <c r="K598" s="34"/>
      <c r="L598" s="583"/>
      <c r="M598" s="34"/>
      <c r="N598" s="34"/>
      <c r="O598" s="34"/>
      <c r="P598" s="34"/>
      <c r="Q598" s="34"/>
      <c r="R598" s="34"/>
      <c r="S598" s="34"/>
      <c r="T598" s="34"/>
      <c r="U598" s="34"/>
    </row>
    <row r="599" spans="1:21" ht="19.5" hidden="1" x14ac:dyDescent="0.3">
      <c r="A599" s="128"/>
      <c r="B599" s="159"/>
      <c r="C599" s="188" t="s">
        <v>18</v>
      </c>
      <c r="D599" s="561" t="s">
        <v>19</v>
      </c>
      <c r="E599" s="530"/>
      <c r="F599" s="530"/>
      <c r="G599" s="531"/>
      <c r="H599" s="490" t="s">
        <v>14</v>
      </c>
      <c r="I599" s="45"/>
      <c r="J599" s="45"/>
      <c r="K599" s="46"/>
      <c r="L599" s="550">
        <f ca="1">L600+L601</f>
        <v>0</v>
      </c>
      <c r="M599" s="132">
        <f ca="1">M600+M601</f>
        <v>0</v>
      </c>
      <c r="N599" s="132">
        <f ca="1">N600+N601</f>
        <v>0</v>
      </c>
      <c r="O599" s="132">
        <f ca="1">IF(L599&gt;0,N599*100/L599,0)</f>
        <v>0</v>
      </c>
      <c r="P599" s="132">
        <f ca="1">IF(M599&gt;0,N599*100/M599,0)</f>
        <v>0</v>
      </c>
      <c r="Q599" s="132">
        <f ca="1">Q600+Q601</f>
        <v>0</v>
      </c>
      <c r="R599" s="132">
        <f ca="1">R600+R601</f>
        <v>0</v>
      </c>
      <c r="S599" s="132">
        <f ca="1">S600+S601</f>
        <v>0</v>
      </c>
      <c r="T599" s="132">
        <f ca="1">IF(Q599&gt;0,S599*100/Q599,0)</f>
        <v>0</v>
      </c>
      <c r="U599" s="132">
        <f ca="1">IF(R599&gt;0,S599*100/R599,0)</f>
        <v>0</v>
      </c>
    </row>
    <row r="600" spans="1:21" ht="18.75" hidden="1" x14ac:dyDescent="0.25">
      <c r="A600" s="128"/>
      <c r="B600" s="159"/>
      <c r="C600" s="159"/>
      <c r="D600" s="145"/>
      <c r="E600" s="157" t="s">
        <v>158</v>
      </c>
      <c r="F600" s="41"/>
      <c r="G600" s="43"/>
      <c r="H600" s="160" t="s">
        <v>14</v>
      </c>
      <c r="I600" s="45"/>
      <c r="J600" s="45"/>
      <c r="K600" s="46"/>
      <c r="L600" s="549">
        <f>L603+L606</f>
        <v>0</v>
      </c>
      <c r="M600" s="49">
        <f>M603+M606</f>
        <v>0</v>
      </c>
      <c r="N600" s="49">
        <f>N603+N606</f>
        <v>0</v>
      </c>
      <c r="O600" s="49">
        <f>IF(L600&gt;0,N600*100/L600,0)</f>
        <v>0</v>
      </c>
      <c r="P600" s="49">
        <f>IF(M600&gt;0,N600*100/M600,0)</f>
        <v>0</v>
      </c>
      <c r="Q600" s="49">
        <f>Q603+Q606</f>
        <v>0</v>
      </c>
      <c r="R600" s="49">
        <f>R603+R606</f>
        <v>0</v>
      </c>
      <c r="S600" s="49">
        <f>S603+S606</f>
        <v>0</v>
      </c>
      <c r="T600" s="49">
        <f>IF(Q600&gt;0,S600*100/Q600,0)</f>
        <v>0</v>
      </c>
      <c r="U600" s="49">
        <f>IF(R600&gt;0,S600*100/R600,0)</f>
        <v>0</v>
      </c>
    </row>
    <row r="601" spans="1:21" ht="18.75" hidden="1" x14ac:dyDescent="0.25">
      <c r="A601" s="128"/>
      <c r="B601" s="159"/>
      <c r="C601" s="159"/>
      <c r="D601" s="145"/>
      <c r="E601" s="157" t="s">
        <v>159</v>
      </c>
      <c r="F601" s="41"/>
      <c r="G601" s="43"/>
      <c r="H601" s="160" t="s">
        <v>14</v>
      </c>
      <c r="I601" s="45"/>
      <c r="J601" s="45"/>
      <c r="K601" s="46"/>
      <c r="L601" s="548">
        <f ca="1">L604+L607</f>
        <v>0</v>
      </c>
      <c r="M601" s="47">
        <f ca="1">M604+M607</f>
        <v>0</v>
      </c>
      <c r="N601" s="47">
        <f ca="1">N604+N607</f>
        <v>0</v>
      </c>
      <c r="O601" s="47">
        <f ca="1">IF(L601&gt;0,N601*100/L601,0)</f>
        <v>0</v>
      </c>
      <c r="P601" s="47">
        <f ca="1">IF(M601&gt;0,N601*100/M601,0)</f>
        <v>0</v>
      </c>
      <c r="Q601" s="47">
        <f ca="1">Q604+Q607</f>
        <v>0</v>
      </c>
      <c r="R601" s="47">
        <f ca="1">R604+R607</f>
        <v>0</v>
      </c>
      <c r="S601" s="47">
        <f ca="1">S604+S607</f>
        <v>0</v>
      </c>
      <c r="T601" s="47">
        <f ca="1">IF(Q601&gt;0,S601*100/Q601,0)</f>
        <v>0</v>
      </c>
      <c r="U601" s="47">
        <f ca="1">IF(R601&gt;0,S601*100/R601,0)</f>
        <v>0</v>
      </c>
    </row>
    <row r="602" spans="1:21" ht="19.5" hidden="1" x14ac:dyDescent="0.3">
      <c r="A602" s="128"/>
      <c r="B602" s="159"/>
      <c r="C602" s="159"/>
      <c r="D602" s="560" t="s">
        <v>22</v>
      </c>
      <c r="E602" s="41"/>
      <c r="F602" s="41"/>
      <c r="G602" s="43"/>
      <c r="H602" s="490" t="s">
        <v>14</v>
      </c>
      <c r="I602" s="135"/>
      <c r="J602" s="135"/>
      <c r="K602" s="136"/>
      <c r="L602" s="548">
        <f ca="1">L603+L604</f>
        <v>0</v>
      </c>
      <c r="M602" s="47">
        <f ca="1">M603+M604</f>
        <v>0</v>
      </c>
      <c r="N602" s="47">
        <f ca="1">N603+N604</f>
        <v>0</v>
      </c>
      <c r="O602" s="47">
        <f ca="1">IF(L602&gt;0,N602*100/L602,0)</f>
        <v>0</v>
      </c>
      <c r="P602" s="47">
        <f ca="1">IF(M602&gt;0,N602*100/M602,0)</f>
        <v>0</v>
      </c>
      <c r="Q602" s="47">
        <f ca="1">Q603+Q604</f>
        <v>0</v>
      </c>
      <c r="R602" s="47">
        <f ca="1">R603+R604</f>
        <v>0</v>
      </c>
      <c r="S602" s="47">
        <f ca="1">S603+S604</f>
        <v>0</v>
      </c>
      <c r="T602" s="47">
        <f ca="1">IF(Q602&gt;0,S602*100/Q602,0)</f>
        <v>0</v>
      </c>
      <c r="U602" s="47">
        <f ca="1">IF(R602&gt;0,S602*100/R602,0)</f>
        <v>0</v>
      </c>
    </row>
    <row r="603" spans="1:21" ht="18.75" hidden="1" x14ac:dyDescent="0.25">
      <c r="A603" s="128"/>
      <c r="B603" s="159"/>
      <c r="C603" s="159"/>
      <c r="D603" s="145"/>
      <c r="E603" s="157" t="s">
        <v>158</v>
      </c>
      <c r="F603" s="41"/>
      <c r="G603" s="43"/>
      <c r="H603" s="160" t="s">
        <v>14</v>
      </c>
      <c r="I603" s="45"/>
      <c r="J603" s="45"/>
      <c r="K603" s="46"/>
      <c r="L603" s="549">
        <v>0</v>
      </c>
      <c r="M603" s="49">
        <v>0</v>
      </c>
      <c r="N603" s="49">
        <v>0</v>
      </c>
      <c r="O603" s="49">
        <f>IF(L603&gt;0,N603*100/L603,0)</f>
        <v>0</v>
      </c>
      <c r="P603" s="49">
        <f>IF(M603&gt;0,N603*100/M603,0)</f>
        <v>0</v>
      </c>
      <c r="Q603" s="49">
        <v>0</v>
      </c>
      <c r="R603" s="49">
        <v>0</v>
      </c>
      <c r="S603" s="49">
        <v>0</v>
      </c>
      <c r="T603" s="49">
        <f>IF(Q603&gt;0,S603*100/Q603,0)</f>
        <v>0</v>
      </c>
      <c r="U603" s="49">
        <f>IF(R603&gt;0,S603*100/R603,0)</f>
        <v>0</v>
      </c>
    </row>
    <row r="604" spans="1:21" ht="18.75" hidden="1" x14ac:dyDescent="0.25">
      <c r="A604" s="128"/>
      <c r="B604" s="159"/>
      <c r="C604" s="159"/>
      <c r="D604" s="145"/>
      <c r="E604" s="157" t="s">
        <v>159</v>
      </c>
      <c r="F604" s="41"/>
      <c r="G604" s="43"/>
      <c r="H604" s="160" t="s">
        <v>14</v>
      </c>
      <c r="I604" s="45"/>
      <c r="J604" s="45"/>
      <c r="K604" s="46"/>
      <c r="L604" s="548">
        <f ca="1">IFERROR(__xludf.DUMMYFUNCTION("IMPORTRANGE(""https://docs.google.com/spreadsheets/d/1-uDff_7J0KD5mKrp0Vvzr7lt3OU09vwQwhkpOPPYv2Y/edit?usp=sharing"",""งบพรบ!HK82"")"),0)</f>
        <v>0</v>
      </c>
      <c r="M604" s="47">
        <f ca="1">IFERROR(__xludf.DUMMYFUNCTION("IMPORTRANGE(""https://docs.google.com/spreadsheets/d/1-uDff_7J0KD5mKrp0Vvzr7lt3OU09vwQwhkpOPPYv2Y/edit?usp=sharing"",""งบพรบ!HP82"")"),0)</f>
        <v>0</v>
      </c>
      <c r="N604" s="47">
        <f ca="1">IFERROR(__xludf.DUMMYFUNCTION("IMPORTRANGE(""https://docs.google.com/spreadsheets/d/1-uDff_7J0KD5mKrp0Vvzr7lt3OU09vwQwhkpOPPYv2Y/edit?usp=sharing"",""งบพรบ!HR82"")"),0)</f>
        <v>0</v>
      </c>
      <c r="O604" s="47">
        <f ca="1">IF(L604&gt;0,N604*100/L604,0)</f>
        <v>0</v>
      </c>
      <c r="P604" s="47">
        <f ca="1">IF(M604&gt;0,N604*100/M604,0)</f>
        <v>0</v>
      </c>
      <c r="Q604" s="47">
        <f ca="1">IFERROR(__xludf.DUMMYFUNCTION("IMPORTRANGE(""https://docs.google.com/spreadsheets/d/1ItG2mGa2ceCfYo0BwxsXqNm01IGEUdYcSSLTEv9YCik/edit?usp=sharing"",""เบิกจ่ายกองทุน!AV82"")"),0)</f>
        <v>0</v>
      </c>
      <c r="R604" s="47">
        <f ca="1">IFERROR(__xludf.DUMMYFUNCTION("IMPORTRANGE(""https://docs.google.com/spreadsheets/d/1ItG2mGa2ceCfYo0BwxsXqNm01IGEUdYcSSLTEv9YCik/edit?usp=sharing"",""เบิกจ่ายกองทุน!AW82"")"),0)</f>
        <v>0</v>
      </c>
      <c r="S604" s="47">
        <f ca="1">IFERROR(__xludf.DUMMYFUNCTION("IMPORTRANGE(""https://docs.google.com/spreadsheets/d/1ItG2mGa2ceCfYo0BwxsXqNm01IGEUdYcSSLTEv9YCik/edit?usp=sharing"",""เบิกจ่ายกองทุน!AX82"")"),0)</f>
        <v>0</v>
      </c>
      <c r="T604" s="47">
        <f ca="1">IF(Q604&gt;0,S604*100/Q604,0)</f>
        <v>0</v>
      </c>
      <c r="U604" s="47">
        <f ca="1">IF(R604&gt;0,S604*100/R604,0)</f>
        <v>0</v>
      </c>
    </row>
    <row r="605" spans="1:21" ht="19.5" hidden="1" x14ac:dyDescent="0.3">
      <c r="A605" s="128"/>
      <c r="B605" s="159"/>
      <c r="C605" s="159"/>
      <c r="D605" s="560" t="s">
        <v>23</v>
      </c>
      <c r="E605" s="159"/>
      <c r="F605" s="41"/>
      <c r="G605" s="43"/>
      <c r="H605" s="492" t="s">
        <v>14</v>
      </c>
      <c r="I605" s="135"/>
      <c r="J605" s="135"/>
      <c r="K605" s="136"/>
      <c r="L605" s="548">
        <f ca="1">L606+L607</f>
        <v>0</v>
      </c>
      <c r="M605" s="47">
        <f ca="1">M606+M607</f>
        <v>0</v>
      </c>
      <c r="N605" s="47">
        <f ca="1">N606+N607</f>
        <v>0</v>
      </c>
      <c r="O605" s="47">
        <f ca="1">IF(L605&gt;0,N605*100/L605,0)</f>
        <v>0</v>
      </c>
      <c r="P605" s="47">
        <f ca="1">IF(M605&gt;0,N605*100/M605,0)</f>
        <v>0</v>
      </c>
      <c r="Q605" s="47">
        <f ca="1">Q606+Q607</f>
        <v>0</v>
      </c>
      <c r="R605" s="47">
        <f ca="1">R606+R607</f>
        <v>0</v>
      </c>
      <c r="S605" s="47">
        <f ca="1">S606+S607</f>
        <v>0</v>
      </c>
      <c r="T605" s="47">
        <f ca="1">IF(Q605&gt;0,S605*100/Q605,0)</f>
        <v>0</v>
      </c>
      <c r="U605" s="47">
        <f ca="1">IF(R605&gt;0,S605*100/R605,0)</f>
        <v>0</v>
      </c>
    </row>
    <row r="606" spans="1:21" ht="18.75" hidden="1" x14ac:dyDescent="0.25">
      <c r="A606" s="128"/>
      <c r="B606" s="159"/>
      <c r="C606" s="159"/>
      <c r="D606" s="159"/>
      <c r="E606" s="345" t="s">
        <v>20</v>
      </c>
      <c r="F606" s="41"/>
      <c r="G606" s="43"/>
      <c r="H606" s="160" t="s">
        <v>14</v>
      </c>
      <c r="I606" s="135"/>
      <c r="J606" s="135"/>
      <c r="K606" s="136"/>
      <c r="L606" s="549">
        <v>0</v>
      </c>
      <c r="M606" s="49">
        <v>0</v>
      </c>
      <c r="N606" s="49">
        <v>0</v>
      </c>
      <c r="O606" s="49">
        <f>IF(L606&gt;0,N606*100/L606,0)</f>
        <v>0</v>
      </c>
      <c r="P606" s="49">
        <f>IF(M606&gt;0,N606*100/M606,0)</f>
        <v>0</v>
      </c>
      <c r="Q606" s="49">
        <v>0</v>
      </c>
      <c r="R606" s="49">
        <v>0</v>
      </c>
      <c r="S606" s="49">
        <v>0</v>
      </c>
      <c r="T606" s="49">
        <f>IF(Q606&gt;0,S606*100/Q606,0)</f>
        <v>0</v>
      </c>
      <c r="U606" s="49">
        <f>IF(R606&gt;0,S606*100/R606,0)</f>
        <v>0</v>
      </c>
    </row>
    <row r="607" spans="1:21" ht="18.75" hidden="1" x14ac:dyDescent="0.25">
      <c r="A607" s="128"/>
      <c r="B607" s="159"/>
      <c r="C607" s="159"/>
      <c r="D607" s="41"/>
      <c r="E607" s="345" t="s">
        <v>21</v>
      </c>
      <c r="F607" s="41"/>
      <c r="G607" s="43"/>
      <c r="H607" s="493" t="s">
        <v>14</v>
      </c>
      <c r="I607" s="135"/>
      <c r="J607" s="135"/>
      <c r="K607" s="136"/>
      <c r="L607" s="548">
        <f ca="1">IFERROR(__xludf.DUMMYFUNCTION("IMPORTRANGE(""https://docs.google.com/spreadsheets/d/1-uDff_7J0KD5mKrp0Vvzr7lt3OU09vwQwhkpOPPYv2Y/edit?usp=sharing"",""งบพรบ!HN82"")"),0)</f>
        <v>0</v>
      </c>
      <c r="M607" s="47">
        <f ca="1">IFERROR(__xludf.DUMMYFUNCTION("IMPORTRANGE(""https://docs.google.com/spreadsheets/d/1-uDff_7J0KD5mKrp0Vvzr7lt3OU09vwQwhkpOPPYv2Y/edit?usp=sharing"",""งบพรบ!HQ82"")"),0)</f>
        <v>0</v>
      </c>
      <c r="N607" s="47">
        <f ca="1">IFERROR(__xludf.DUMMYFUNCTION("IMPORTRANGE(""https://docs.google.com/spreadsheets/d/1-uDff_7J0KD5mKrp0Vvzr7lt3OU09vwQwhkpOPPYv2Y/edit?usp=sharing"",""งบพรบ!HS82"")"),0)</f>
        <v>0</v>
      </c>
      <c r="O607" s="47">
        <f ca="1">IF(L607&gt;0,N607*100/L607,0)</f>
        <v>0</v>
      </c>
      <c r="P607" s="47">
        <f ca="1">IF(M607&gt;0,N607*100/M607,0)</f>
        <v>0</v>
      </c>
      <c r="Q607" s="47">
        <f ca="1">IFERROR(__xludf.DUMMYFUNCTION("IMPORTRANGE(""https://docs.google.com/spreadsheets/d/1ItG2mGa2ceCfYo0BwxsXqNm01IGEUdYcSSLTEv9YCik/edit?usp=sharing"",""เบิกจ่ายกองทุน!AY82"")"),0)</f>
        <v>0</v>
      </c>
      <c r="R607" s="47">
        <f ca="1">IFERROR(__xludf.DUMMYFUNCTION("IMPORTRANGE(""https://docs.google.com/spreadsheets/d/1ItG2mGa2ceCfYo0BwxsXqNm01IGEUdYcSSLTEv9YCik/edit?usp=sharing"",""เบิกจ่ายกองทุน!AZ82"")"),0)</f>
        <v>0</v>
      </c>
      <c r="S607" s="47">
        <f ca="1">IFERROR(__xludf.DUMMYFUNCTION("IMPORTRANGE(""https://docs.google.com/spreadsheets/d/1ItG2mGa2ceCfYo0BwxsXqNm01IGEUdYcSSLTEv9YCik/edit?usp=sharing"",""เบิกจ่ายกองทุน!BA82"")"),0)</f>
        <v>0</v>
      </c>
      <c r="T607" s="47">
        <f ca="1">IF(Q607&gt;0,S607*100/Q607,0)</f>
        <v>0</v>
      </c>
      <c r="U607" s="47">
        <f ca="1">IF(R607&gt;0,S607*100/R607,0)</f>
        <v>0</v>
      </c>
    </row>
    <row r="608" spans="1:21" ht="19.5" hidden="1" x14ac:dyDescent="0.3">
      <c r="A608" s="138"/>
      <c r="B608" s="139"/>
      <c r="C608" s="188" t="s">
        <v>18</v>
      </c>
      <c r="D608" s="582" t="s">
        <v>38</v>
      </c>
      <c r="E608" s="141"/>
      <c r="F608" s="141"/>
      <c r="G608" s="142"/>
      <c r="H608" s="189"/>
      <c r="I608" s="135"/>
      <c r="J608" s="135"/>
      <c r="K608" s="136"/>
      <c r="L608" s="546"/>
      <c r="M608" s="46"/>
      <c r="N608" s="46"/>
      <c r="O608" s="46"/>
      <c r="P608" s="46"/>
      <c r="Q608" s="46"/>
      <c r="R608" s="46"/>
      <c r="S608" s="46"/>
      <c r="T608" s="46"/>
      <c r="U608" s="46"/>
    </row>
    <row r="609" spans="1:21" ht="18.75" hidden="1" x14ac:dyDescent="0.25">
      <c r="A609" s="138"/>
      <c r="B609" s="139"/>
      <c r="C609" s="139"/>
      <c r="D609" s="504" t="s">
        <v>219</v>
      </c>
      <c r="E609" s="145"/>
      <c r="F609" s="145"/>
      <c r="G609" s="143"/>
      <c r="H609" s="160" t="s">
        <v>99</v>
      </c>
      <c r="I609" s="45"/>
      <c r="J609" s="45"/>
      <c r="K609" s="136"/>
      <c r="L609" s="546"/>
      <c r="M609" s="46"/>
      <c r="N609" s="46"/>
      <c r="O609" s="46"/>
      <c r="P609" s="46"/>
      <c r="Q609" s="46"/>
      <c r="R609" s="46"/>
      <c r="S609" s="46"/>
      <c r="T609" s="46"/>
      <c r="U609" s="46"/>
    </row>
    <row r="610" spans="1:21" ht="19.5" hidden="1" x14ac:dyDescent="0.3">
      <c r="A610" s="138"/>
      <c r="B610" s="139"/>
      <c r="C610" s="139"/>
      <c r="D610" s="504" t="s">
        <v>220</v>
      </c>
      <c r="E610" s="145"/>
      <c r="F610" s="145"/>
      <c r="G610" s="143"/>
      <c r="H610" s="490" t="s">
        <v>35</v>
      </c>
      <c r="I610" s="45"/>
      <c r="J610" s="45"/>
      <c r="K610" s="136"/>
      <c r="L610" s="546"/>
      <c r="M610" s="46"/>
      <c r="N610" s="46"/>
      <c r="O610" s="46"/>
      <c r="P610" s="46"/>
      <c r="Q610" s="46"/>
      <c r="R610" s="46"/>
      <c r="S610" s="46"/>
      <c r="T610" s="46"/>
      <c r="U610" s="46"/>
    </row>
    <row r="611" spans="1:21" ht="18.75" hidden="1" x14ac:dyDescent="0.25">
      <c r="A611" s="138"/>
      <c r="B611" s="139"/>
      <c r="C611" s="139"/>
      <c r="D611" s="139"/>
      <c r="E611" s="504" t="s">
        <v>221</v>
      </c>
      <c r="F611" s="145"/>
      <c r="G611" s="143"/>
      <c r="H611" s="493" t="s">
        <v>35</v>
      </c>
      <c r="I611" s="45"/>
      <c r="J611" s="45"/>
      <c r="K611" s="136"/>
      <c r="L611" s="546"/>
      <c r="M611" s="46"/>
      <c r="N611" s="46"/>
      <c r="O611" s="46"/>
      <c r="P611" s="46"/>
      <c r="Q611" s="46"/>
      <c r="R611" s="46"/>
      <c r="S611" s="46"/>
      <c r="T611" s="46"/>
      <c r="U611" s="46"/>
    </row>
    <row r="612" spans="1:21" ht="19.5" hidden="1" thickBot="1" x14ac:dyDescent="0.3">
      <c r="A612" s="581"/>
      <c r="B612" s="580"/>
      <c r="C612" s="580"/>
      <c r="D612" s="580"/>
      <c r="E612" s="579" t="s">
        <v>222</v>
      </c>
      <c r="F612" s="578"/>
      <c r="G612" s="577"/>
      <c r="H612" s="576" t="s">
        <v>35</v>
      </c>
      <c r="I612" s="575"/>
      <c r="J612" s="575"/>
      <c r="K612" s="574"/>
      <c r="L612" s="573"/>
      <c r="M612" s="572"/>
      <c r="N612" s="572"/>
      <c r="O612" s="572"/>
      <c r="P612" s="572"/>
      <c r="Q612" s="572"/>
      <c r="R612" s="572"/>
      <c r="S612" s="572"/>
      <c r="T612" s="572"/>
      <c r="U612" s="572"/>
    </row>
    <row r="613" spans="1:21" ht="19.5" hidden="1" x14ac:dyDescent="0.3">
      <c r="A613" s="449" t="s">
        <v>223</v>
      </c>
      <c r="B613" s="450"/>
      <c r="C613" s="450"/>
      <c r="D613" s="451"/>
      <c r="E613" s="451"/>
      <c r="F613" s="451"/>
      <c r="G613" s="452"/>
      <c r="H613" s="453"/>
      <c r="I613" s="454"/>
      <c r="J613" s="454"/>
      <c r="K613" s="455"/>
      <c r="L613" s="571"/>
      <c r="M613" s="455"/>
      <c r="N613" s="455"/>
      <c r="O613" s="455"/>
      <c r="P613" s="455"/>
      <c r="Q613" s="455"/>
      <c r="R613" s="455"/>
      <c r="S613" s="455"/>
      <c r="T613" s="455"/>
      <c r="U613" s="455"/>
    </row>
    <row r="614" spans="1:21" ht="19.5" x14ac:dyDescent="0.3">
      <c r="A614" s="499"/>
      <c r="B614" s="457" t="s">
        <v>224</v>
      </c>
      <c r="C614" s="456"/>
      <c r="D614" s="458"/>
      <c r="E614" s="458"/>
      <c r="F614" s="458"/>
      <c r="G614" s="459"/>
      <c r="H614" s="460"/>
      <c r="I614" s="461"/>
      <c r="J614" s="461"/>
      <c r="K614" s="462"/>
      <c r="L614" s="552"/>
      <c r="M614" s="462"/>
      <c r="N614" s="462"/>
      <c r="O614" s="462"/>
      <c r="P614" s="462"/>
      <c r="Q614" s="462"/>
      <c r="R614" s="462"/>
      <c r="S614" s="462"/>
      <c r="T614" s="462"/>
      <c r="U614" s="462"/>
    </row>
    <row r="615" spans="1:21" ht="19.5" x14ac:dyDescent="0.3">
      <c r="A615" s="570"/>
      <c r="B615" s="464" t="s">
        <v>225</v>
      </c>
      <c r="C615" s="463"/>
      <c r="D615" s="465"/>
      <c r="E615" s="465"/>
      <c r="F615" s="465"/>
      <c r="G615" s="466"/>
      <c r="H615" s="467" t="s">
        <v>46</v>
      </c>
      <c r="I615" s="468">
        <f ca="1">I626</f>
        <v>50</v>
      </c>
      <c r="J615" s="468">
        <f>J626</f>
        <v>0</v>
      </c>
      <c r="K615" s="469">
        <f ca="1">IF(I615&gt;0,J615*100/I615,0)</f>
        <v>0</v>
      </c>
      <c r="L615" s="569"/>
      <c r="M615" s="470"/>
      <c r="N615" s="470"/>
      <c r="O615" s="470"/>
      <c r="P615" s="470"/>
      <c r="Q615" s="470"/>
      <c r="R615" s="470"/>
      <c r="S615" s="470"/>
      <c r="T615" s="470"/>
      <c r="U615" s="470"/>
    </row>
    <row r="616" spans="1:21" ht="19.5" x14ac:dyDescent="0.3">
      <c r="A616" s="128"/>
      <c r="B616" s="159"/>
      <c r="C616" s="386" t="s">
        <v>18</v>
      </c>
      <c r="D616" s="551" t="s">
        <v>19</v>
      </c>
      <c r="E616" s="530"/>
      <c r="F616" s="530"/>
      <c r="G616" s="531"/>
      <c r="H616" s="232" t="s">
        <v>14</v>
      </c>
      <c r="I616" s="45"/>
      <c r="J616" s="45"/>
      <c r="K616" s="46"/>
      <c r="L616" s="550">
        <f>L617+L618</f>
        <v>0</v>
      </c>
      <c r="M616" s="132">
        <f>M617+M618</f>
        <v>0</v>
      </c>
      <c r="N616" s="132">
        <f>N617+N618</f>
        <v>0</v>
      </c>
      <c r="O616" s="132">
        <f>IF(L616&gt;0,N616*100/L616,0)</f>
        <v>0</v>
      </c>
      <c r="P616" s="132">
        <f>IF(M616&gt;0,N616*100/M616,0)</f>
        <v>0</v>
      </c>
      <c r="Q616" s="132">
        <f ca="1">Q617+Q618</f>
        <v>6775</v>
      </c>
      <c r="R616" s="132">
        <f ca="1">R617+R618</f>
        <v>6775</v>
      </c>
      <c r="S616" s="132">
        <f ca="1">S617+S618</f>
        <v>0</v>
      </c>
      <c r="T616" s="132">
        <f ca="1">IF(Q616&gt;0,S616*100/Q616,0)</f>
        <v>0</v>
      </c>
      <c r="U616" s="132">
        <f ca="1">IF(R616&gt;0,S616*100/R616,0)</f>
        <v>0</v>
      </c>
    </row>
    <row r="617" spans="1:21" ht="18.75" hidden="1" x14ac:dyDescent="0.25">
      <c r="A617" s="128"/>
      <c r="B617" s="159"/>
      <c r="C617" s="159"/>
      <c r="D617" s="145"/>
      <c r="E617" s="157" t="s">
        <v>158</v>
      </c>
      <c r="F617" s="41"/>
      <c r="G617" s="43"/>
      <c r="H617" s="160" t="s">
        <v>14</v>
      </c>
      <c r="I617" s="45"/>
      <c r="J617" s="45"/>
      <c r="K617" s="46"/>
      <c r="L617" s="549">
        <f>L620+L623</f>
        <v>0</v>
      </c>
      <c r="M617" s="49">
        <f>M620+M623</f>
        <v>0</v>
      </c>
      <c r="N617" s="49">
        <f>N620+N623</f>
        <v>0</v>
      </c>
      <c r="O617" s="49">
        <f>IF(L617&gt;0,N617*100/L617,0)</f>
        <v>0</v>
      </c>
      <c r="P617" s="49">
        <f>IF(M617&gt;0,N617*100/M617,0)</f>
        <v>0</v>
      </c>
      <c r="Q617" s="49">
        <f>Q620+Q623</f>
        <v>0</v>
      </c>
      <c r="R617" s="49">
        <f>R620+R623</f>
        <v>0</v>
      </c>
      <c r="S617" s="49">
        <f>S620+S623</f>
        <v>0</v>
      </c>
      <c r="T617" s="49">
        <f>IF(Q617&gt;0,S617*100/Q617,0)</f>
        <v>0</v>
      </c>
      <c r="U617" s="49">
        <f>IF(R617&gt;0,S617*100/R617,0)</f>
        <v>0</v>
      </c>
    </row>
    <row r="618" spans="1:21" ht="18.75" hidden="1" x14ac:dyDescent="0.25">
      <c r="A618" s="128"/>
      <c r="B618" s="159"/>
      <c r="C618" s="159"/>
      <c r="D618" s="145"/>
      <c r="E618" s="48" t="s">
        <v>159</v>
      </c>
      <c r="F618" s="41"/>
      <c r="G618" s="43"/>
      <c r="H618" s="134" t="s">
        <v>14</v>
      </c>
      <c r="I618" s="45"/>
      <c r="J618" s="45"/>
      <c r="K618" s="46"/>
      <c r="L618" s="548">
        <f>L621+L624</f>
        <v>0</v>
      </c>
      <c r="M618" s="47">
        <f>M621+M624</f>
        <v>0</v>
      </c>
      <c r="N618" s="47">
        <f>N621+N624</f>
        <v>0</v>
      </c>
      <c r="O618" s="47">
        <f>IF(L618&gt;0,N618*100/L618,0)</f>
        <v>0</v>
      </c>
      <c r="P618" s="47">
        <f>IF(M618&gt;0,N618*100/M618,0)</f>
        <v>0</v>
      </c>
      <c r="Q618" s="47">
        <f ca="1">Q621+Q624</f>
        <v>6775</v>
      </c>
      <c r="R618" s="47">
        <f ca="1">R621+R624</f>
        <v>6775</v>
      </c>
      <c r="S618" s="47">
        <f ca="1">S621+S624</f>
        <v>0</v>
      </c>
      <c r="T618" s="47">
        <f ca="1">IF(Q618&gt;0,S618*100/Q618,0)</f>
        <v>0</v>
      </c>
      <c r="U618" s="47">
        <f ca="1">IF(R618&gt;0,S618*100/R618,0)</f>
        <v>0</v>
      </c>
    </row>
    <row r="619" spans="1:21" ht="18.75" x14ac:dyDescent="0.25">
      <c r="A619" s="128"/>
      <c r="B619" s="159"/>
      <c r="C619" s="159"/>
      <c r="D619" s="42" t="s">
        <v>22</v>
      </c>
      <c r="E619" s="41"/>
      <c r="F619" s="41"/>
      <c r="G619" s="43"/>
      <c r="H619" s="134" t="s">
        <v>14</v>
      </c>
      <c r="I619" s="135"/>
      <c r="J619" s="135"/>
      <c r="K619" s="136"/>
      <c r="L619" s="548">
        <f>L620+L621</f>
        <v>0</v>
      </c>
      <c r="M619" s="47">
        <f>M620+M621</f>
        <v>0</v>
      </c>
      <c r="N619" s="47">
        <f>N620+N621</f>
        <v>0</v>
      </c>
      <c r="O619" s="47">
        <f>IF(L619&gt;0,N619*100/L619,0)</f>
        <v>0</v>
      </c>
      <c r="P619" s="47">
        <f>IF(M619&gt;0,N619*100/M619,0)</f>
        <v>0</v>
      </c>
      <c r="Q619" s="47">
        <f ca="1">Q620+Q621</f>
        <v>6775</v>
      </c>
      <c r="R619" s="47">
        <f ca="1">R620+R621</f>
        <v>6775</v>
      </c>
      <c r="S619" s="47">
        <f ca="1">S620+S621</f>
        <v>0</v>
      </c>
      <c r="T619" s="47">
        <f ca="1">IF(Q619&gt;0,S619*100/Q619,0)</f>
        <v>0</v>
      </c>
      <c r="U619" s="47">
        <f ca="1">IF(R619&gt;0,S619*100/R619,0)</f>
        <v>0</v>
      </c>
    </row>
    <row r="620" spans="1:21" ht="18.75" hidden="1" x14ac:dyDescent="0.25">
      <c r="A620" s="128"/>
      <c r="B620" s="159"/>
      <c r="C620" s="159"/>
      <c r="D620" s="145"/>
      <c r="E620" s="157" t="s">
        <v>158</v>
      </c>
      <c r="F620" s="41"/>
      <c r="G620" s="43"/>
      <c r="H620" s="160" t="s">
        <v>14</v>
      </c>
      <c r="I620" s="45"/>
      <c r="J620" s="45"/>
      <c r="K620" s="46"/>
      <c r="L620" s="549">
        <v>0</v>
      </c>
      <c r="M620" s="49">
        <v>0</v>
      </c>
      <c r="N620" s="49">
        <v>0</v>
      </c>
      <c r="O620" s="49">
        <f>IF(L620&gt;0,N620*100/L620,0)</f>
        <v>0</v>
      </c>
      <c r="P620" s="49">
        <f>IF(M620&gt;0,N620*100/M620,0)</f>
        <v>0</v>
      </c>
      <c r="Q620" s="49">
        <v>0</v>
      </c>
      <c r="R620" s="49">
        <v>0</v>
      </c>
      <c r="S620" s="49">
        <v>0</v>
      </c>
      <c r="T620" s="49">
        <f>IF(Q620&gt;0,S620*100/Q620,0)</f>
        <v>0</v>
      </c>
      <c r="U620" s="49">
        <f>IF(R620&gt;0,S620*100/R620,0)</f>
        <v>0</v>
      </c>
    </row>
    <row r="621" spans="1:21" ht="18.75" hidden="1" x14ac:dyDescent="0.25">
      <c r="A621" s="128"/>
      <c r="B621" s="159"/>
      <c r="C621" s="159"/>
      <c r="D621" s="145"/>
      <c r="E621" s="48" t="s">
        <v>159</v>
      </c>
      <c r="F621" s="41"/>
      <c r="G621" s="43"/>
      <c r="H621" s="134" t="s">
        <v>14</v>
      </c>
      <c r="I621" s="45"/>
      <c r="J621" s="45"/>
      <c r="K621" s="46"/>
      <c r="L621" s="548">
        <v>0</v>
      </c>
      <c r="M621" s="47">
        <v>0</v>
      </c>
      <c r="N621" s="47">
        <v>0</v>
      </c>
      <c r="O621" s="47">
        <f>IF(L621&gt;0,N621*100/L621,0)</f>
        <v>0</v>
      </c>
      <c r="P621" s="47">
        <f>IF(M621&gt;0,N621*100/M621,0)</f>
        <v>0</v>
      </c>
      <c r="Q621" s="47">
        <f ca="1">IFERROR(__xludf.DUMMYFUNCTION("IMPORTRANGE(""https://docs.google.com/spreadsheets/d/1ItG2mGa2ceCfYo0BwxsXqNm01IGEUdYcSSLTEv9YCik/edit?usp=sharing"",""เบิกจ่ายกองทุน!F82"")"),6775)</f>
        <v>6775</v>
      </c>
      <c r="R621" s="47">
        <f ca="1">IFERROR(__xludf.DUMMYFUNCTION("IMPORTRANGE(""https://docs.google.com/spreadsheets/d/1ItG2mGa2ceCfYo0BwxsXqNm01IGEUdYcSSLTEv9YCik/edit?usp=sharing"",""เบิกจ่ายกองทุน!G82"")"),6775)</f>
        <v>6775</v>
      </c>
      <c r="S621" s="47">
        <f ca="1">IFERROR(__xludf.DUMMYFUNCTION("IMPORTRANGE(""https://docs.google.com/spreadsheets/d/1ItG2mGa2ceCfYo0BwxsXqNm01IGEUdYcSSLTEv9YCik/edit?usp=sharing"",""เบิกจ่ายกองทุน!H82"")"),0)</f>
        <v>0</v>
      </c>
      <c r="T621" s="47">
        <f ca="1">IF(Q621&gt;0,S621*100/Q621,0)</f>
        <v>0</v>
      </c>
      <c r="U621" s="47">
        <f ca="1">IF(R621&gt;0,S621*100/R621,0)</f>
        <v>0</v>
      </c>
    </row>
    <row r="622" spans="1:21" ht="18.75" x14ac:dyDescent="0.25">
      <c r="A622" s="128"/>
      <c r="B622" s="159"/>
      <c r="C622" s="159"/>
      <c r="D622" s="42" t="s">
        <v>23</v>
      </c>
      <c r="E622" s="41"/>
      <c r="F622" s="41"/>
      <c r="G622" s="43"/>
      <c r="H622" s="137" t="s">
        <v>14</v>
      </c>
      <c r="I622" s="135"/>
      <c r="J622" s="135"/>
      <c r="K622" s="136"/>
      <c r="L622" s="548">
        <f>L623+L624</f>
        <v>0</v>
      </c>
      <c r="M622" s="47">
        <f>M623+M624</f>
        <v>0</v>
      </c>
      <c r="N622" s="47">
        <f>N623+N624</f>
        <v>0</v>
      </c>
      <c r="O622" s="47">
        <f>IF(L622&gt;0,N622*100/L622,0)</f>
        <v>0</v>
      </c>
      <c r="P622" s="47">
        <f>IF(M622&gt;0,N622*100/M622,0)</f>
        <v>0</v>
      </c>
      <c r="Q622" s="47">
        <f>Q623+Q624</f>
        <v>0</v>
      </c>
      <c r="R622" s="47">
        <f>R623+R624</f>
        <v>0</v>
      </c>
      <c r="S622" s="47">
        <f>S623+S624</f>
        <v>0</v>
      </c>
      <c r="T622" s="47">
        <f>IF(Q622&gt;0,S622*100/Q622,0)</f>
        <v>0</v>
      </c>
      <c r="U622" s="47">
        <f>IF(R622&gt;0,S622*100/R622,0)</f>
        <v>0</v>
      </c>
    </row>
    <row r="623" spans="1:21" ht="18.75" hidden="1" x14ac:dyDescent="0.25">
      <c r="A623" s="128"/>
      <c r="B623" s="159"/>
      <c r="C623" s="159"/>
      <c r="D623" s="159"/>
      <c r="E623" s="157" t="s">
        <v>20</v>
      </c>
      <c r="F623" s="41"/>
      <c r="G623" s="43"/>
      <c r="H623" s="160" t="s">
        <v>14</v>
      </c>
      <c r="I623" s="135"/>
      <c r="J623" s="135"/>
      <c r="K623" s="136"/>
      <c r="L623" s="549">
        <v>0</v>
      </c>
      <c r="M623" s="49">
        <v>0</v>
      </c>
      <c r="N623" s="49">
        <v>0</v>
      </c>
      <c r="O623" s="49">
        <f>IF(L623&gt;0,N623*100/L623,0)</f>
        <v>0</v>
      </c>
      <c r="P623" s="49">
        <f>IF(M623&gt;0,N623*100/M623,0)</f>
        <v>0</v>
      </c>
      <c r="Q623" s="49">
        <v>0</v>
      </c>
      <c r="R623" s="49">
        <v>0</v>
      </c>
      <c r="S623" s="49">
        <v>0</v>
      </c>
      <c r="T623" s="49">
        <f>IF(Q623&gt;0,S623*100/Q623,0)</f>
        <v>0</v>
      </c>
      <c r="U623" s="49">
        <f>IF(R623&gt;0,S623*100/R623,0)</f>
        <v>0</v>
      </c>
    </row>
    <row r="624" spans="1:21" ht="18.75" hidden="1" x14ac:dyDescent="0.25">
      <c r="A624" s="128"/>
      <c r="B624" s="159"/>
      <c r="C624" s="159"/>
      <c r="D624" s="159"/>
      <c r="E624" s="48" t="s">
        <v>21</v>
      </c>
      <c r="F624" s="41"/>
      <c r="G624" s="43"/>
      <c r="H624" s="137" t="s">
        <v>14</v>
      </c>
      <c r="I624" s="135"/>
      <c r="J624" s="135"/>
      <c r="K624" s="136"/>
      <c r="L624" s="548">
        <v>0</v>
      </c>
      <c r="M624" s="47">
        <v>0</v>
      </c>
      <c r="N624" s="47">
        <v>0</v>
      </c>
      <c r="O624" s="47">
        <f>IF(L624&gt;0,N624*100/L624,0)</f>
        <v>0</v>
      </c>
      <c r="P624" s="47">
        <f>IF(M624&gt;0,N624*100/M624,0)</f>
        <v>0</v>
      </c>
      <c r="Q624" s="47">
        <v>0</v>
      </c>
      <c r="R624" s="47">
        <v>0</v>
      </c>
      <c r="S624" s="47">
        <v>0</v>
      </c>
      <c r="T624" s="47">
        <f>IF(Q624&gt;0,S624*100/Q624,0)</f>
        <v>0</v>
      </c>
      <c r="U624" s="47">
        <f>IF(R624&gt;0,S624*100/R624,0)</f>
        <v>0</v>
      </c>
    </row>
    <row r="625" spans="1:21" ht="19.5" x14ac:dyDescent="0.3">
      <c r="A625" s="138"/>
      <c r="B625" s="139"/>
      <c r="C625" s="386" t="s">
        <v>18</v>
      </c>
      <c r="D625" s="547" t="s">
        <v>38</v>
      </c>
      <c r="E625" s="141"/>
      <c r="F625" s="141"/>
      <c r="G625" s="142"/>
      <c r="H625" s="189"/>
      <c r="I625" s="135"/>
      <c r="J625" s="135"/>
      <c r="K625" s="136"/>
      <c r="L625" s="558"/>
      <c r="M625" s="136"/>
      <c r="N625" s="136"/>
      <c r="O625" s="136"/>
      <c r="P625" s="136"/>
      <c r="Q625" s="136"/>
      <c r="R625" s="136"/>
      <c r="S625" s="136"/>
      <c r="T625" s="136"/>
      <c r="U625" s="136"/>
    </row>
    <row r="626" spans="1:21" ht="19.5" x14ac:dyDescent="0.3">
      <c r="A626" s="138"/>
      <c r="B626" s="139"/>
      <c r="C626" s="139"/>
      <c r="D626" s="472" t="s">
        <v>226</v>
      </c>
      <c r="E626" s="145"/>
      <c r="F626" s="145"/>
      <c r="G626" s="143"/>
      <c r="H626" s="473" t="s">
        <v>46</v>
      </c>
      <c r="I626" s="147">
        <f ca="1">IFERROR(__xludf.DUMMYFUNCTION("IMPORTRANGE(""https://docs.google.com/spreadsheets/d/1eHaY18a8A9IcSdp1K8H6x8fbOy06t2VsZHhMHf-1x7Y/edit?usp=sharing"",""แผน!ID82"")"),50)</f>
        <v>50</v>
      </c>
      <c r="J626" s="147">
        <f>J632</f>
        <v>0</v>
      </c>
      <c r="K626" s="132">
        <f ca="1">IF(I626&gt;0,J626*100/I626,0)</f>
        <v>0</v>
      </c>
      <c r="L626" s="558"/>
      <c r="M626" s="136"/>
      <c r="N626" s="136"/>
      <c r="O626" s="136"/>
      <c r="P626" s="136"/>
      <c r="Q626" s="136"/>
      <c r="R626" s="136"/>
      <c r="S626" s="136"/>
      <c r="T626" s="136"/>
      <c r="U626" s="136"/>
    </row>
    <row r="627" spans="1:21" ht="18.75" x14ac:dyDescent="0.25">
      <c r="A627" s="138"/>
      <c r="B627" s="139"/>
      <c r="C627" s="139"/>
      <c r="D627" s="139"/>
      <c r="E627" s="149" t="s">
        <v>227</v>
      </c>
      <c r="F627" s="145"/>
      <c r="G627" s="143"/>
      <c r="H627" s="137" t="s">
        <v>61</v>
      </c>
      <c r="I627" s="152">
        <f ca="1">IFERROR(__xludf.DUMMYFUNCTION("IMPORTRANGE(""https://docs.google.com/spreadsheets/d/1eHaY18a8A9IcSdp1K8H6x8fbOy06t2VsZHhMHf-1x7Y/edit?usp=sharing"",""แผน!IC82"")"),0)</f>
        <v>0</v>
      </c>
      <c r="J627" s="167">
        <v>0</v>
      </c>
      <c r="K627" s="47">
        <f ca="1">IF(I627&gt;0,(J627*100)/I627,0)</f>
        <v>0</v>
      </c>
      <c r="L627" s="558"/>
      <c r="M627" s="136"/>
      <c r="N627" s="136"/>
      <c r="O627" s="136"/>
      <c r="P627" s="136"/>
      <c r="Q627" s="136"/>
      <c r="R627" s="136"/>
      <c r="S627" s="136"/>
      <c r="T627" s="136"/>
      <c r="U627" s="136"/>
    </row>
    <row r="628" spans="1:21" ht="18.75" x14ac:dyDescent="0.25">
      <c r="A628" s="138"/>
      <c r="B628" s="139"/>
      <c r="C628" s="139"/>
      <c r="D628" s="139"/>
      <c r="E628" s="149" t="s">
        <v>228</v>
      </c>
      <c r="F628" s="145"/>
      <c r="G628" s="143"/>
      <c r="H628" s="137" t="s">
        <v>61</v>
      </c>
      <c r="I628" s="152">
        <f ca="1">IFERROR(__xludf.DUMMYFUNCTION("IMPORTRANGE(""https://docs.google.com/spreadsheets/d/1eHaY18a8A9IcSdp1K8H6x8fbOy06t2VsZHhMHf-1x7Y/edit?usp=sharing"",""แผน!IC82"")"),0)</f>
        <v>0</v>
      </c>
      <c r="J628" s="167">
        <v>0</v>
      </c>
      <c r="K628" s="47">
        <f ca="1">IF(I628&gt;0,(J628*100)/I628,0)</f>
        <v>0</v>
      </c>
      <c r="L628" s="558"/>
      <c r="M628" s="136"/>
      <c r="N628" s="136"/>
      <c r="O628" s="136"/>
      <c r="P628" s="136"/>
      <c r="Q628" s="136"/>
      <c r="R628" s="136"/>
      <c r="S628" s="136"/>
      <c r="T628" s="136"/>
      <c r="U628" s="136"/>
    </row>
    <row r="629" spans="1:21" ht="18.75" x14ac:dyDescent="0.25">
      <c r="A629" s="138"/>
      <c r="B629" s="139"/>
      <c r="C629" s="139"/>
      <c r="D629" s="139"/>
      <c r="E629" s="149" t="s">
        <v>229</v>
      </c>
      <c r="F629" s="145"/>
      <c r="G629" s="143"/>
      <c r="H629" s="137" t="s">
        <v>46</v>
      </c>
      <c r="I629" s="45"/>
      <c r="J629" s="167">
        <v>0</v>
      </c>
      <c r="K629" s="47">
        <f ca="1">IF(I$626&gt;0,J629*100/I$626,0)</f>
        <v>0</v>
      </c>
      <c r="L629" s="558"/>
      <c r="M629" s="136"/>
      <c r="N629" s="136"/>
      <c r="O629" s="136"/>
      <c r="P629" s="136"/>
      <c r="Q629" s="136"/>
      <c r="R629" s="136"/>
      <c r="S629" s="136"/>
      <c r="T629" s="136"/>
      <c r="U629" s="136"/>
    </row>
    <row r="630" spans="1:21" ht="18.75" x14ac:dyDescent="0.25">
      <c r="A630" s="138"/>
      <c r="B630" s="139"/>
      <c r="C630" s="139"/>
      <c r="D630" s="139"/>
      <c r="E630" s="149" t="s">
        <v>230</v>
      </c>
      <c r="F630" s="145"/>
      <c r="G630" s="143"/>
      <c r="H630" s="137" t="s">
        <v>46</v>
      </c>
      <c r="I630" s="45"/>
      <c r="J630" s="167">
        <v>0</v>
      </c>
      <c r="K630" s="47">
        <f ca="1">IF(I$626&gt;0,J630*100/I$626,0)</f>
        <v>0</v>
      </c>
      <c r="L630" s="558"/>
      <c r="M630" s="136"/>
      <c r="N630" s="136"/>
      <c r="O630" s="136"/>
      <c r="P630" s="136"/>
      <c r="Q630" s="136"/>
      <c r="R630" s="136"/>
      <c r="S630" s="136"/>
      <c r="T630" s="136"/>
      <c r="U630" s="136"/>
    </row>
    <row r="631" spans="1:21" ht="18.75" x14ac:dyDescent="0.25">
      <c r="A631" s="138"/>
      <c r="B631" s="139"/>
      <c r="C631" s="139"/>
      <c r="D631" s="139"/>
      <c r="E631" s="149" t="s">
        <v>231</v>
      </c>
      <c r="F631" s="145"/>
      <c r="G631" s="143"/>
      <c r="H631" s="137" t="s">
        <v>46</v>
      </c>
      <c r="I631" s="45"/>
      <c r="J631" s="167">
        <v>0</v>
      </c>
      <c r="K631" s="47">
        <f ca="1">IF(I$626&gt;0,J631*100/I$626,0)</f>
        <v>0</v>
      </c>
      <c r="L631" s="558"/>
      <c r="M631" s="136"/>
      <c r="N631" s="136"/>
      <c r="O631" s="136"/>
      <c r="P631" s="136"/>
      <c r="Q631" s="136"/>
      <c r="R631" s="136"/>
      <c r="S631" s="136"/>
      <c r="T631" s="136"/>
      <c r="U631" s="136"/>
    </row>
    <row r="632" spans="1:21" ht="19.5" x14ac:dyDescent="0.3">
      <c r="A632" s="138"/>
      <c r="B632" s="139"/>
      <c r="C632" s="139"/>
      <c r="D632" s="139"/>
      <c r="E632" s="149" t="s">
        <v>232</v>
      </c>
      <c r="F632" s="145"/>
      <c r="G632" s="143"/>
      <c r="H632" s="137" t="s">
        <v>46</v>
      </c>
      <c r="I632" s="45"/>
      <c r="J632" s="147">
        <f>J633+J634</f>
        <v>0</v>
      </c>
      <c r="K632" s="132">
        <f ca="1">IF(I626&gt;0,J632*100/I626,0)</f>
        <v>0</v>
      </c>
      <c r="L632" s="558"/>
      <c r="M632" s="136"/>
      <c r="N632" s="136"/>
      <c r="O632" s="136"/>
      <c r="P632" s="136"/>
      <c r="Q632" s="136"/>
      <c r="R632" s="136"/>
      <c r="S632" s="136"/>
      <c r="T632" s="136"/>
      <c r="U632" s="136"/>
    </row>
    <row r="633" spans="1:21" ht="18.75" x14ac:dyDescent="0.25">
      <c r="A633" s="138"/>
      <c r="B633" s="139"/>
      <c r="C633" s="139"/>
      <c r="D633" s="139"/>
      <c r="E633" s="145"/>
      <c r="F633" s="149" t="s">
        <v>233</v>
      </c>
      <c r="G633" s="143"/>
      <c r="H633" s="137" t="s">
        <v>46</v>
      </c>
      <c r="I633" s="45"/>
      <c r="J633" s="167">
        <v>0</v>
      </c>
      <c r="K633" s="46"/>
      <c r="L633" s="558"/>
      <c r="M633" s="136"/>
      <c r="N633" s="136"/>
      <c r="O633" s="136"/>
      <c r="P633" s="136"/>
      <c r="Q633" s="136"/>
      <c r="R633" s="136"/>
      <c r="S633" s="136"/>
      <c r="T633" s="136"/>
      <c r="U633" s="136"/>
    </row>
    <row r="634" spans="1:21" ht="18.75" x14ac:dyDescent="0.25">
      <c r="A634" s="138"/>
      <c r="B634" s="139"/>
      <c r="C634" s="139"/>
      <c r="D634" s="139"/>
      <c r="E634" s="145"/>
      <c r="F634" s="149" t="s">
        <v>234</v>
      </c>
      <c r="G634" s="143"/>
      <c r="H634" s="137" t="s">
        <v>46</v>
      </c>
      <c r="I634" s="45"/>
      <c r="J634" s="167">
        <v>0</v>
      </c>
      <c r="K634" s="46"/>
      <c r="L634" s="558"/>
      <c r="M634" s="136"/>
      <c r="N634" s="136"/>
      <c r="O634" s="136"/>
      <c r="P634" s="136"/>
      <c r="Q634" s="136"/>
      <c r="R634" s="136"/>
      <c r="S634" s="136"/>
      <c r="T634" s="136"/>
      <c r="U634" s="136"/>
    </row>
    <row r="635" spans="1:21" ht="19.5" x14ac:dyDescent="0.3">
      <c r="A635" s="138"/>
      <c r="B635" s="139"/>
      <c r="C635" s="139"/>
      <c r="D635" s="472" t="s">
        <v>235</v>
      </c>
      <c r="E635" s="145"/>
      <c r="F635" s="145"/>
      <c r="G635" s="143"/>
      <c r="H635" s="137" t="s">
        <v>46</v>
      </c>
      <c r="I635" s="147">
        <f ca="1">IFERROR(__xludf.DUMMYFUNCTION("IMPORTRANGE(""https://docs.google.com/spreadsheets/d/1eHaY18a8A9IcSdp1K8H6x8fbOy06t2VsZHhMHf-1x7Y/edit?usp=sharing"",""แผน!IE82"")"),0)</f>
        <v>0</v>
      </c>
      <c r="J635" s="147">
        <f>J636</f>
        <v>0</v>
      </c>
      <c r="K635" s="132">
        <f ca="1">IF(I635&gt;0,J635*100/I635,0)</f>
        <v>0</v>
      </c>
      <c r="L635" s="558"/>
      <c r="M635" s="136"/>
      <c r="N635" s="136"/>
      <c r="O635" s="136"/>
      <c r="P635" s="136"/>
      <c r="Q635" s="136"/>
      <c r="R635" s="136"/>
      <c r="S635" s="136"/>
      <c r="T635" s="136"/>
      <c r="U635" s="136"/>
    </row>
    <row r="636" spans="1:21" ht="18.75" x14ac:dyDescent="0.25">
      <c r="A636" s="138"/>
      <c r="B636" s="139"/>
      <c r="C636" s="139"/>
      <c r="D636" s="139"/>
      <c r="E636" s="149" t="s">
        <v>236</v>
      </c>
      <c r="F636" s="145"/>
      <c r="G636" s="143"/>
      <c r="H636" s="137" t="s">
        <v>46</v>
      </c>
      <c r="I636" s="45"/>
      <c r="J636" s="152">
        <f>J637+J638</f>
        <v>0</v>
      </c>
      <c r="K636" s="46"/>
      <c r="L636" s="558"/>
      <c r="M636" s="136"/>
      <c r="N636" s="136"/>
      <c r="O636" s="136"/>
      <c r="P636" s="136"/>
      <c r="Q636" s="136"/>
      <c r="R636" s="136"/>
      <c r="S636" s="136"/>
      <c r="T636" s="136"/>
      <c r="U636" s="136"/>
    </row>
    <row r="637" spans="1:21" ht="18.75" x14ac:dyDescent="0.25">
      <c r="A637" s="138"/>
      <c r="B637" s="139"/>
      <c r="C637" s="139"/>
      <c r="D637" s="139"/>
      <c r="E637" s="145"/>
      <c r="F637" s="149" t="s">
        <v>233</v>
      </c>
      <c r="G637" s="143"/>
      <c r="H637" s="137" t="s">
        <v>46</v>
      </c>
      <c r="I637" s="45"/>
      <c r="J637" s="167">
        <v>0</v>
      </c>
      <c r="K637" s="46"/>
      <c r="L637" s="558"/>
      <c r="M637" s="136"/>
      <c r="N637" s="136"/>
      <c r="O637" s="136"/>
      <c r="P637" s="136"/>
      <c r="Q637" s="136"/>
      <c r="R637" s="136"/>
      <c r="S637" s="136"/>
      <c r="T637" s="136"/>
      <c r="U637" s="136"/>
    </row>
    <row r="638" spans="1:21" ht="18.75" x14ac:dyDescent="0.25">
      <c r="A638" s="138"/>
      <c r="B638" s="139"/>
      <c r="C638" s="139"/>
      <c r="D638" s="139"/>
      <c r="E638" s="145"/>
      <c r="F638" s="149" t="s">
        <v>234</v>
      </c>
      <c r="G638" s="143"/>
      <c r="H638" s="137" t="s">
        <v>46</v>
      </c>
      <c r="I638" s="45"/>
      <c r="J638" s="167">
        <v>0</v>
      </c>
      <c r="K638" s="46"/>
      <c r="L638" s="558"/>
      <c r="M638" s="136"/>
      <c r="N638" s="136"/>
      <c r="O638" s="136"/>
      <c r="P638" s="136"/>
      <c r="Q638" s="136"/>
      <c r="R638" s="136"/>
      <c r="S638" s="136"/>
      <c r="T638" s="136"/>
      <c r="U638" s="136"/>
    </row>
    <row r="639" spans="1:21" ht="18.75" x14ac:dyDescent="0.25">
      <c r="A639" s="138"/>
      <c r="B639" s="139"/>
      <c r="C639" s="139"/>
      <c r="D639" s="139"/>
      <c r="E639" s="149" t="s">
        <v>237</v>
      </c>
      <c r="F639" s="145"/>
      <c r="G639" s="143"/>
      <c r="H639" s="137" t="s">
        <v>46</v>
      </c>
      <c r="I639" s="45"/>
      <c r="J639" s="167">
        <v>0</v>
      </c>
      <c r="K639" s="46"/>
      <c r="L639" s="558"/>
      <c r="M639" s="136"/>
      <c r="N639" s="136"/>
      <c r="O639" s="136"/>
      <c r="P639" s="136"/>
      <c r="Q639" s="136"/>
      <c r="R639" s="136"/>
      <c r="S639" s="136"/>
      <c r="T639" s="136"/>
      <c r="U639" s="136"/>
    </row>
    <row r="640" spans="1:21" ht="18.75" x14ac:dyDescent="0.25">
      <c r="A640" s="138"/>
      <c r="B640" s="139"/>
      <c r="C640" s="139"/>
      <c r="D640" s="139"/>
      <c r="E640" s="145"/>
      <c r="F640" s="149" t="s">
        <v>238</v>
      </c>
      <c r="G640" s="143"/>
      <c r="H640" s="137" t="s">
        <v>46</v>
      </c>
      <c r="I640" s="45"/>
      <c r="J640" s="167">
        <v>0</v>
      </c>
      <c r="K640" s="46"/>
      <c r="L640" s="558"/>
      <c r="M640" s="136"/>
      <c r="N640" s="136"/>
      <c r="O640" s="136"/>
      <c r="P640" s="136"/>
      <c r="Q640" s="136"/>
      <c r="R640" s="136"/>
      <c r="S640" s="136"/>
      <c r="T640" s="136"/>
      <c r="U640" s="136"/>
    </row>
    <row r="641" spans="1:21" ht="19.5" hidden="1" x14ac:dyDescent="0.3">
      <c r="A641" s="570"/>
      <c r="B641" s="464" t="s">
        <v>239</v>
      </c>
      <c r="C641" s="463"/>
      <c r="D641" s="465"/>
      <c r="E641" s="465"/>
      <c r="F641" s="465"/>
      <c r="G641" s="466"/>
      <c r="H641" s="474"/>
      <c r="I641" s="475"/>
      <c r="J641" s="475"/>
      <c r="K641" s="470"/>
      <c r="L641" s="569"/>
      <c r="M641" s="470"/>
      <c r="N641" s="470"/>
      <c r="O641" s="470"/>
      <c r="P641" s="470"/>
      <c r="Q641" s="470"/>
      <c r="R641" s="470"/>
      <c r="S641" s="470"/>
      <c r="T641" s="470"/>
      <c r="U641" s="470"/>
    </row>
    <row r="642" spans="1:21" ht="19.5" hidden="1" x14ac:dyDescent="0.3">
      <c r="A642" s="128"/>
      <c r="B642" s="159"/>
      <c r="C642" s="218" t="s">
        <v>18</v>
      </c>
      <c r="D642" s="551" t="s">
        <v>19</v>
      </c>
      <c r="E642" s="530"/>
      <c r="F642" s="530"/>
      <c r="G642" s="531"/>
      <c r="H642" s="232" t="s">
        <v>14</v>
      </c>
      <c r="I642" s="45"/>
      <c r="J642" s="45"/>
      <c r="K642" s="46"/>
      <c r="L642" s="550">
        <f>L643+L644</f>
        <v>0</v>
      </c>
      <c r="M642" s="132">
        <f>M643+M644</f>
        <v>0</v>
      </c>
      <c r="N642" s="132">
        <f>N643+N644</f>
        <v>0</v>
      </c>
      <c r="O642" s="132">
        <f>IF(L642&gt;0,N642*100/L642,0)</f>
        <v>0</v>
      </c>
      <c r="P642" s="132">
        <f>IF(M642&gt;0,N642*100/M642,0)</f>
        <v>0</v>
      </c>
      <c r="Q642" s="132">
        <f ca="1">Q643+Q644</f>
        <v>0</v>
      </c>
      <c r="R642" s="132">
        <f ca="1">R643+R644</f>
        <v>0</v>
      </c>
      <c r="S642" s="132">
        <f ca="1">S643+S644</f>
        <v>0</v>
      </c>
      <c r="T642" s="132">
        <f ca="1">IF(Q642&gt;0,S642*100/Q642,0)</f>
        <v>0</v>
      </c>
      <c r="U642" s="132">
        <f ca="1">IF(R642&gt;0,S642*100/R642,0)</f>
        <v>0</v>
      </c>
    </row>
    <row r="643" spans="1:21" ht="18.75" hidden="1" x14ac:dyDescent="0.25">
      <c r="A643" s="128"/>
      <c r="B643" s="159"/>
      <c r="C643" s="159"/>
      <c r="D643" s="145"/>
      <c r="E643" s="157" t="s">
        <v>158</v>
      </c>
      <c r="F643" s="41"/>
      <c r="G643" s="43"/>
      <c r="H643" s="160" t="s">
        <v>14</v>
      </c>
      <c r="I643" s="45"/>
      <c r="J643" s="45"/>
      <c r="K643" s="46"/>
      <c r="L643" s="549">
        <f>L646+L649</f>
        <v>0</v>
      </c>
      <c r="M643" s="49">
        <f>M646+M649</f>
        <v>0</v>
      </c>
      <c r="N643" s="49">
        <f>N646+N649</f>
        <v>0</v>
      </c>
      <c r="O643" s="49">
        <f>IF(L643&gt;0,N643*100/L643,0)</f>
        <v>0</v>
      </c>
      <c r="P643" s="49">
        <f>IF(M643&gt;0,N643*100/M643,0)</f>
        <v>0</v>
      </c>
      <c r="Q643" s="49">
        <f>Q646+Q649</f>
        <v>0</v>
      </c>
      <c r="R643" s="49">
        <f>R646+R649</f>
        <v>0</v>
      </c>
      <c r="S643" s="49">
        <f>S646+S649</f>
        <v>0</v>
      </c>
      <c r="T643" s="49">
        <f>IF(Q643&gt;0,S643*100/Q643,0)</f>
        <v>0</v>
      </c>
      <c r="U643" s="49">
        <f>IF(R643&gt;0,S643*100/R643,0)</f>
        <v>0</v>
      </c>
    </row>
    <row r="644" spans="1:21" ht="18.75" hidden="1" x14ac:dyDescent="0.25">
      <c r="A644" s="128"/>
      <c r="B644" s="159"/>
      <c r="C644" s="159"/>
      <c r="D644" s="145"/>
      <c r="E644" s="48" t="s">
        <v>159</v>
      </c>
      <c r="F644" s="41"/>
      <c r="G644" s="43"/>
      <c r="H644" s="134" t="s">
        <v>14</v>
      </c>
      <c r="I644" s="45"/>
      <c r="J644" s="45"/>
      <c r="K644" s="46"/>
      <c r="L644" s="548">
        <f>L647+L650</f>
        <v>0</v>
      </c>
      <c r="M644" s="47">
        <f>M647+M650</f>
        <v>0</v>
      </c>
      <c r="N644" s="47">
        <f>N647+N650</f>
        <v>0</v>
      </c>
      <c r="O644" s="47">
        <f>IF(L644&gt;0,N644*100/L644,0)</f>
        <v>0</v>
      </c>
      <c r="P644" s="47">
        <f>IF(M644&gt;0,N644*100/M644,0)</f>
        <v>0</v>
      </c>
      <c r="Q644" s="47">
        <f ca="1">Q647+Q650</f>
        <v>0</v>
      </c>
      <c r="R644" s="47">
        <f ca="1">R647+R650</f>
        <v>0</v>
      </c>
      <c r="S644" s="47">
        <f ca="1">S647+S650</f>
        <v>0</v>
      </c>
      <c r="T644" s="47">
        <f ca="1">IF(Q644&gt;0,S644*100/Q644,0)</f>
        <v>0</v>
      </c>
      <c r="U644" s="47">
        <f ca="1">IF(R644&gt;0,S644*100/R644,0)</f>
        <v>0</v>
      </c>
    </row>
    <row r="645" spans="1:21" ht="18.75" hidden="1" x14ac:dyDescent="0.25">
      <c r="A645" s="128"/>
      <c r="B645" s="159"/>
      <c r="C645" s="159"/>
      <c r="D645" s="42" t="s">
        <v>22</v>
      </c>
      <c r="E645" s="41"/>
      <c r="F645" s="41"/>
      <c r="G645" s="43"/>
      <c r="H645" s="134" t="s">
        <v>14</v>
      </c>
      <c r="I645" s="135"/>
      <c r="J645" s="135"/>
      <c r="K645" s="136"/>
      <c r="L645" s="548">
        <f>L646+L647</f>
        <v>0</v>
      </c>
      <c r="M645" s="47">
        <f>M646+M647</f>
        <v>0</v>
      </c>
      <c r="N645" s="47">
        <f>N646+N647</f>
        <v>0</v>
      </c>
      <c r="O645" s="47">
        <f>IF(L645&gt;0,N645*100/L645,0)</f>
        <v>0</v>
      </c>
      <c r="P645" s="47">
        <f>IF(M645&gt;0,N645*100/M645,0)</f>
        <v>0</v>
      </c>
      <c r="Q645" s="47">
        <f ca="1">Q646+Q647</f>
        <v>0</v>
      </c>
      <c r="R645" s="47">
        <f ca="1">R646+R647</f>
        <v>0</v>
      </c>
      <c r="S645" s="47">
        <f ca="1">S646+S647</f>
        <v>0</v>
      </c>
      <c r="T645" s="47">
        <f ca="1">IF(Q645&gt;0,S645*100/Q645,0)</f>
        <v>0</v>
      </c>
      <c r="U645" s="47">
        <f ca="1">IF(R645&gt;0,S645*100/R645,0)</f>
        <v>0</v>
      </c>
    </row>
    <row r="646" spans="1:21" ht="18.75" hidden="1" x14ac:dyDescent="0.25">
      <c r="A646" s="128"/>
      <c r="B646" s="159"/>
      <c r="C646" s="159"/>
      <c r="D646" s="145"/>
      <c r="E646" s="157" t="s">
        <v>158</v>
      </c>
      <c r="F646" s="41"/>
      <c r="G646" s="43"/>
      <c r="H646" s="160" t="s">
        <v>14</v>
      </c>
      <c r="I646" s="45"/>
      <c r="J646" s="45"/>
      <c r="K646" s="46"/>
      <c r="L646" s="549">
        <v>0</v>
      </c>
      <c r="M646" s="49">
        <v>0</v>
      </c>
      <c r="N646" s="49">
        <v>0</v>
      </c>
      <c r="O646" s="49">
        <f>IF(L646&gt;0,N646*100/L646,0)</f>
        <v>0</v>
      </c>
      <c r="P646" s="49">
        <f>IF(M646&gt;0,N646*100/M646,0)</f>
        <v>0</v>
      </c>
      <c r="Q646" s="49">
        <v>0</v>
      </c>
      <c r="R646" s="49">
        <v>0</v>
      </c>
      <c r="S646" s="49">
        <v>0</v>
      </c>
      <c r="T646" s="49">
        <f>IF(Q646&gt;0,S646*100/Q646,0)</f>
        <v>0</v>
      </c>
      <c r="U646" s="49">
        <f>IF(R646&gt;0,S646*100/R646,0)</f>
        <v>0</v>
      </c>
    </row>
    <row r="647" spans="1:21" ht="18.75" hidden="1" x14ac:dyDescent="0.25">
      <c r="A647" s="128"/>
      <c r="B647" s="159"/>
      <c r="C647" s="159"/>
      <c r="D647" s="145"/>
      <c r="E647" s="48" t="s">
        <v>159</v>
      </c>
      <c r="F647" s="41"/>
      <c r="G647" s="43"/>
      <c r="H647" s="134" t="s">
        <v>14</v>
      </c>
      <c r="I647" s="45"/>
      <c r="J647" s="45"/>
      <c r="K647" s="46"/>
      <c r="L647" s="548">
        <v>0</v>
      </c>
      <c r="M647" s="47">
        <v>0</v>
      </c>
      <c r="N647" s="47">
        <v>0</v>
      </c>
      <c r="O647" s="47">
        <f>IF(L647&gt;0,N647*100/L647,0)</f>
        <v>0</v>
      </c>
      <c r="P647" s="47">
        <f>IF(M647&gt;0,N647*100/M647,0)</f>
        <v>0</v>
      </c>
      <c r="Q647" s="47">
        <f ca="1">IFERROR(__xludf.DUMMYFUNCTION("IMPORTRANGE(""https://docs.google.com/spreadsheets/d/1ItG2mGa2ceCfYo0BwxsXqNm01IGEUdYcSSLTEv9YCik/edit?usp=sharing"",""เบิกจ่ายกองทุน!I82"")"),0)</f>
        <v>0</v>
      </c>
      <c r="R647" s="47">
        <f ca="1">IFERROR(__xludf.DUMMYFUNCTION("IMPORTRANGE(""https://docs.google.com/spreadsheets/d/1ItG2mGa2ceCfYo0BwxsXqNm01IGEUdYcSSLTEv9YCik/edit?usp=sharing"",""เบิกจ่ายกองทุน!J82"")"),0)</f>
        <v>0</v>
      </c>
      <c r="S647" s="47">
        <f ca="1">IFERROR(__xludf.DUMMYFUNCTION("IMPORTRANGE(""https://docs.google.com/spreadsheets/d/1ItG2mGa2ceCfYo0BwxsXqNm01IGEUdYcSSLTEv9YCik/edit?usp=sharing"",""เบิกจ่ายกองทุน!K82"")"),0)</f>
        <v>0</v>
      </c>
      <c r="T647" s="47">
        <f ca="1">IF(Q647&gt;0,S647*100/Q647,0)</f>
        <v>0</v>
      </c>
      <c r="U647" s="47">
        <f ca="1">IF(R647&gt;0,S647*100/R647,0)</f>
        <v>0</v>
      </c>
    </row>
    <row r="648" spans="1:21" ht="18.75" hidden="1" x14ac:dyDescent="0.25">
      <c r="A648" s="128"/>
      <c r="B648" s="159"/>
      <c r="C648" s="159"/>
      <c r="D648" s="42" t="s">
        <v>23</v>
      </c>
      <c r="E648" s="41"/>
      <c r="F648" s="41"/>
      <c r="G648" s="43"/>
      <c r="H648" s="137" t="s">
        <v>14</v>
      </c>
      <c r="I648" s="135"/>
      <c r="J648" s="135"/>
      <c r="K648" s="136"/>
      <c r="L648" s="548">
        <f>L649+L650</f>
        <v>0</v>
      </c>
      <c r="M648" s="47">
        <f>M649+M650</f>
        <v>0</v>
      </c>
      <c r="N648" s="47">
        <f>N649+N650</f>
        <v>0</v>
      </c>
      <c r="O648" s="47">
        <f>IF(L648&gt;0,N648*100/L648,0)</f>
        <v>0</v>
      </c>
      <c r="P648" s="47">
        <f>IF(M648&gt;0,N648*100/M648,0)</f>
        <v>0</v>
      </c>
      <c r="Q648" s="47">
        <f>Q649+Q650</f>
        <v>0</v>
      </c>
      <c r="R648" s="47">
        <f>R649+R650</f>
        <v>0</v>
      </c>
      <c r="S648" s="47">
        <f>S649+S650</f>
        <v>0</v>
      </c>
      <c r="T648" s="47">
        <f>IF(Q648&gt;0,S648*100/Q648,0)</f>
        <v>0</v>
      </c>
      <c r="U648" s="47">
        <f>IF(R648&gt;0,S648*100/R648,0)</f>
        <v>0</v>
      </c>
    </row>
    <row r="649" spans="1:21" ht="18.75" hidden="1" x14ac:dyDescent="0.25">
      <c r="A649" s="128"/>
      <c r="B649" s="159"/>
      <c r="C649" s="159"/>
      <c r="D649" s="41"/>
      <c r="E649" s="157" t="s">
        <v>20</v>
      </c>
      <c r="F649" s="41"/>
      <c r="G649" s="43"/>
      <c r="H649" s="160" t="s">
        <v>14</v>
      </c>
      <c r="I649" s="135"/>
      <c r="J649" s="135"/>
      <c r="K649" s="136"/>
      <c r="L649" s="549">
        <v>0</v>
      </c>
      <c r="M649" s="49">
        <v>0</v>
      </c>
      <c r="N649" s="49">
        <v>0</v>
      </c>
      <c r="O649" s="49">
        <f>IF(L649&gt;0,N649*100/L649,0)</f>
        <v>0</v>
      </c>
      <c r="P649" s="49">
        <f>IF(M649&gt;0,N649*100/M649,0)</f>
        <v>0</v>
      </c>
      <c r="Q649" s="49">
        <v>0</v>
      </c>
      <c r="R649" s="49">
        <v>0</v>
      </c>
      <c r="S649" s="49">
        <v>0</v>
      </c>
      <c r="T649" s="49">
        <f>IF(Q649&gt;0,S649*100/Q649,0)</f>
        <v>0</v>
      </c>
      <c r="U649" s="49">
        <f>IF(R649&gt;0,S649*100/R649,0)</f>
        <v>0</v>
      </c>
    </row>
    <row r="650" spans="1:21" ht="18.75" hidden="1" x14ac:dyDescent="0.25">
      <c r="A650" s="128"/>
      <c r="B650" s="159"/>
      <c r="C650" s="159"/>
      <c r="D650" s="41"/>
      <c r="E650" s="48" t="s">
        <v>21</v>
      </c>
      <c r="F650" s="41"/>
      <c r="G650" s="43"/>
      <c r="H650" s="137" t="s">
        <v>14</v>
      </c>
      <c r="I650" s="135"/>
      <c r="J650" s="135"/>
      <c r="K650" s="136"/>
      <c r="L650" s="548">
        <v>0</v>
      </c>
      <c r="M650" s="47">
        <v>0</v>
      </c>
      <c r="N650" s="47">
        <v>0</v>
      </c>
      <c r="O650" s="47">
        <f>IF(L650&gt;0,N650*100/L650,0)</f>
        <v>0</v>
      </c>
      <c r="P650" s="47">
        <f>IF(M650&gt;0,N650*100/M650,0)</f>
        <v>0</v>
      </c>
      <c r="Q650" s="47">
        <v>0</v>
      </c>
      <c r="R650" s="47">
        <v>0</v>
      </c>
      <c r="S650" s="47">
        <v>0</v>
      </c>
      <c r="T650" s="47">
        <f>IF(Q650&gt;0,S650*100/Q650,0)</f>
        <v>0</v>
      </c>
      <c r="U650" s="47">
        <f>IF(R650&gt;0,S650*100/R650,0)</f>
        <v>0</v>
      </c>
    </row>
    <row r="651" spans="1:21" ht="19.5" hidden="1" x14ac:dyDescent="0.3">
      <c r="A651" s="138"/>
      <c r="B651" s="139"/>
      <c r="C651" s="218" t="s">
        <v>18</v>
      </c>
      <c r="D651" s="568" t="s">
        <v>38</v>
      </c>
      <c r="E651" s="141"/>
      <c r="F651" s="141"/>
      <c r="G651" s="142"/>
      <c r="H651" s="189"/>
      <c r="I651" s="135"/>
      <c r="J651" s="135"/>
      <c r="K651" s="136"/>
      <c r="L651" s="558"/>
      <c r="M651" s="136"/>
      <c r="N651" s="136"/>
      <c r="O651" s="136"/>
      <c r="P651" s="136"/>
      <c r="Q651" s="46"/>
      <c r="R651" s="46"/>
      <c r="S651" s="46"/>
      <c r="T651" s="136"/>
      <c r="U651" s="136"/>
    </row>
    <row r="652" spans="1:21" ht="18.75" hidden="1" x14ac:dyDescent="0.25">
      <c r="A652" s="217"/>
      <c r="B652" s="159"/>
      <c r="C652" s="159"/>
      <c r="D652" s="48" t="s">
        <v>240</v>
      </c>
      <c r="E652" s="41"/>
      <c r="F652" s="41"/>
      <c r="G652" s="43"/>
      <c r="H652" s="137" t="s">
        <v>46</v>
      </c>
      <c r="I652" s="477">
        <f ca="1">IFERROR(__xludf.DUMMYFUNCTION("IMPORTRANGE(""https://docs.google.com/spreadsheets/d/1eHaY18a8A9IcSdp1K8H6x8fbOy06t2VsZHhMHf-1x7Y/edit?usp=sharing"",""แผน!IF82"")"),0)</f>
        <v>0</v>
      </c>
      <c r="J652" s="152">
        <f ca="1">IFERROR(__xludf.DUMMYFUNCTION("IMPORTRANGE(""https://docs.google.com/spreadsheets/d/1tdoBKaGub7dwA3U6UFTqxio9LNnvDCQjHKmttSEBsFQ/edit?usp=sharing"",""จัดที่ดิน!AU82"")"),0)</f>
        <v>0</v>
      </c>
      <c r="K652" s="47">
        <f ca="1">IF(I652&gt;0,J652*100/I652,0)</f>
        <v>0</v>
      </c>
      <c r="L652" s="546"/>
      <c r="M652" s="46"/>
      <c r="N652" s="479"/>
      <c r="O652" s="46"/>
      <c r="P652" s="46"/>
      <c r="Q652" s="46"/>
      <c r="R652" s="46"/>
      <c r="S652" s="479"/>
      <c r="T652" s="46"/>
      <c r="U652" s="46"/>
    </row>
    <row r="653" spans="1:21" ht="18.75" hidden="1" x14ac:dyDescent="0.25">
      <c r="A653" s="217"/>
      <c r="B653" s="159"/>
      <c r="C653" s="159"/>
      <c r="D653" s="48" t="s">
        <v>241</v>
      </c>
      <c r="E653" s="41"/>
      <c r="F653" s="41"/>
      <c r="G653" s="43"/>
      <c r="H653" s="137" t="s">
        <v>35</v>
      </c>
      <c r="I653" s="477">
        <f ca="1">IFERROR(__xludf.DUMMYFUNCTION("IMPORTRANGE(""https://docs.google.com/spreadsheets/d/1eHaY18a8A9IcSdp1K8H6x8fbOy06t2VsZHhMHf-1x7Y/edit?usp=sharing"",""แผน!IG82"")"),0)</f>
        <v>0</v>
      </c>
      <c r="J653" s="152">
        <f ca="1">IFERROR(__xludf.DUMMYFUNCTION("IMPORTRANGE(""https://docs.google.com/spreadsheets/d/1tdoBKaGub7dwA3U6UFTqxio9LNnvDCQjHKmttSEBsFQ/edit?usp=sharing"",""จัดที่ดิน!AW82"")"),0)</f>
        <v>0</v>
      </c>
      <c r="K653" s="47">
        <f ca="1">IF(I653&gt;0,J653*100/I653,0)</f>
        <v>0</v>
      </c>
      <c r="L653" s="546"/>
      <c r="M653" s="46"/>
      <c r="N653" s="479"/>
      <c r="O653" s="46"/>
      <c r="P653" s="46"/>
      <c r="Q653" s="46"/>
      <c r="R653" s="46"/>
      <c r="S653" s="479"/>
      <c r="T653" s="46"/>
      <c r="U653" s="46"/>
    </row>
    <row r="654" spans="1:21" ht="19.5" hidden="1" x14ac:dyDescent="0.3">
      <c r="A654" s="217"/>
      <c r="B654" s="159"/>
      <c r="C654" s="159"/>
      <c r="D654" s="48" t="s">
        <v>242</v>
      </c>
      <c r="E654" s="41"/>
      <c r="F654" s="41"/>
      <c r="G654" s="43"/>
      <c r="H654" s="473" t="s">
        <v>46</v>
      </c>
      <c r="I654" s="478">
        <f ca="1">IFERROR(__xludf.DUMMYFUNCTION("IMPORTRANGE(""https://docs.google.com/spreadsheets/d/1eHaY18a8A9IcSdp1K8H6x8fbOy06t2VsZHhMHf-1x7Y/edit?usp=sharing"",""แผน!IH82"")"),0)</f>
        <v>0</v>
      </c>
      <c r="J654" s="147">
        <f>J657+J660</f>
        <v>0</v>
      </c>
      <c r="K654" s="132">
        <f ca="1">IF(I654&gt;0,J654*100/I654,0)</f>
        <v>0</v>
      </c>
      <c r="L654" s="546"/>
      <c r="M654" s="46"/>
      <c r="N654" s="479"/>
      <c r="O654" s="46"/>
      <c r="P654" s="46"/>
      <c r="Q654" s="46"/>
      <c r="R654" s="46"/>
      <c r="S654" s="479"/>
      <c r="T654" s="46"/>
      <c r="U654" s="46"/>
    </row>
    <row r="655" spans="1:21" ht="18.75" hidden="1" x14ac:dyDescent="0.25">
      <c r="A655" s="217"/>
      <c r="B655" s="159"/>
      <c r="C655" s="159"/>
      <c r="D655" s="41"/>
      <c r="E655" s="48" t="s">
        <v>243</v>
      </c>
      <c r="F655" s="41"/>
      <c r="G655" s="43"/>
      <c r="H655" s="137" t="s">
        <v>35</v>
      </c>
      <c r="I655" s="191"/>
      <c r="J655" s="167">
        <v>0</v>
      </c>
      <c r="K655" s="46"/>
      <c r="L655" s="546"/>
      <c r="M655" s="46"/>
      <c r="N655" s="479"/>
      <c r="O655" s="46"/>
      <c r="P655" s="46"/>
      <c r="Q655" s="46"/>
      <c r="R655" s="46"/>
      <c r="S655" s="479"/>
      <c r="T655" s="46"/>
      <c r="U655" s="46"/>
    </row>
    <row r="656" spans="1:21" ht="18.75" hidden="1" x14ac:dyDescent="0.25">
      <c r="A656" s="217"/>
      <c r="B656" s="159"/>
      <c r="C656" s="159"/>
      <c r="D656" s="41"/>
      <c r="E656" s="41"/>
      <c r="F656" s="41"/>
      <c r="G656" s="43"/>
      <c r="H656" s="137" t="s">
        <v>34</v>
      </c>
      <c r="I656" s="191"/>
      <c r="J656" s="167">
        <v>0</v>
      </c>
      <c r="K656" s="46"/>
      <c r="L656" s="546"/>
      <c r="M656" s="46"/>
      <c r="N656" s="479"/>
      <c r="O656" s="46"/>
      <c r="P656" s="46"/>
      <c r="Q656" s="46"/>
      <c r="R656" s="46"/>
      <c r="S656" s="479"/>
      <c r="T656" s="46"/>
      <c r="U656" s="46"/>
    </row>
    <row r="657" spans="1:21" ht="18.75" hidden="1" x14ac:dyDescent="0.25">
      <c r="A657" s="217"/>
      <c r="B657" s="159"/>
      <c r="C657" s="159"/>
      <c r="D657" s="41"/>
      <c r="E657" s="41"/>
      <c r="F657" s="41"/>
      <c r="G657" s="43"/>
      <c r="H657" s="137" t="s">
        <v>46</v>
      </c>
      <c r="I657" s="477">
        <f ca="1">IFERROR(__xludf.DUMMYFUNCTION("IMPORTRANGE(""https://docs.google.com/spreadsheets/d/1eHaY18a8A9IcSdp1K8H6x8fbOy06t2VsZHhMHf-1x7Y/edit?usp=sharing"",""แผน!II82"")"),0)</f>
        <v>0</v>
      </c>
      <c r="J657" s="167">
        <v>0</v>
      </c>
      <c r="K657" s="46"/>
      <c r="L657" s="546"/>
      <c r="M657" s="46"/>
      <c r="N657" s="479"/>
      <c r="O657" s="46"/>
      <c r="P657" s="46"/>
      <c r="Q657" s="46"/>
      <c r="R657" s="46"/>
      <c r="S657" s="479"/>
      <c r="T657" s="46"/>
      <c r="U657" s="46"/>
    </row>
    <row r="658" spans="1:21" ht="18.75" hidden="1" x14ac:dyDescent="0.25">
      <c r="A658" s="217"/>
      <c r="B658" s="159"/>
      <c r="C658" s="159"/>
      <c r="D658" s="41"/>
      <c r="E658" s="48" t="s">
        <v>244</v>
      </c>
      <c r="F658" s="41"/>
      <c r="G658" s="43"/>
      <c r="H658" s="137" t="s">
        <v>35</v>
      </c>
      <c r="I658" s="191"/>
      <c r="J658" s="167">
        <v>0</v>
      </c>
      <c r="K658" s="46"/>
      <c r="L658" s="546"/>
      <c r="M658" s="46"/>
      <c r="N658" s="479"/>
      <c r="O658" s="46"/>
      <c r="P658" s="46"/>
      <c r="Q658" s="46"/>
      <c r="R658" s="46"/>
      <c r="S658" s="479"/>
      <c r="T658" s="46"/>
      <c r="U658" s="46"/>
    </row>
    <row r="659" spans="1:21" ht="18.75" hidden="1" x14ac:dyDescent="0.25">
      <c r="A659" s="217"/>
      <c r="B659" s="159"/>
      <c r="C659" s="159"/>
      <c r="D659" s="41"/>
      <c r="E659" s="41"/>
      <c r="F659" s="41"/>
      <c r="G659" s="43"/>
      <c r="H659" s="137" t="s">
        <v>34</v>
      </c>
      <c r="I659" s="191"/>
      <c r="J659" s="167">
        <v>0</v>
      </c>
      <c r="K659" s="46"/>
      <c r="L659" s="546"/>
      <c r="M659" s="46"/>
      <c r="N659" s="479"/>
      <c r="O659" s="46"/>
      <c r="P659" s="46"/>
      <c r="Q659" s="46"/>
      <c r="R659" s="46"/>
      <c r="S659" s="479"/>
      <c r="T659" s="46"/>
      <c r="U659" s="46"/>
    </row>
    <row r="660" spans="1:21" ht="18.75" hidden="1" x14ac:dyDescent="0.25">
      <c r="A660" s="217"/>
      <c r="B660" s="159"/>
      <c r="C660" s="159"/>
      <c r="D660" s="41"/>
      <c r="E660" s="41"/>
      <c r="F660" s="41"/>
      <c r="G660" s="43"/>
      <c r="H660" s="137" t="s">
        <v>46</v>
      </c>
      <c r="I660" s="477">
        <f ca="1">IFERROR(__xludf.DUMMYFUNCTION("IMPORTRANGE(""https://docs.google.com/spreadsheets/d/1eHaY18a8A9IcSdp1K8H6x8fbOy06t2VsZHhMHf-1x7Y/edit?usp=sharing"",""แผน!IJ82"")"),0)</f>
        <v>0</v>
      </c>
      <c r="J660" s="167">
        <v>0</v>
      </c>
      <c r="K660" s="46"/>
      <c r="L660" s="546"/>
      <c r="M660" s="46"/>
      <c r="N660" s="479"/>
      <c r="O660" s="46"/>
      <c r="P660" s="46"/>
      <c r="Q660" s="46"/>
      <c r="R660" s="46"/>
      <c r="S660" s="479"/>
      <c r="T660" s="46"/>
      <c r="U660" s="46"/>
    </row>
    <row r="661" spans="1:21" ht="19.5" hidden="1" x14ac:dyDescent="0.3">
      <c r="A661" s="217"/>
      <c r="B661" s="159"/>
      <c r="C661" s="159"/>
      <c r="D661" s="353" t="s">
        <v>245</v>
      </c>
      <c r="E661" s="41"/>
      <c r="F661" s="41"/>
      <c r="G661" s="43"/>
      <c r="H661" s="473" t="s">
        <v>46</v>
      </c>
      <c r="I661" s="478">
        <f ca="1">IFERROR(__xludf.DUMMYFUNCTION("IMPORTRANGE(""https://docs.google.com/spreadsheets/d/1eHaY18a8A9IcSdp1K8H6x8fbOy06t2VsZHhMHf-1x7Y/edit?usp=sharing"",""แผน!IK82"")"),0)</f>
        <v>0</v>
      </c>
      <c r="J661" s="147">
        <f>J667+J670</f>
        <v>0</v>
      </c>
      <c r="K661" s="132">
        <f ca="1">IF(I661&gt;0,J661*100/I661,0)</f>
        <v>0</v>
      </c>
      <c r="L661" s="546"/>
      <c r="M661" s="46"/>
      <c r="N661" s="479"/>
      <c r="O661" s="46"/>
      <c r="P661" s="46"/>
      <c r="Q661" s="46"/>
      <c r="R661" s="46"/>
      <c r="S661" s="479"/>
      <c r="T661" s="46"/>
      <c r="U661" s="46"/>
    </row>
    <row r="662" spans="1:21" ht="18.75" hidden="1" x14ac:dyDescent="0.25">
      <c r="A662" s="217"/>
      <c r="B662" s="159"/>
      <c r="C662" s="159"/>
      <c r="D662" s="41"/>
      <c r="E662" s="48" t="s">
        <v>246</v>
      </c>
      <c r="F662" s="41"/>
      <c r="G662" s="43"/>
      <c r="H662" s="137" t="s">
        <v>34</v>
      </c>
      <c r="I662" s="191"/>
      <c r="J662" s="167">
        <v>0</v>
      </c>
      <c r="K662" s="46"/>
      <c r="L662" s="567"/>
      <c r="M662" s="46"/>
      <c r="N662" s="479"/>
      <c r="O662" s="46"/>
      <c r="P662" s="46"/>
      <c r="Q662" s="479"/>
      <c r="R662" s="46"/>
      <c r="S662" s="479"/>
      <c r="T662" s="46"/>
      <c r="U662" s="46"/>
    </row>
    <row r="663" spans="1:21" ht="18.75" hidden="1" x14ac:dyDescent="0.25">
      <c r="A663" s="217"/>
      <c r="B663" s="159"/>
      <c r="C663" s="159"/>
      <c r="D663" s="41"/>
      <c r="E663" s="41"/>
      <c r="F663" s="41"/>
      <c r="G663" s="43"/>
      <c r="H663" s="137" t="s">
        <v>46</v>
      </c>
      <c r="I663" s="191"/>
      <c r="J663" s="167">
        <v>0</v>
      </c>
      <c r="K663" s="46"/>
      <c r="L663" s="567"/>
      <c r="M663" s="46"/>
      <c r="N663" s="479"/>
      <c r="O663" s="46"/>
      <c r="P663" s="46"/>
      <c r="Q663" s="479"/>
      <c r="R663" s="46"/>
      <c r="S663" s="479"/>
      <c r="T663" s="46"/>
      <c r="U663" s="46"/>
    </row>
    <row r="664" spans="1:21" ht="18.75" hidden="1" x14ac:dyDescent="0.25">
      <c r="A664" s="217"/>
      <c r="B664" s="159"/>
      <c r="C664" s="159"/>
      <c r="D664" s="41"/>
      <c r="E664" s="48" t="s">
        <v>247</v>
      </c>
      <c r="F664" s="41"/>
      <c r="G664" s="43"/>
      <c r="H664" s="189"/>
      <c r="I664" s="191"/>
      <c r="J664" s="45"/>
      <c r="K664" s="46"/>
      <c r="L664" s="567"/>
      <c r="M664" s="46"/>
      <c r="N664" s="479"/>
      <c r="O664" s="46"/>
      <c r="P664" s="46"/>
      <c r="Q664" s="479"/>
      <c r="R664" s="46"/>
      <c r="S664" s="479"/>
      <c r="T664" s="46"/>
      <c r="U664" s="46"/>
    </row>
    <row r="665" spans="1:21" ht="18.75" hidden="1" x14ac:dyDescent="0.25">
      <c r="A665" s="217"/>
      <c r="B665" s="159"/>
      <c r="C665" s="159"/>
      <c r="D665" s="41"/>
      <c r="E665" s="41"/>
      <c r="F665" s="48" t="s">
        <v>248</v>
      </c>
      <c r="G665" s="43"/>
      <c r="H665" s="137" t="s">
        <v>35</v>
      </c>
      <c r="I665" s="191"/>
      <c r="J665" s="167">
        <v>0</v>
      </c>
      <c r="K665" s="46"/>
      <c r="L665" s="567"/>
      <c r="M665" s="46"/>
      <c r="N665" s="479"/>
      <c r="O665" s="46"/>
      <c r="P665" s="46"/>
      <c r="Q665" s="479"/>
      <c r="R665" s="46"/>
      <c r="S665" s="479"/>
      <c r="T665" s="46"/>
      <c r="U665" s="46"/>
    </row>
    <row r="666" spans="1:21" ht="18.75" hidden="1" x14ac:dyDescent="0.25">
      <c r="A666" s="217"/>
      <c r="B666" s="159"/>
      <c r="C666" s="159"/>
      <c r="D666" s="41"/>
      <c r="E666" s="41"/>
      <c r="F666" s="41"/>
      <c r="G666" s="43"/>
      <c r="H666" s="137" t="s">
        <v>34</v>
      </c>
      <c r="I666" s="191"/>
      <c r="J666" s="167">
        <v>0</v>
      </c>
      <c r="K666" s="46"/>
      <c r="L666" s="567"/>
      <c r="M666" s="46"/>
      <c r="N666" s="479"/>
      <c r="O666" s="46"/>
      <c r="P666" s="46"/>
      <c r="Q666" s="479"/>
      <c r="R666" s="46"/>
      <c r="S666" s="479"/>
      <c r="T666" s="46"/>
      <c r="U666" s="46"/>
    </row>
    <row r="667" spans="1:21" ht="18.75" hidden="1" x14ac:dyDescent="0.25">
      <c r="A667" s="217"/>
      <c r="B667" s="159"/>
      <c r="C667" s="159"/>
      <c r="D667" s="41"/>
      <c r="E667" s="41"/>
      <c r="F667" s="41"/>
      <c r="G667" s="43"/>
      <c r="H667" s="137" t="s">
        <v>46</v>
      </c>
      <c r="I667" s="191"/>
      <c r="J667" s="167">
        <v>0</v>
      </c>
      <c r="K667" s="46"/>
      <c r="L667" s="567"/>
      <c r="M667" s="46"/>
      <c r="N667" s="479"/>
      <c r="O667" s="46"/>
      <c r="P667" s="46"/>
      <c r="Q667" s="479"/>
      <c r="R667" s="46"/>
      <c r="S667" s="479"/>
      <c r="T667" s="46"/>
      <c r="U667" s="46"/>
    </row>
    <row r="668" spans="1:21" ht="18.75" hidden="1" x14ac:dyDescent="0.25">
      <c r="A668" s="217"/>
      <c r="B668" s="159"/>
      <c r="C668" s="159"/>
      <c r="D668" s="41"/>
      <c r="E668" s="41"/>
      <c r="F668" s="48" t="s">
        <v>249</v>
      </c>
      <c r="G668" s="43"/>
      <c r="H668" s="137" t="s">
        <v>35</v>
      </c>
      <c r="I668" s="191"/>
      <c r="J668" s="167">
        <v>0</v>
      </c>
      <c r="K668" s="46"/>
      <c r="L668" s="567"/>
      <c r="M668" s="46"/>
      <c r="N668" s="479"/>
      <c r="O668" s="46"/>
      <c r="P668" s="46"/>
      <c r="Q668" s="479"/>
      <c r="R668" s="46"/>
      <c r="S668" s="479"/>
      <c r="T668" s="46"/>
      <c r="U668" s="46"/>
    </row>
    <row r="669" spans="1:21" ht="18.75" hidden="1" x14ac:dyDescent="0.25">
      <c r="A669" s="217"/>
      <c r="B669" s="159"/>
      <c r="C669" s="159"/>
      <c r="D669" s="41"/>
      <c r="E669" s="41"/>
      <c r="F669" s="41"/>
      <c r="G669" s="43"/>
      <c r="H669" s="137" t="s">
        <v>34</v>
      </c>
      <c r="I669" s="191"/>
      <c r="J669" s="167">
        <v>0</v>
      </c>
      <c r="K669" s="46"/>
      <c r="L669" s="567"/>
      <c r="M669" s="46"/>
      <c r="N669" s="479"/>
      <c r="O669" s="46"/>
      <c r="P669" s="46"/>
      <c r="Q669" s="479"/>
      <c r="R669" s="46"/>
      <c r="S669" s="479"/>
      <c r="T669" s="46"/>
      <c r="U669" s="46"/>
    </row>
    <row r="670" spans="1:21" ht="18.75" hidden="1" x14ac:dyDescent="0.25">
      <c r="A670" s="217"/>
      <c r="B670" s="159"/>
      <c r="C670" s="159"/>
      <c r="D670" s="41"/>
      <c r="E670" s="41"/>
      <c r="F670" s="41"/>
      <c r="G670" s="43"/>
      <c r="H670" s="137" t="s">
        <v>46</v>
      </c>
      <c r="I670" s="191"/>
      <c r="J670" s="167">
        <v>0</v>
      </c>
      <c r="K670" s="46"/>
      <c r="L670" s="567"/>
      <c r="M670" s="46"/>
      <c r="N670" s="479"/>
      <c r="O670" s="46"/>
      <c r="P670" s="46"/>
      <c r="Q670" s="479"/>
      <c r="R670" s="46"/>
      <c r="S670" s="479"/>
      <c r="T670" s="46"/>
      <c r="U670" s="46"/>
    </row>
    <row r="671" spans="1:21" ht="18.75" hidden="1" x14ac:dyDescent="0.25">
      <c r="A671" s="217"/>
      <c r="B671" s="159"/>
      <c r="C671" s="159"/>
      <c r="D671" s="48" t="s">
        <v>250</v>
      </c>
      <c r="E671" s="41"/>
      <c r="F671" s="41"/>
      <c r="G671" s="43"/>
      <c r="H671" s="137" t="s">
        <v>35</v>
      </c>
      <c r="I671" s="191"/>
      <c r="J671" s="152">
        <f ca="1">IFERROR(__xludf.DUMMYFUNCTION("IMPORTRANGE(""https://docs.google.com/spreadsheets/d/1tdoBKaGub7dwA3U6UFTqxio9LNnvDCQjHKmttSEBsFQ/edit?usp=sharing"",""จัดที่ดิน!AY82"")"),0)</f>
        <v>0</v>
      </c>
      <c r="K671" s="46"/>
      <c r="L671" s="546"/>
      <c r="M671" s="46"/>
      <c r="N671" s="479"/>
      <c r="O671" s="46"/>
      <c r="P671" s="46"/>
      <c r="Q671" s="46"/>
      <c r="R671" s="46"/>
      <c r="S671" s="479"/>
      <c r="T671" s="46"/>
      <c r="U671" s="46"/>
    </row>
    <row r="672" spans="1:21" ht="18.75" hidden="1" x14ac:dyDescent="0.25">
      <c r="A672" s="217"/>
      <c r="B672" s="159"/>
      <c r="C672" s="159"/>
      <c r="D672" s="41"/>
      <c r="E672" s="41"/>
      <c r="F672" s="41"/>
      <c r="G672" s="43"/>
      <c r="H672" s="137" t="s">
        <v>34</v>
      </c>
      <c r="I672" s="191"/>
      <c r="J672" s="152">
        <f ca="1">IFERROR(__xludf.DUMMYFUNCTION("IMPORTRANGE(""https://docs.google.com/spreadsheets/d/1tdoBKaGub7dwA3U6UFTqxio9LNnvDCQjHKmttSEBsFQ/edit?usp=sharing"",""จัดที่ดิน!AZ82"")"),0)</f>
        <v>0</v>
      </c>
      <c r="K672" s="46"/>
      <c r="L672" s="567"/>
      <c r="M672" s="46"/>
      <c r="N672" s="479"/>
      <c r="O672" s="46"/>
      <c r="P672" s="46"/>
      <c r="Q672" s="479"/>
      <c r="R672" s="46"/>
      <c r="S672" s="479"/>
      <c r="T672" s="46"/>
      <c r="U672" s="46"/>
    </row>
    <row r="673" spans="1:21" ht="18.75" hidden="1" x14ac:dyDescent="0.25">
      <c r="A673" s="217"/>
      <c r="B673" s="159"/>
      <c r="C673" s="159"/>
      <c r="D673" s="41"/>
      <c r="E673" s="41"/>
      <c r="F673" s="41"/>
      <c r="G673" s="43"/>
      <c r="H673" s="137" t="s">
        <v>46</v>
      </c>
      <c r="I673" s="477">
        <f ca="1">IFERROR(__xludf.DUMMYFUNCTION("IMPORTRANGE(""https://docs.google.com/spreadsheets/d/1eHaY18a8A9IcSdp1K8H6x8fbOy06t2VsZHhMHf-1x7Y/edit?usp=sharing"",""แผน!IL82"")"),0)</f>
        <v>0</v>
      </c>
      <c r="J673" s="152">
        <f ca="1">IFERROR(__xludf.DUMMYFUNCTION("IMPORTRANGE(""https://docs.google.com/spreadsheets/d/1tdoBKaGub7dwA3U6UFTqxio9LNnvDCQjHKmttSEBsFQ/edit?usp=sharing"",""จัดที่ดิน!BA82"")"),0)</f>
        <v>0</v>
      </c>
      <c r="K673" s="47">
        <f ca="1">IF(I673&gt;0,J673*100/I673,0)</f>
        <v>0</v>
      </c>
      <c r="L673" s="567"/>
      <c r="M673" s="46"/>
      <c r="N673" s="479"/>
      <c r="O673" s="46"/>
      <c r="P673" s="46"/>
      <c r="Q673" s="479"/>
      <c r="R673" s="46"/>
      <c r="S673" s="479"/>
      <c r="T673" s="46"/>
      <c r="U673" s="46"/>
    </row>
    <row r="674" spans="1:21" ht="19.5" hidden="1" x14ac:dyDescent="0.3">
      <c r="A674" s="217"/>
      <c r="B674" s="159"/>
      <c r="C674" s="159"/>
      <c r="D674" s="48" t="s">
        <v>251</v>
      </c>
      <c r="E674" s="41"/>
      <c r="F674" s="41"/>
      <c r="G674" s="43"/>
      <c r="H674" s="473" t="s">
        <v>35</v>
      </c>
      <c r="I674" s="478">
        <f ca="1">IFERROR(__xludf.DUMMYFUNCTION("IMPORTRANGE(""https://docs.google.com/spreadsheets/d/1eHaY18a8A9IcSdp1K8H6x8fbOy06t2VsZHhMHf-1x7Y/edit?usp=sharing"",""แผน!IM82"")"),0)</f>
        <v>0</v>
      </c>
      <c r="J674" s="147">
        <f ca="1">J676+J679</f>
        <v>0</v>
      </c>
      <c r="K674" s="132">
        <f ca="1">IF(I674&gt;0,J674*100/I674,0)</f>
        <v>0</v>
      </c>
      <c r="L674" s="567"/>
      <c r="M674" s="46"/>
      <c r="N674" s="479"/>
      <c r="O674" s="46"/>
      <c r="P674" s="46"/>
      <c r="Q674" s="479"/>
      <c r="R674" s="46"/>
      <c r="S674" s="479"/>
      <c r="T674" s="46"/>
      <c r="U674" s="46"/>
    </row>
    <row r="675" spans="1:21" ht="19.5" hidden="1" x14ac:dyDescent="0.3">
      <c r="A675" s="217"/>
      <c r="B675" s="159"/>
      <c r="C675" s="159"/>
      <c r="D675" s="41"/>
      <c r="E675" s="41"/>
      <c r="F675" s="41"/>
      <c r="G675" s="43"/>
      <c r="H675" s="473" t="s">
        <v>46</v>
      </c>
      <c r="I675" s="478">
        <f ca="1">IFERROR(__xludf.DUMMYFUNCTION("IMPORTRANGE(""https://docs.google.com/spreadsheets/d/1eHaY18a8A9IcSdp1K8H6x8fbOy06t2VsZHhMHf-1x7Y/edit?usp=sharing"",""แผน!IN82"")"),0)</f>
        <v>0</v>
      </c>
      <c r="J675" s="147">
        <f ca="1">J678+J681</f>
        <v>0</v>
      </c>
      <c r="K675" s="132">
        <f ca="1">IF(I675&gt;0,J675*100/I675,0)</f>
        <v>0</v>
      </c>
      <c r="L675" s="546"/>
      <c r="M675" s="46"/>
      <c r="N675" s="479"/>
      <c r="O675" s="46"/>
      <c r="P675" s="46"/>
      <c r="Q675" s="46"/>
      <c r="R675" s="46"/>
      <c r="S675" s="479"/>
      <c r="T675" s="46"/>
      <c r="U675" s="46"/>
    </row>
    <row r="676" spans="1:21" ht="18.75" hidden="1" x14ac:dyDescent="0.25">
      <c r="A676" s="217"/>
      <c r="B676" s="159"/>
      <c r="C676" s="159"/>
      <c r="D676" s="41"/>
      <c r="E676" s="48" t="s">
        <v>252</v>
      </c>
      <c r="F676" s="41"/>
      <c r="G676" s="43"/>
      <c r="H676" s="137" t="s">
        <v>35</v>
      </c>
      <c r="I676" s="477">
        <f ca="1">IFERROR(__xludf.DUMMYFUNCTION("IMPORTRANGE(""https://docs.google.com/spreadsheets/d/1eHaY18a8A9IcSdp1K8H6x8fbOy06t2VsZHhMHf-1x7Y/edit?usp=sharing"",""แผน!IO82"")"),0)</f>
        <v>0</v>
      </c>
      <c r="J676" s="152">
        <f ca="1">IFERROR(__xludf.DUMMYFUNCTION("IMPORTRANGE(""https://docs.google.com/spreadsheets/d/1tdoBKaGub7dwA3U6UFTqxio9LNnvDCQjHKmttSEBsFQ/edit?usp=sharing"",""จัดที่ดิน!BF82"")"),0)</f>
        <v>0</v>
      </c>
      <c r="K676" s="47">
        <f ca="1">IF(I676&gt;0,J676*100/I676,0)</f>
        <v>0</v>
      </c>
      <c r="L676" s="546"/>
      <c r="M676" s="46"/>
      <c r="N676" s="479"/>
      <c r="O676" s="46"/>
      <c r="P676" s="46"/>
      <c r="Q676" s="46"/>
      <c r="R676" s="46"/>
      <c r="S676" s="479"/>
      <c r="T676" s="46"/>
      <c r="U676" s="46"/>
    </row>
    <row r="677" spans="1:21" ht="18.75" hidden="1" x14ac:dyDescent="0.25">
      <c r="A677" s="217"/>
      <c r="B677" s="159"/>
      <c r="C677" s="159"/>
      <c r="D677" s="41"/>
      <c r="E677" s="41"/>
      <c r="F677" s="41"/>
      <c r="G677" s="43"/>
      <c r="H677" s="137" t="s">
        <v>34</v>
      </c>
      <c r="I677" s="191"/>
      <c r="J677" s="152">
        <f ca="1">IFERROR(__xludf.DUMMYFUNCTION("IMPORTRANGE(""https://docs.google.com/spreadsheets/d/1tdoBKaGub7dwA3U6UFTqxio9LNnvDCQjHKmttSEBsFQ/edit?usp=sharing"",""จัดที่ดิน!BG82"")"),0)</f>
        <v>0</v>
      </c>
      <c r="K677" s="46"/>
      <c r="L677" s="567"/>
      <c r="M677" s="46"/>
      <c r="N677" s="479"/>
      <c r="O677" s="46"/>
      <c r="P677" s="46"/>
      <c r="Q677" s="479"/>
      <c r="R677" s="46"/>
      <c r="S677" s="479"/>
      <c r="T677" s="46"/>
      <c r="U677" s="46"/>
    </row>
    <row r="678" spans="1:21" ht="18.75" hidden="1" x14ac:dyDescent="0.25">
      <c r="A678" s="217"/>
      <c r="B678" s="159"/>
      <c r="C678" s="159"/>
      <c r="D678" s="41"/>
      <c r="E678" s="41"/>
      <c r="F678" s="41"/>
      <c r="G678" s="43"/>
      <c r="H678" s="137" t="s">
        <v>46</v>
      </c>
      <c r="I678" s="477">
        <f ca="1">IFERROR(__xludf.DUMMYFUNCTION("IMPORTRANGE(""https://docs.google.com/spreadsheets/d/1eHaY18a8A9IcSdp1K8H6x8fbOy06t2VsZHhMHf-1x7Y/edit?usp=sharing"",""แผน!IP82"")"),0)</f>
        <v>0</v>
      </c>
      <c r="J678" s="152">
        <f ca="1">IFERROR(__xludf.DUMMYFUNCTION("IMPORTRANGE(""https://docs.google.com/spreadsheets/d/1tdoBKaGub7dwA3U6UFTqxio9LNnvDCQjHKmttSEBsFQ/edit?usp=sharing"",""จัดที่ดิน!BH82"")"),0)</f>
        <v>0</v>
      </c>
      <c r="K678" s="47">
        <f ca="1">IF(I678&gt;0,J678*100/I678,0)</f>
        <v>0</v>
      </c>
      <c r="L678" s="567"/>
      <c r="M678" s="46"/>
      <c r="N678" s="479"/>
      <c r="O678" s="46"/>
      <c r="P678" s="46"/>
      <c r="Q678" s="479"/>
      <c r="R678" s="46"/>
      <c r="S678" s="479"/>
      <c r="T678" s="46"/>
      <c r="U678" s="46"/>
    </row>
    <row r="679" spans="1:21" ht="18.75" hidden="1" x14ac:dyDescent="0.25">
      <c r="A679" s="217"/>
      <c r="B679" s="159"/>
      <c r="C679" s="159"/>
      <c r="D679" s="41"/>
      <c r="E679" s="48" t="s">
        <v>253</v>
      </c>
      <c r="F679" s="41"/>
      <c r="G679" s="43"/>
      <c r="H679" s="137" t="s">
        <v>35</v>
      </c>
      <c r="I679" s="477">
        <f ca="1">IFERROR(__xludf.DUMMYFUNCTION("IMPORTRANGE(""https://docs.google.com/spreadsheets/d/1eHaY18a8A9IcSdp1K8H6x8fbOy06t2VsZHhMHf-1x7Y/edit?usp=sharing"",""แผน!IQ82"")"),0)</f>
        <v>0</v>
      </c>
      <c r="J679" s="152">
        <f ca="1">IFERROR(__xludf.DUMMYFUNCTION("IMPORTRANGE(""https://docs.google.com/spreadsheets/d/1tdoBKaGub7dwA3U6UFTqxio9LNnvDCQjHKmttSEBsFQ/edit?usp=sharing"",""จัดที่ดิน!BK82"")"),0)</f>
        <v>0</v>
      </c>
      <c r="K679" s="47">
        <f ca="1">IF(I679&gt;0,J679*100/I679,0)</f>
        <v>0</v>
      </c>
      <c r="L679" s="546"/>
      <c r="M679" s="46"/>
      <c r="N679" s="479"/>
      <c r="O679" s="46"/>
      <c r="P679" s="46"/>
      <c r="Q679" s="46"/>
      <c r="R679" s="46"/>
      <c r="S679" s="479"/>
      <c r="T679" s="46"/>
      <c r="U679" s="46"/>
    </row>
    <row r="680" spans="1:21" ht="18.75" hidden="1" x14ac:dyDescent="0.25">
      <c r="A680" s="217"/>
      <c r="B680" s="159"/>
      <c r="C680" s="159"/>
      <c r="D680" s="41"/>
      <c r="E680" s="41"/>
      <c r="F680" s="41"/>
      <c r="G680" s="43"/>
      <c r="H680" s="137" t="s">
        <v>34</v>
      </c>
      <c r="I680" s="191"/>
      <c r="J680" s="152">
        <f ca="1">IFERROR(__xludf.DUMMYFUNCTION("IMPORTRANGE(""https://docs.google.com/spreadsheets/d/1tdoBKaGub7dwA3U6UFTqxio9LNnvDCQjHKmttSEBsFQ/edit?usp=sharing"",""จัดที่ดิน!BL82"")"),0)</f>
        <v>0</v>
      </c>
      <c r="K680" s="46"/>
      <c r="L680" s="567"/>
      <c r="M680" s="46"/>
      <c r="N680" s="479"/>
      <c r="O680" s="46"/>
      <c r="P680" s="46"/>
      <c r="Q680" s="479"/>
      <c r="R680" s="46"/>
      <c r="S680" s="479"/>
      <c r="T680" s="46"/>
      <c r="U680" s="46"/>
    </row>
    <row r="681" spans="1:21" ht="18.75" hidden="1" x14ac:dyDescent="0.25">
      <c r="A681" s="217"/>
      <c r="B681" s="159"/>
      <c r="C681" s="159"/>
      <c r="D681" s="41"/>
      <c r="E681" s="41"/>
      <c r="F681" s="41"/>
      <c r="G681" s="43"/>
      <c r="H681" s="137" t="s">
        <v>46</v>
      </c>
      <c r="I681" s="477">
        <f ca="1">IFERROR(__xludf.DUMMYFUNCTION("IMPORTRANGE(""https://docs.google.com/spreadsheets/d/1eHaY18a8A9IcSdp1K8H6x8fbOy06t2VsZHhMHf-1x7Y/edit?usp=sharing"",""แผน!IR82"")"),0)</f>
        <v>0</v>
      </c>
      <c r="J681" s="152">
        <f ca="1">IFERROR(__xludf.DUMMYFUNCTION("IMPORTRANGE(""https://docs.google.com/spreadsheets/d/1tdoBKaGub7dwA3U6UFTqxio9LNnvDCQjHKmttSEBsFQ/edit?usp=sharing"",""จัดที่ดิน!BM82"")"),0)</f>
        <v>0</v>
      </c>
      <c r="K681" s="47">
        <f ca="1">IF(I681&gt;0,J681*100/I681,0)</f>
        <v>0</v>
      </c>
      <c r="L681" s="567"/>
      <c r="M681" s="46"/>
      <c r="N681" s="479"/>
      <c r="O681" s="46"/>
      <c r="P681" s="46"/>
      <c r="Q681" s="479"/>
      <c r="R681" s="46"/>
      <c r="S681" s="479"/>
      <c r="T681" s="46"/>
      <c r="U681" s="46"/>
    </row>
    <row r="682" spans="1:21" ht="19.5" hidden="1" x14ac:dyDescent="0.3">
      <c r="A682" s="217"/>
      <c r="B682" s="159"/>
      <c r="C682" s="159"/>
      <c r="D682" s="48" t="s">
        <v>254</v>
      </c>
      <c r="E682" s="41"/>
      <c r="F682" s="41"/>
      <c r="G682" s="43"/>
      <c r="H682" s="473" t="s">
        <v>46</v>
      </c>
      <c r="I682" s="478">
        <f ca="1">IFERROR(__xludf.DUMMYFUNCTION("IMPORTRANGE(""https://docs.google.com/spreadsheets/d/1eHaY18a8A9IcSdp1K8H6x8fbOy06t2VsZHhMHf-1x7Y/edit?usp=sharing"",""แผน!IS82"")"),0)</f>
        <v>0</v>
      </c>
      <c r="J682" s="147">
        <f>J685+J688</f>
        <v>0</v>
      </c>
      <c r="K682" s="132">
        <f ca="1">IF(I682&gt;0,J682*100/I682,0)</f>
        <v>0</v>
      </c>
      <c r="L682" s="546"/>
      <c r="M682" s="46"/>
      <c r="N682" s="479"/>
      <c r="O682" s="46"/>
      <c r="P682" s="46"/>
      <c r="Q682" s="46"/>
      <c r="R682" s="46"/>
      <c r="S682" s="479"/>
      <c r="T682" s="46"/>
      <c r="U682" s="46"/>
    </row>
    <row r="683" spans="1:21" ht="18.75" hidden="1" x14ac:dyDescent="0.25">
      <c r="A683" s="217"/>
      <c r="B683" s="159"/>
      <c r="C683" s="159"/>
      <c r="D683" s="41"/>
      <c r="E683" s="48" t="s">
        <v>255</v>
      </c>
      <c r="F683" s="41"/>
      <c r="G683" s="43"/>
      <c r="H683" s="137" t="s">
        <v>35</v>
      </c>
      <c r="I683" s="191"/>
      <c r="J683" s="167">
        <v>0</v>
      </c>
      <c r="K683" s="46"/>
      <c r="L683" s="567"/>
      <c r="M683" s="46"/>
      <c r="N683" s="479"/>
      <c r="O683" s="46"/>
      <c r="P683" s="46"/>
      <c r="Q683" s="479"/>
      <c r="R683" s="46"/>
      <c r="S683" s="479"/>
      <c r="T683" s="46"/>
      <c r="U683" s="46"/>
    </row>
    <row r="684" spans="1:21" ht="18.75" hidden="1" x14ac:dyDescent="0.25">
      <c r="A684" s="217"/>
      <c r="B684" s="159"/>
      <c r="C684" s="159"/>
      <c r="D684" s="41"/>
      <c r="E684" s="41"/>
      <c r="F684" s="41"/>
      <c r="G684" s="43"/>
      <c r="H684" s="137" t="s">
        <v>34</v>
      </c>
      <c r="I684" s="191"/>
      <c r="J684" s="167">
        <v>0</v>
      </c>
      <c r="K684" s="46"/>
      <c r="L684" s="567"/>
      <c r="M684" s="46"/>
      <c r="N684" s="479"/>
      <c r="O684" s="46"/>
      <c r="P684" s="46"/>
      <c r="Q684" s="479"/>
      <c r="R684" s="46"/>
      <c r="S684" s="479"/>
      <c r="T684" s="46"/>
      <c r="U684" s="46"/>
    </row>
    <row r="685" spans="1:21" ht="18.75" hidden="1" x14ac:dyDescent="0.25">
      <c r="A685" s="217"/>
      <c r="B685" s="159"/>
      <c r="C685" s="159"/>
      <c r="D685" s="41"/>
      <c r="E685" s="41"/>
      <c r="F685" s="41"/>
      <c r="G685" s="43"/>
      <c r="H685" s="137" t="s">
        <v>46</v>
      </c>
      <c r="I685" s="191"/>
      <c r="J685" s="167">
        <v>0</v>
      </c>
      <c r="K685" s="46"/>
      <c r="L685" s="567"/>
      <c r="M685" s="46"/>
      <c r="N685" s="479"/>
      <c r="O685" s="46"/>
      <c r="P685" s="46"/>
      <c r="Q685" s="479"/>
      <c r="R685" s="46"/>
      <c r="S685" s="479"/>
      <c r="T685" s="46"/>
      <c r="U685" s="46"/>
    </row>
    <row r="686" spans="1:21" ht="18.75" hidden="1" x14ac:dyDescent="0.25">
      <c r="A686" s="217"/>
      <c r="B686" s="159"/>
      <c r="C686" s="159"/>
      <c r="D686" s="41"/>
      <c r="E686" s="48" t="s">
        <v>256</v>
      </c>
      <c r="F686" s="41"/>
      <c r="G686" s="43"/>
      <c r="H686" s="137" t="s">
        <v>35</v>
      </c>
      <c r="I686" s="191"/>
      <c r="J686" s="167">
        <v>0</v>
      </c>
      <c r="K686" s="46"/>
      <c r="L686" s="567"/>
      <c r="M686" s="46"/>
      <c r="N686" s="479"/>
      <c r="O686" s="46"/>
      <c r="P686" s="46"/>
      <c r="Q686" s="479"/>
      <c r="R686" s="46"/>
      <c r="S686" s="479"/>
      <c r="T686" s="46"/>
      <c r="U686" s="46"/>
    </row>
    <row r="687" spans="1:21" ht="18.75" hidden="1" x14ac:dyDescent="0.25">
      <c r="A687" s="217"/>
      <c r="B687" s="159"/>
      <c r="C687" s="159"/>
      <c r="D687" s="41"/>
      <c r="E687" s="41"/>
      <c r="F687" s="41"/>
      <c r="G687" s="43"/>
      <c r="H687" s="137" t="s">
        <v>34</v>
      </c>
      <c r="I687" s="191"/>
      <c r="J687" s="167">
        <v>0</v>
      </c>
      <c r="K687" s="46"/>
      <c r="L687" s="567"/>
      <c r="M687" s="46"/>
      <c r="N687" s="479"/>
      <c r="O687" s="46"/>
      <c r="P687" s="46"/>
      <c r="Q687" s="479"/>
      <c r="R687" s="46"/>
      <c r="S687" s="479"/>
      <c r="T687" s="46"/>
      <c r="U687" s="46"/>
    </row>
    <row r="688" spans="1:21" ht="19.5" hidden="1" x14ac:dyDescent="0.3">
      <c r="A688" s="263"/>
      <c r="B688" s="480" t="s">
        <v>257</v>
      </c>
      <c r="C688" s="264"/>
      <c r="D688" s="266"/>
      <c r="E688" s="266"/>
      <c r="F688" s="266"/>
      <c r="G688" s="267"/>
      <c r="H688" s="196" t="s">
        <v>46</v>
      </c>
      <c r="I688" s="351"/>
      <c r="J688" s="355">
        <v>0</v>
      </c>
      <c r="K688" s="4"/>
      <c r="L688" s="566"/>
      <c r="M688" s="4"/>
      <c r="N688" s="481"/>
      <c r="O688" s="4"/>
      <c r="P688" s="4"/>
      <c r="Q688" s="481"/>
      <c r="R688" s="4"/>
      <c r="S688" s="481"/>
      <c r="T688" s="4"/>
      <c r="U688" s="4"/>
    </row>
    <row r="689" spans="1:21" ht="19.5" x14ac:dyDescent="0.3">
      <c r="A689" s="499"/>
      <c r="B689" s="457" t="s">
        <v>258</v>
      </c>
      <c r="C689" s="456"/>
      <c r="D689" s="458"/>
      <c r="E689" s="458"/>
      <c r="F689" s="458"/>
      <c r="G689" s="459"/>
      <c r="H689" s="565" t="s">
        <v>35</v>
      </c>
      <c r="I689" s="564">
        <f ca="1">I707</f>
        <v>0</v>
      </c>
      <c r="J689" s="564">
        <f ca="1">J707</f>
        <v>0</v>
      </c>
      <c r="K689" s="484">
        <f ca="1">IF(I689&gt;0,J689*100/I689,0)</f>
        <v>0</v>
      </c>
      <c r="L689" s="552"/>
      <c r="M689" s="462"/>
      <c r="N689" s="462"/>
      <c r="O689" s="462"/>
      <c r="P689" s="462"/>
      <c r="Q689" s="462"/>
      <c r="R689" s="462"/>
      <c r="S689" s="462"/>
      <c r="T689" s="462"/>
      <c r="U689" s="462"/>
    </row>
    <row r="690" spans="1:21" ht="19.5" x14ac:dyDescent="0.3">
      <c r="A690" s="128"/>
      <c r="B690" s="159"/>
      <c r="C690" s="386" t="s">
        <v>18</v>
      </c>
      <c r="D690" s="551" t="s">
        <v>19</v>
      </c>
      <c r="E690" s="530"/>
      <c r="F690" s="530"/>
      <c r="G690" s="531"/>
      <c r="H690" s="232" t="s">
        <v>14</v>
      </c>
      <c r="I690" s="45"/>
      <c r="J690" s="45"/>
      <c r="K690" s="46"/>
      <c r="L690" s="550">
        <f>L691+L692</f>
        <v>0</v>
      </c>
      <c r="M690" s="132">
        <f>M691+M692</f>
        <v>0</v>
      </c>
      <c r="N690" s="132">
        <f>N691+N692</f>
        <v>0</v>
      </c>
      <c r="O690" s="132">
        <f>IF(L690&gt;0,N690*100/L690,0)</f>
        <v>0</v>
      </c>
      <c r="P690" s="132">
        <f>IF(M690&gt;0,N690*100/M690,0)</f>
        <v>0</v>
      </c>
      <c r="Q690" s="132">
        <f ca="1">Q691+Q692</f>
        <v>67330</v>
      </c>
      <c r="R690" s="132">
        <f ca="1">R691+R692</f>
        <v>67330</v>
      </c>
      <c r="S690" s="132">
        <f ca="1">S691+S692</f>
        <v>10538.83</v>
      </c>
      <c r="T690" s="132">
        <f ca="1">IF(Q690&gt;0,S690*100/Q690,0)</f>
        <v>15.652502599138572</v>
      </c>
      <c r="U690" s="132">
        <f ca="1">IF(R690&gt;0,S690*100/R690,0)</f>
        <v>15.652502599138572</v>
      </c>
    </row>
    <row r="691" spans="1:21" ht="18.75" hidden="1" x14ac:dyDescent="0.25">
      <c r="A691" s="128"/>
      <c r="B691" s="159"/>
      <c r="C691" s="159"/>
      <c r="D691" s="145"/>
      <c r="E691" s="157" t="s">
        <v>158</v>
      </c>
      <c r="F691" s="41"/>
      <c r="G691" s="43"/>
      <c r="H691" s="160" t="s">
        <v>14</v>
      </c>
      <c r="I691" s="45"/>
      <c r="J691" s="45"/>
      <c r="K691" s="46"/>
      <c r="L691" s="549">
        <f>L694+L697</f>
        <v>0</v>
      </c>
      <c r="M691" s="49">
        <f>M694+M697</f>
        <v>0</v>
      </c>
      <c r="N691" s="49">
        <f>N694+N697</f>
        <v>0</v>
      </c>
      <c r="O691" s="49">
        <f>IF(L691&gt;0,N691*100/L691,0)</f>
        <v>0</v>
      </c>
      <c r="P691" s="49">
        <f>IF(M691&gt;0,N691*100/M691,0)</f>
        <v>0</v>
      </c>
      <c r="Q691" s="49">
        <f>Q694+Q697</f>
        <v>0</v>
      </c>
      <c r="R691" s="49">
        <f>R694+R697</f>
        <v>0</v>
      </c>
      <c r="S691" s="49">
        <f>S694+S697</f>
        <v>0</v>
      </c>
      <c r="T691" s="49">
        <f>IF(Q691&gt;0,S691*100/Q691,0)</f>
        <v>0</v>
      </c>
      <c r="U691" s="49">
        <f>IF(R691&gt;0,S691*100/R691,0)</f>
        <v>0</v>
      </c>
    </row>
    <row r="692" spans="1:21" ht="18.75" hidden="1" x14ac:dyDescent="0.25">
      <c r="A692" s="128"/>
      <c r="B692" s="159"/>
      <c r="C692" s="159"/>
      <c r="D692" s="145"/>
      <c r="E692" s="48" t="s">
        <v>159</v>
      </c>
      <c r="F692" s="41"/>
      <c r="G692" s="43"/>
      <c r="H692" s="134" t="s">
        <v>14</v>
      </c>
      <c r="I692" s="45"/>
      <c r="J692" s="45"/>
      <c r="K692" s="46"/>
      <c r="L692" s="548">
        <f>L695+L698</f>
        <v>0</v>
      </c>
      <c r="M692" s="47">
        <f>M695+M698</f>
        <v>0</v>
      </c>
      <c r="N692" s="47">
        <f>N695+N698</f>
        <v>0</v>
      </c>
      <c r="O692" s="47">
        <f>IF(L692&gt;0,N692*100/L692,0)</f>
        <v>0</v>
      </c>
      <c r="P692" s="47">
        <f>IF(M692&gt;0,N692*100/M692,0)</f>
        <v>0</v>
      </c>
      <c r="Q692" s="47">
        <f ca="1">Q695+Q698</f>
        <v>67330</v>
      </c>
      <c r="R692" s="47">
        <f ca="1">R695+R698</f>
        <v>67330</v>
      </c>
      <c r="S692" s="47">
        <f ca="1">S695+S698</f>
        <v>10538.83</v>
      </c>
      <c r="T692" s="47">
        <f ca="1">IF(Q692&gt;0,S692*100/Q692,0)</f>
        <v>15.652502599138572</v>
      </c>
      <c r="U692" s="47">
        <f ca="1">IF(R692&gt;0,S692*100/R692,0)</f>
        <v>15.652502599138572</v>
      </c>
    </row>
    <row r="693" spans="1:21" ht="18.75" x14ac:dyDescent="0.25">
      <c r="A693" s="128"/>
      <c r="B693" s="159"/>
      <c r="C693" s="159"/>
      <c r="D693" s="42" t="s">
        <v>22</v>
      </c>
      <c r="E693" s="41"/>
      <c r="F693" s="41"/>
      <c r="G693" s="43"/>
      <c r="H693" s="134" t="s">
        <v>14</v>
      </c>
      <c r="I693" s="135"/>
      <c r="J693" s="135"/>
      <c r="K693" s="136"/>
      <c r="L693" s="548">
        <f>L694+L695</f>
        <v>0</v>
      </c>
      <c r="M693" s="47">
        <f>M694+M695</f>
        <v>0</v>
      </c>
      <c r="N693" s="47">
        <f>N694+N695</f>
        <v>0</v>
      </c>
      <c r="O693" s="47">
        <f>IF(L693&gt;0,N693*100/L693,0)</f>
        <v>0</v>
      </c>
      <c r="P693" s="47">
        <f>IF(M693&gt;0,N693*100/M693,0)</f>
        <v>0</v>
      </c>
      <c r="Q693" s="47">
        <f ca="1">Q694+Q695</f>
        <v>67330</v>
      </c>
      <c r="R693" s="47">
        <f ca="1">R694+R695</f>
        <v>67330</v>
      </c>
      <c r="S693" s="47">
        <f ca="1">S694+S695</f>
        <v>10538.83</v>
      </c>
      <c r="T693" s="47">
        <f ca="1">IF(Q693&gt;0,S693*100/Q693,0)</f>
        <v>15.652502599138572</v>
      </c>
      <c r="U693" s="47">
        <f ca="1">IF(R693&gt;0,S693*100/R693,0)</f>
        <v>15.652502599138572</v>
      </c>
    </row>
    <row r="694" spans="1:21" ht="18.75" hidden="1" x14ac:dyDescent="0.25">
      <c r="A694" s="128"/>
      <c r="B694" s="159"/>
      <c r="C694" s="159"/>
      <c r="D694" s="145"/>
      <c r="E694" s="157" t="s">
        <v>158</v>
      </c>
      <c r="F694" s="41"/>
      <c r="G694" s="43"/>
      <c r="H694" s="160" t="s">
        <v>14</v>
      </c>
      <c r="I694" s="45"/>
      <c r="J694" s="45"/>
      <c r="K694" s="46"/>
      <c r="L694" s="549">
        <v>0</v>
      </c>
      <c r="M694" s="49">
        <v>0</v>
      </c>
      <c r="N694" s="49">
        <v>0</v>
      </c>
      <c r="O694" s="49">
        <f>IF(L694&gt;0,N694*100/L694,0)</f>
        <v>0</v>
      </c>
      <c r="P694" s="49">
        <f>IF(M694&gt;0,N694*100/M694,0)</f>
        <v>0</v>
      </c>
      <c r="Q694" s="49">
        <v>0</v>
      </c>
      <c r="R694" s="49">
        <v>0</v>
      </c>
      <c r="S694" s="49">
        <v>0</v>
      </c>
      <c r="T694" s="49">
        <f>IF(Q694&gt;0,S694*100/Q694,0)</f>
        <v>0</v>
      </c>
      <c r="U694" s="49">
        <f>IF(R694&gt;0,S694*100/R694,0)</f>
        <v>0</v>
      </c>
    </row>
    <row r="695" spans="1:21" ht="18.75" hidden="1" x14ac:dyDescent="0.25">
      <c r="A695" s="128"/>
      <c r="B695" s="159"/>
      <c r="C695" s="159"/>
      <c r="D695" s="145"/>
      <c r="E695" s="48" t="s">
        <v>159</v>
      </c>
      <c r="F695" s="41"/>
      <c r="G695" s="43"/>
      <c r="H695" s="134" t="s">
        <v>14</v>
      </c>
      <c r="I695" s="45"/>
      <c r="J695" s="45"/>
      <c r="K695" s="46"/>
      <c r="L695" s="548">
        <v>0</v>
      </c>
      <c r="M695" s="47">
        <v>0</v>
      </c>
      <c r="N695" s="47">
        <v>0</v>
      </c>
      <c r="O695" s="47">
        <f>IF(L695&gt;0,N695*100/L695,0)</f>
        <v>0</v>
      </c>
      <c r="P695" s="47">
        <f>IF(M695&gt;0,N695*100/M695,0)</f>
        <v>0</v>
      </c>
      <c r="Q695" s="47">
        <f ca="1">IFERROR(__xludf.DUMMYFUNCTION("IMPORTRANGE(""https://docs.google.com/spreadsheets/d/1ItG2mGa2ceCfYo0BwxsXqNm01IGEUdYcSSLTEv9YCik/edit?usp=sharing"",""เบิกจ่ายกองทุน!L82"")"),67330)</f>
        <v>67330</v>
      </c>
      <c r="R695" s="47">
        <f ca="1">IFERROR(__xludf.DUMMYFUNCTION("IMPORTRANGE(""https://docs.google.com/spreadsheets/d/1ItG2mGa2ceCfYo0BwxsXqNm01IGEUdYcSSLTEv9YCik/edit?usp=sharing"",""เบิกจ่ายกองทุน!M82"")"),67330)</f>
        <v>67330</v>
      </c>
      <c r="S695" s="47">
        <f ca="1">IFERROR(__xludf.DUMMYFUNCTION("IMPORTRANGE(""https://docs.google.com/spreadsheets/d/1ItG2mGa2ceCfYo0BwxsXqNm01IGEUdYcSSLTEv9YCik/edit?usp=sharing"",""เบิกจ่ายกองทุน!N82"")"),10538.83)</f>
        <v>10538.83</v>
      </c>
      <c r="T695" s="47">
        <f ca="1">IF(Q695&gt;0,S695*100/Q695,0)</f>
        <v>15.652502599138572</v>
      </c>
      <c r="U695" s="47">
        <f ca="1">IF(R695&gt;0,S695*100/R695,0)</f>
        <v>15.652502599138572</v>
      </c>
    </row>
    <row r="696" spans="1:21" ht="18.75" x14ac:dyDescent="0.25">
      <c r="A696" s="128"/>
      <c r="B696" s="159"/>
      <c r="C696" s="159"/>
      <c r="D696" s="42" t="s">
        <v>23</v>
      </c>
      <c r="E696" s="41"/>
      <c r="F696" s="41"/>
      <c r="G696" s="43"/>
      <c r="H696" s="137" t="s">
        <v>14</v>
      </c>
      <c r="I696" s="135"/>
      <c r="J696" s="135"/>
      <c r="K696" s="136"/>
      <c r="L696" s="548">
        <f>L697+L698</f>
        <v>0</v>
      </c>
      <c r="M696" s="47">
        <f>M697+M698</f>
        <v>0</v>
      </c>
      <c r="N696" s="47">
        <f>N697+N698</f>
        <v>0</v>
      </c>
      <c r="O696" s="47">
        <f>IF(L696&gt;0,N696*100/L696,0)</f>
        <v>0</v>
      </c>
      <c r="P696" s="47">
        <f>IF(M696&gt;0,N696*100/M696,0)</f>
        <v>0</v>
      </c>
      <c r="Q696" s="47">
        <f>Q697+Q698</f>
        <v>0</v>
      </c>
      <c r="R696" s="47">
        <f>R697+R698</f>
        <v>0</v>
      </c>
      <c r="S696" s="47">
        <f>S697+S698</f>
        <v>0</v>
      </c>
      <c r="T696" s="47">
        <f>IF(Q696&gt;0,S696*100/Q696,0)</f>
        <v>0</v>
      </c>
      <c r="U696" s="47">
        <f>IF(R696&gt;0,S696*100/R696,0)</f>
        <v>0</v>
      </c>
    </row>
    <row r="697" spans="1:21" ht="18.75" hidden="1" x14ac:dyDescent="0.25">
      <c r="A697" s="128"/>
      <c r="B697" s="159"/>
      <c r="C697" s="159"/>
      <c r="D697" s="41"/>
      <c r="E697" s="157" t="s">
        <v>20</v>
      </c>
      <c r="F697" s="41"/>
      <c r="G697" s="43"/>
      <c r="H697" s="160" t="s">
        <v>14</v>
      </c>
      <c r="I697" s="135"/>
      <c r="J697" s="135"/>
      <c r="K697" s="136"/>
      <c r="L697" s="549">
        <v>0</v>
      </c>
      <c r="M697" s="49">
        <v>0</v>
      </c>
      <c r="N697" s="49">
        <v>0</v>
      </c>
      <c r="O697" s="49">
        <f>IF(L697&gt;0,N697*100/L697,0)</f>
        <v>0</v>
      </c>
      <c r="P697" s="49">
        <f>IF(M697&gt;0,N697*100/M697,0)</f>
        <v>0</v>
      </c>
      <c r="Q697" s="49">
        <v>0</v>
      </c>
      <c r="R697" s="49">
        <v>0</v>
      </c>
      <c r="S697" s="49">
        <v>0</v>
      </c>
      <c r="T697" s="49">
        <f>IF(Q697&gt;0,S697*100/Q697,0)</f>
        <v>0</v>
      </c>
      <c r="U697" s="49">
        <f>IF(R697&gt;0,S697*100/R697,0)</f>
        <v>0</v>
      </c>
    </row>
    <row r="698" spans="1:21" ht="18.75" hidden="1" x14ac:dyDescent="0.25">
      <c r="A698" s="128"/>
      <c r="B698" s="159"/>
      <c r="C698" s="159"/>
      <c r="D698" s="41"/>
      <c r="E698" s="48" t="s">
        <v>21</v>
      </c>
      <c r="F698" s="41"/>
      <c r="G698" s="43"/>
      <c r="H698" s="137" t="s">
        <v>14</v>
      </c>
      <c r="I698" s="135"/>
      <c r="J698" s="135"/>
      <c r="K698" s="136"/>
      <c r="L698" s="548">
        <v>0</v>
      </c>
      <c r="M698" s="47">
        <v>0</v>
      </c>
      <c r="N698" s="47">
        <v>0</v>
      </c>
      <c r="O698" s="47">
        <f>IF(L698&gt;0,N698*100/L698,0)</f>
        <v>0</v>
      </c>
      <c r="P698" s="47">
        <f>IF(M698&gt;0,N698*100/M698,0)</f>
        <v>0</v>
      </c>
      <c r="Q698" s="47">
        <v>0</v>
      </c>
      <c r="R698" s="47">
        <v>0</v>
      </c>
      <c r="S698" s="47">
        <v>0</v>
      </c>
      <c r="T698" s="47">
        <f>IF(Q698&gt;0,S698*100/Q698,0)</f>
        <v>0</v>
      </c>
      <c r="U698" s="47">
        <f>IF(R698&gt;0,S698*100/R698,0)</f>
        <v>0</v>
      </c>
    </row>
    <row r="699" spans="1:21" ht="19.5" x14ac:dyDescent="0.3">
      <c r="A699" s="138"/>
      <c r="B699" s="139"/>
      <c r="C699" s="386" t="s">
        <v>18</v>
      </c>
      <c r="D699" s="563" t="s">
        <v>38</v>
      </c>
      <c r="E699" s="141"/>
      <c r="F699" s="141"/>
      <c r="G699" s="141"/>
      <c r="H699" s="189"/>
      <c r="I699" s="135"/>
      <c r="J699" s="135"/>
      <c r="K699" s="136"/>
      <c r="L699" s="546"/>
      <c r="M699" s="46"/>
      <c r="N699" s="46"/>
      <c r="O699" s="46"/>
      <c r="P699" s="46"/>
      <c r="Q699" s="46"/>
      <c r="R699" s="46"/>
      <c r="S699" s="46"/>
      <c r="T699" s="46"/>
      <c r="U699" s="46"/>
    </row>
    <row r="700" spans="1:21" ht="18.75" x14ac:dyDescent="0.25">
      <c r="A700" s="217"/>
      <c r="B700" s="159"/>
      <c r="C700" s="159"/>
      <c r="D700" s="145"/>
      <c r="E700" s="144" t="s">
        <v>259</v>
      </c>
      <c r="F700" s="145"/>
      <c r="G700" s="143"/>
      <c r="H700" s="137" t="s">
        <v>260</v>
      </c>
      <c r="I700" s="152">
        <f ca="1">IFERROR(__xludf.DUMMYFUNCTION("IMPORTRANGE(""https://docs.google.com/spreadsheets/d/1eHaY18a8A9IcSdp1K8H6x8fbOy06t2VsZHhMHf-1x7Y/edit?usp=sharing"",""แผน!LC82"")"),0)</f>
        <v>0</v>
      </c>
      <c r="J700" s="167">
        <v>0</v>
      </c>
      <c r="K700" s="153">
        <f ca="1">IF(I700&gt;0,J700*100/I700,0)</f>
        <v>0</v>
      </c>
      <c r="L700" s="558"/>
      <c r="M700" s="136"/>
      <c r="N700" s="46"/>
      <c r="O700" s="136"/>
      <c r="P700" s="136"/>
      <c r="Q700" s="136"/>
      <c r="R700" s="136"/>
      <c r="S700" s="46"/>
      <c r="T700" s="136"/>
      <c r="U700" s="136"/>
    </row>
    <row r="701" spans="1:21" ht="19.5" x14ac:dyDescent="0.3">
      <c r="A701" s="217"/>
      <c r="B701" s="159"/>
      <c r="C701" s="159"/>
      <c r="D701" s="145"/>
      <c r="E701" s="485" t="s">
        <v>261</v>
      </c>
      <c r="F701" s="145"/>
      <c r="G701" s="143"/>
      <c r="H701" s="131" t="s">
        <v>35</v>
      </c>
      <c r="I701" s="147">
        <f ca="1">I703+I705</f>
        <v>3</v>
      </c>
      <c r="J701" s="147">
        <f ca="1">J703+J705</f>
        <v>0</v>
      </c>
      <c r="K701" s="132">
        <f ca="1">IF(I701&gt;0,J701*100/I701,0)</f>
        <v>0</v>
      </c>
      <c r="L701" s="558"/>
      <c r="M701" s="136"/>
      <c r="N701" s="136"/>
      <c r="O701" s="136"/>
      <c r="P701" s="136"/>
      <c r="Q701" s="136"/>
      <c r="R701" s="136"/>
      <c r="S701" s="136"/>
      <c r="T701" s="136"/>
      <c r="U701" s="136"/>
    </row>
    <row r="702" spans="1:21" ht="19.5" x14ac:dyDescent="0.3">
      <c r="A702" s="217"/>
      <c r="B702" s="159"/>
      <c r="C702" s="159"/>
      <c r="D702" s="145"/>
      <c r="E702" s="145"/>
      <c r="F702" s="145"/>
      <c r="G702" s="143"/>
      <c r="H702" s="131" t="s">
        <v>46</v>
      </c>
      <c r="I702" s="147">
        <v>0</v>
      </c>
      <c r="J702" s="147">
        <f ca="1">J704+J706</f>
        <v>0</v>
      </c>
      <c r="K702" s="132">
        <f>IF(I702&gt;0,J702*100/I702,0)</f>
        <v>0</v>
      </c>
      <c r="L702" s="558"/>
      <c r="M702" s="136"/>
      <c r="N702" s="136"/>
      <c r="O702" s="136"/>
      <c r="P702" s="136"/>
      <c r="Q702" s="136"/>
      <c r="R702" s="136"/>
      <c r="S702" s="136"/>
      <c r="T702" s="136"/>
      <c r="U702" s="136"/>
    </row>
    <row r="703" spans="1:21" ht="18.75" x14ac:dyDescent="0.25">
      <c r="A703" s="217"/>
      <c r="B703" s="159"/>
      <c r="C703" s="159"/>
      <c r="D703" s="145"/>
      <c r="E703" s="145"/>
      <c r="F703" s="144" t="s">
        <v>262</v>
      </c>
      <c r="G703" s="143"/>
      <c r="H703" s="137" t="s">
        <v>35</v>
      </c>
      <c r="I703" s="152">
        <f ca="1">IFERROR(__xludf.DUMMYFUNCTION("IMPORTRANGE(""https://docs.google.com/spreadsheets/d/1eHaY18a8A9IcSdp1K8H6x8fbOy06t2VsZHhMHf-1x7Y/edit?usp=sharing"",""แผน!LJ82"")"),0)</f>
        <v>0</v>
      </c>
      <c r="J703" s="152">
        <f ca="1">IFERROR(__xludf.DUMMYFUNCTION("IMPORTRANGE(""https://docs.google.com/spreadsheets/d/1tdoBKaGub7dwA3U6UFTqxio9LNnvDCQjHKmttSEBsFQ/edit?usp=sharing"",""จัดที่ดิน!AP82"")"),0)</f>
        <v>0</v>
      </c>
      <c r="K703" s="47">
        <f ca="1">IF(I703&gt;0,J703*100/I703,0)</f>
        <v>0</v>
      </c>
      <c r="L703" s="558"/>
      <c r="M703" s="136"/>
      <c r="N703" s="136"/>
      <c r="O703" s="136"/>
      <c r="P703" s="136"/>
      <c r="Q703" s="136"/>
      <c r="R703" s="136"/>
      <c r="S703" s="136"/>
      <c r="T703" s="136"/>
      <c r="U703" s="136"/>
    </row>
    <row r="704" spans="1:21" ht="18.75" x14ac:dyDescent="0.25">
      <c r="A704" s="217"/>
      <c r="B704" s="159"/>
      <c r="C704" s="159"/>
      <c r="D704" s="145"/>
      <c r="E704" s="145"/>
      <c r="F704" s="145"/>
      <c r="G704" s="143"/>
      <c r="H704" s="137" t="s">
        <v>46</v>
      </c>
      <c r="I704" s="152">
        <v>0</v>
      </c>
      <c r="J704" s="152">
        <f ca="1">IFERROR(__xludf.DUMMYFUNCTION("IMPORTRANGE(""https://docs.google.com/spreadsheets/d/1tdoBKaGub7dwA3U6UFTqxio9LNnvDCQjHKmttSEBsFQ/edit?usp=sharing"",""จัดที่ดิน!AQ82"")"),0)</f>
        <v>0</v>
      </c>
      <c r="K704" s="47">
        <f>IF(I704&gt;0,J704*100/I704,0)</f>
        <v>0</v>
      </c>
      <c r="L704" s="558"/>
      <c r="M704" s="136"/>
      <c r="N704" s="136"/>
      <c r="O704" s="136"/>
      <c r="P704" s="136"/>
      <c r="Q704" s="136"/>
      <c r="R704" s="136"/>
      <c r="S704" s="136"/>
      <c r="T704" s="136"/>
      <c r="U704" s="136"/>
    </row>
    <row r="705" spans="1:21" ht="18.75" x14ac:dyDescent="0.25">
      <c r="A705" s="217"/>
      <c r="B705" s="159"/>
      <c r="C705" s="159"/>
      <c r="D705" s="145"/>
      <c r="E705" s="145"/>
      <c r="F705" s="144" t="s">
        <v>263</v>
      </c>
      <c r="G705" s="143"/>
      <c r="H705" s="137" t="s">
        <v>35</v>
      </c>
      <c r="I705" s="152">
        <f ca="1">IFERROR(__xludf.DUMMYFUNCTION("IMPORTRANGE(""https://docs.google.com/spreadsheets/d/1eHaY18a8A9IcSdp1K8H6x8fbOy06t2VsZHhMHf-1x7Y/edit?usp=sharing"",""แผน!LK82"")"),3)</f>
        <v>3</v>
      </c>
      <c r="J705" s="152">
        <f ca="1">IFERROR(__xludf.DUMMYFUNCTION("IMPORTRANGE(""https://docs.google.com/spreadsheets/d/1tdoBKaGub7dwA3U6UFTqxio9LNnvDCQjHKmttSEBsFQ/edit?usp=sharing"",""จัดที่ดิน!AR82"")"),0)</f>
        <v>0</v>
      </c>
      <c r="K705" s="153">
        <f ca="1">IF(I705&gt;0,J705*100/I705,0)</f>
        <v>0</v>
      </c>
      <c r="L705" s="558"/>
      <c r="M705" s="136"/>
      <c r="N705" s="136"/>
      <c r="O705" s="136"/>
      <c r="P705" s="136"/>
      <c r="Q705" s="136"/>
      <c r="R705" s="136"/>
      <c r="S705" s="136"/>
      <c r="T705" s="136"/>
      <c r="U705" s="136"/>
    </row>
    <row r="706" spans="1:21" ht="18.75" x14ac:dyDescent="0.25">
      <c r="A706" s="217"/>
      <c r="B706" s="159"/>
      <c r="C706" s="159"/>
      <c r="D706" s="145"/>
      <c r="E706" s="145"/>
      <c r="F706" s="145"/>
      <c r="G706" s="143"/>
      <c r="H706" s="137" t="s">
        <v>46</v>
      </c>
      <c r="I706" s="152">
        <v>0</v>
      </c>
      <c r="J706" s="152">
        <f ca="1">IFERROR(__xludf.DUMMYFUNCTION("IMPORTRANGE(""https://docs.google.com/spreadsheets/d/1tdoBKaGub7dwA3U6UFTqxio9LNnvDCQjHKmttSEBsFQ/edit?usp=sharing"",""จัดที่ดิน!AS82"")"),0)</f>
        <v>0</v>
      </c>
      <c r="K706" s="47">
        <f>IF(I706&gt;0,J706*100/I706,0)</f>
        <v>0</v>
      </c>
      <c r="L706" s="558"/>
      <c r="M706" s="136"/>
      <c r="N706" s="136"/>
      <c r="O706" s="136"/>
      <c r="P706" s="136"/>
      <c r="Q706" s="136"/>
      <c r="R706" s="136"/>
      <c r="S706" s="136"/>
      <c r="T706" s="136"/>
      <c r="U706" s="136"/>
    </row>
    <row r="707" spans="1:21" ht="18.75" x14ac:dyDescent="0.25">
      <c r="A707" s="217"/>
      <c r="B707" s="159"/>
      <c r="C707" s="159"/>
      <c r="D707" s="145"/>
      <c r="E707" s="144" t="s">
        <v>264</v>
      </c>
      <c r="F707" s="145"/>
      <c r="G707" s="143"/>
      <c r="H707" s="134" t="s">
        <v>35</v>
      </c>
      <c r="I707" s="152">
        <f ca="1">IFERROR(__xludf.DUMMYFUNCTION("IMPORTRANGE(""https://docs.google.com/spreadsheets/d/1eHaY18a8A9IcSdp1K8H6x8fbOy06t2VsZHhMHf-1x7Y/edit?usp=sharing"",""แผน!LJ82"")"),0)</f>
        <v>0</v>
      </c>
      <c r="J707" s="152">
        <f ca="1">IFERROR(__xludf.DUMMYFUNCTION("IMPORTRANGE(""https://docs.google.com/spreadsheets/d/1tdoBKaGub7dwA3U6UFTqxio9LNnvDCQjHKmttSEBsFQ/edit?usp=sharing"",""จัดที่ดิน!BN82"")"),0)</f>
        <v>0</v>
      </c>
      <c r="K707" s="47">
        <f ca="1">IF(I707&gt;0,J707*100/I707,0)</f>
        <v>0</v>
      </c>
      <c r="L707" s="558"/>
      <c r="M707" s="136"/>
      <c r="N707" s="136"/>
      <c r="O707" s="136"/>
      <c r="P707" s="136"/>
      <c r="Q707" s="136"/>
      <c r="R707" s="136"/>
      <c r="S707" s="136"/>
      <c r="T707" s="136"/>
      <c r="U707" s="136"/>
    </row>
    <row r="708" spans="1:21" ht="18.75" x14ac:dyDescent="0.25">
      <c r="A708" s="217"/>
      <c r="B708" s="159"/>
      <c r="C708" s="159"/>
      <c r="D708" s="145"/>
      <c r="E708" s="486" t="s">
        <v>265</v>
      </c>
      <c r="F708" s="145"/>
      <c r="G708" s="143"/>
      <c r="H708" s="134" t="s">
        <v>46</v>
      </c>
      <c r="I708" s="152">
        <v>0</v>
      </c>
      <c r="J708" s="152">
        <f ca="1">IFERROR(__xludf.DUMMYFUNCTION("IMPORTRANGE(""https://docs.google.com/spreadsheets/d/1tdoBKaGub7dwA3U6UFTqxio9LNnvDCQjHKmttSEBsFQ/edit?usp=sharing"",""จัดที่ดิน!BO82"")"),0)</f>
        <v>0</v>
      </c>
      <c r="K708" s="47">
        <f>IF(I708&gt;0,J708*100/I708,0)</f>
        <v>0</v>
      </c>
      <c r="L708" s="558"/>
      <c r="M708" s="136"/>
      <c r="N708" s="136"/>
      <c r="O708" s="136"/>
      <c r="P708" s="136"/>
      <c r="Q708" s="136"/>
      <c r="R708" s="136"/>
      <c r="S708" s="136"/>
      <c r="T708" s="136"/>
      <c r="U708" s="136"/>
    </row>
    <row r="709" spans="1:21" ht="18.75" x14ac:dyDescent="0.25">
      <c r="A709" s="217"/>
      <c r="B709" s="159"/>
      <c r="C709" s="159"/>
      <c r="D709" s="41"/>
      <c r="E709" s="48" t="s">
        <v>266</v>
      </c>
      <c r="F709" s="41"/>
      <c r="G709" s="43"/>
      <c r="H709" s="186" t="s">
        <v>35</v>
      </c>
      <c r="I709" s="152">
        <f ca="1">IFERROR(__xludf.DUMMYFUNCTION("IMPORTRANGE(""https://docs.google.com/spreadsheets/d/1eHaY18a8A9IcSdp1K8H6x8fbOy06t2VsZHhMHf-1x7Y/edit?usp=sharing"",""แผน!LK82"")"),3)</f>
        <v>3</v>
      </c>
      <c r="J709" s="152">
        <f ca="1">IFERROR(__xludf.DUMMYFUNCTION("IMPORTRANGE(""https://docs.google.com/spreadsheets/d/1tdoBKaGub7dwA3U6UFTqxio9LNnvDCQjHKmttSEBsFQ/edit?usp=sharing"",""จัดที่ดิน!BP82"")"),0)</f>
        <v>0</v>
      </c>
      <c r="K709" s="47">
        <f ca="1">IF(I709&gt;0,J709*100/I709,0)</f>
        <v>0</v>
      </c>
      <c r="L709" s="546"/>
      <c r="M709" s="46"/>
      <c r="N709" s="46"/>
      <c r="O709" s="46"/>
      <c r="P709" s="46"/>
      <c r="Q709" s="46"/>
      <c r="R709" s="46"/>
      <c r="S709" s="46"/>
      <c r="T709" s="46"/>
      <c r="U709" s="46"/>
    </row>
    <row r="710" spans="1:21" ht="18.75" x14ac:dyDescent="0.25">
      <c r="A710" s="217"/>
      <c r="B710" s="159"/>
      <c r="C710" s="159"/>
      <c r="D710" s="41"/>
      <c r="E710" s="486" t="s">
        <v>267</v>
      </c>
      <c r="F710" s="41"/>
      <c r="G710" s="43"/>
      <c r="H710" s="186" t="s">
        <v>46</v>
      </c>
      <c r="I710" s="152">
        <v>0</v>
      </c>
      <c r="J710" s="152">
        <f ca="1">IFERROR(__xludf.DUMMYFUNCTION("IMPORTRANGE(""https://docs.google.com/spreadsheets/d/1tdoBKaGub7dwA3U6UFTqxio9LNnvDCQjHKmttSEBsFQ/edit?usp=sharing"",""จัดที่ดิน!BQ82"")"),0)</f>
        <v>0</v>
      </c>
      <c r="K710" s="47">
        <f>IF(I710&gt;0,J710*100/I710,0)</f>
        <v>0</v>
      </c>
      <c r="L710" s="546"/>
      <c r="M710" s="46"/>
      <c r="N710" s="46"/>
      <c r="O710" s="46"/>
      <c r="P710" s="46"/>
      <c r="Q710" s="46"/>
      <c r="R710" s="46"/>
      <c r="S710" s="46"/>
      <c r="T710" s="46"/>
      <c r="U710" s="46"/>
    </row>
    <row r="711" spans="1:21" ht="12.75" hidden="1" x14ac:dyDescent="0.2">
      <c r="A711" s="381"/>
      <c r="B711" s="333"/>
      <c r="C711" s="333"/>
      <c r="D711" s="382"/>
      <c r="E711" s="382"/>
      <c r="F711" s="382"/>
      <c r="G711" s="383"/>
      <c r="H711" s="334"/>
      <c r="I711" s="335"/>
      <c r="J711" s="335"/>
      <c r="K711" s="336"/>
      <c r="L711" s="562"/>
      <c r="M711" s="336"/>
      <c r="N711" s="336"/>
      <c r="O711" s="336"/>
      <c r="P711" s="336"/>
      <c r="Q711" s="336"/>
      <c r="R711" s="336"/>
      <c r="S711" s="336"/>
      <c r="T711" s="336"/>
      <c r="U711" s="336"/>
    </row>
    <row r="712" spans="1:21" ht="19.5" hidden="1" x14ac:dyDescent="0.3">
      <c r="A712" s="499"/>
      <c r="B712" s="487" t="s">
        <v>268</v>
      </c>
      <c r="C712" s="456"/>
      <c r="D712" s="458"/>
      <c r="E712" s="458"/>
      <c r="F712" s="458"/>
      <c r="G712" s="459"/>
      <c r="H712" s="488" t="s">
        <v>46</v>
      </c>
      <c r="I712" s="461"/>
      <c r="J712" s="461">
        <f>J724</f>
        <v>0</v>
      </c>
      <c r="K712" s="489">
        <f>IF(I712&gt;0,J712*100/I712,0)</f>
        <v>0</v>
      </c>
      <c r="L712" s="552"/>
      <c r="M712" s="462"/>
      <c r="N712" s="462"/>
      <c r="O712" s="462"/>
      <c r="P712" s="462"/>
      <c r="Q712" s="462"/>
      <c r="R712" s="462"/>
      <c r="S712" s="462"/>
      <c r="T712" s="462"/>
      <c r="U712" s="462"/>
    </row>
    <row r="713" spans="1:21" ht="19.5" hidden="1" x14ac:dyDescent="0.3">
      <c r="A713" s="499"/>
      <c r="B713" s="487" t="s">
        <v>269</v>
      </c>
      <c r="C713" s="456"/>
      <c r="D713" s="458"/>
      <c r="E713" s="458"/>
      <c r="F713" s="458"/>
      <c r="G713" s="459"/>
      <c r="H713" s="460"/>
      <c r="I713" s="461"/>
      <c r="J713" s="461"/>
      <c r="K713" s="462"/>
      <c r="L713" s="552"/>
      <c r="M713" s="462"/>
      <c r="N713" s="462"/>
      <c r="O713" s="462"/>
      <c r="P713" s="462"/>
      <c r="Q713" s="462"/>
      <c r="R713" s="462"/>
      <c r="S713" s="462"/>
      <c r="T713" s="462"/>
      <c r="U713" s="462"/>
    </row>
    <row r="714" spans="1:21" ht="19.5" hidden="1" x14ac:dyDescent="0.3">
      <c r="A714" s="128"/>
      <c r="B714" s="159"/>
      <c r="C714" s="345" t="s">
        <v>18</v>
      </c>
      <c r="D714" s="561" t="s">
        <v>19</v>
      </c>
      <c r="E714" s="530"/>
      <c r="F714" s="530"/>
      <c r="G714" s="531"/>
      <c r="H714" s="490" t="s">
        <v>14</v>
      </c>
      <c r="I714" s="45"/>
      <c r="J714" s="45"/>
      <c r="K714" s="46"/>
      <c r="L714" s="550">
        <f>L715+L716</f>
        <v>0</v>
      </c>
      <c r="M714" s="132">
        <f>M715+M716</f>
        <v>0</v>
      </c>
      <c r="N714" s="132">
        <f>N715+N716</f>
        <v>0</v>
      </c>
      <c r="O714" s="132">
        <f>IF(L714&gt;0,N714*100/L714,0)</f>
        <v>0</v>
      </c>
      <c r="P714" s="132">
        <f>IF(M714&gt;0,N714*100/M714,0)</f>
        <v>0</v>
      </c>
      <c r="Q714" s="132">
        <f>Q715+Q716</f>
        <v>0</v>
      </c>
      <c r="R714" s="132">
        <f>R715+R716</f>
        <v>0</v>
      </c>
      <c r="S714" s="132">
        <f>S715+S716</f>
        <v>0</v>
      </c>
      <c r="T714" s="132">
        <f>IF(Q714&gt;0,S714*100/Q714,0)</f>
        <v>0</v>
      </c>
      <c r="U714" s="132">
        <f>IF(R714&gt;0,S714*100/R714,0)</f>
        <v>0</v>
      </c>
    </row>
    <row r="715" spans="1:21" ht="18.75" hidden="1" x14ac:dyDescent="0.25">
      <c r="A715" s="128"/>
      <c r="B715" s="159"/>
      <c r="C715" s="159"/>
      <c r="D715" s="145"/>
      <c r="E715" s="157" t="s">
        <v>158</v>
      </c>
      <c r="F715" s="41"/>
      <c r="G715" s="43"/>
      <c r="H715" s="160" t="s">
        <v>14</v>
      </c>
      <c r="I715" s="45"/>
      <c r="J715" s="45"/>
      <c r="K715" s="46"/>
      <c r="L715" s="549">
        <f>L718+L721</f>
        <v>0</v>
      </c>
      <c r="M715" s="49">
        <f>M718+M721</f>
        <v>0</v>
      </c>
      <c r="N715" s="49">
        <f>N718+N721</f>
        <v>0</v>
      </c>
      <c r="O715" s="49">
        <f>IF(L715&gt;0,N715*100/L715,0)</f>
        <v>0</v>
      </c>
      <c r="P715" s="49">
        <f>IF(M715&gt;0,N715*100/M715,0)</f>
        <v>0</v>
      </c>
      <c r="Q715" s="49">
        <f>Q718+Q721</f>
        <v>0</v>
      </c>
      <c r="R715" s="49">
        <f>R718+R721</f>
        <v>0</v>
      </c>
      <c r="S715" s="49">
        <f>S718+S721</f>
        <v>0</v>
      </c>
      <c r="T715" s="49">
        <f>IF(Q715&gt;0,S715*100/Q715,0)</f>
        <v>0</v>
      </c>
      <c r="U715" s="49">
        <f>IF(R715&gt;0,S715*100/R715,0)</f>
        <v>0</v>
      </c>
    </row>
    <row r="716" spans="1:21" ht="18.75" hidden="1" x14ac:dyDescent="0.25">
      <c r="A716" s="128"/>
      <c r="B716" s="159"/>
      <c r="C716" s="159"/>
      <c r="D716" s="145"/>
      <c r="E716" s="157" t="s">
        <v>159</v>
      </c>
      <c r="F716" s="41"/>
      <c r="G716" s="43"/>
      <c r="H716" s="160" t="s">
        <v>14</v>
      </c>
      <c r="I716" s="45"/>
      <c r="J716" s="45"/>
      <c r="K716" s="46"/>
      <c r="L716" s="548">
        <f>L719+L722</f>
        <v>0</v>
      </c>
      <c r="M716" s="47">
        <f>M719+M722</f>
        <v>0</v>
      </c>
      <c r="N716" s="47">
        <f>N719+N722</f>
        <v>0</v>
      </c>
      <c r="O716" s="47">
        <f>IF(L716&gt;0,N716*100/L716,0)</f>
        <v>0</v>
      </c>
      <c r="P716" s="47">
        <f>IF(M716&gt;0,N716*100/M716,0)</f>
        <v>0</v>
      </c>
      <c r="Q716" s="47">
        <f>Q719+Q722</f>
        <v>0</v>
      </c>
      <c r="R716" s="47">
        <f>R719+R722</f>
        <v>0</v>
      </c>
      <c r="S716" s="47">
        <f>S719+S722</f>
        <v>0</v>
      </c>
      <c r="T716" s="47">
        <f>IF(Q716&gt;0,S716*100/Q716,0)</f>
        <v>0</v>
      </c>
      <c r="U716" s="47">
        <f>IF(R716&gt;0,S716*100/R716,0)</f>
        <v>0</v>
      </c>
    </row>
    <row r="717" spans="1:21" ht="19.5" hidden="1" x14ac:dyDescent="0.3">
      <c r="A717" s="128"/>
      <c r="B717" s="159"/>
      <c r="C717" s="159"/>
      <c r="D717" s="560" t="s">
        <v>22</v>
      </c>
      <c r="E717" s="41"/>
      <c r="F717" s="41"/>
      <c r="G717" s="43"/>
      <c r="H717" s="490" t="s">
        <v>14</v>
      </c>
      <c r="I717" s="135"/>
      <c r="J717" s="135"/>
      <c r="K717" s="136"/>
      <c r="L717" s="548">
        <f>L718+L719</f>
        <v>0</v>
      </c>
      <c r="M717" s="47">
        <f>M718+M719</f>
        <v>0</v>
      </c>
      <c r="N717" s="47">
        <f>N718+N719</f>
        <v>0</v>
      </c>
      <c r="O717" s="47">
        <f>IF(L717&gt;0,N717*100/L717,0)</f>
        <v>0</v>
      </c>
      <c r="P717" s="47">
        <f>IF(M717&gt;0,N717*100/M717,0)</f>
        <v>0</v>
      </c>
      <c r="Q717" s="47">
        <f>Q718+Q719</f>
        <v>0</v>
      </c>
      <c r="R717" s="47">
        <f>R718+R719</f>
        <v>0</v>
      </c>
      <c r="S717" s="47">
        <f>S718+S719</f>
        <v>0</v>
      </c>
      <c r="T717" s="47">
        <f>IF(Q717&gt;0,S717*100/Q717,0)</f>
        <v>0</v>
      </c>
      <c r="U717" s="47">
        <f>IF(R717&gt;0,S717*100/R717,0)</f>
        <v>0</v>
      </c>
    </row>
    <row r="718" spans="1:21" ht="18.75" hidden="1" x14ac:dyDescent="0.25">
      <c r="A718" s="128"/>
      <c r="B718" s="159"/>
      <c r="C718" s="159"/>
      <c r="D718" s="145"/>
      <c r="E718" s="157" t="s">
        <v>158</v>
      </c>
      <c r="F718" s="41"/>
      <c r="G718" s="43"/>
      <c r="H718" s="160" t="s">
        <v>14</v>
      </c>
      <c r="I718" s="45"/>
      <c r="J718" s="45"/>
      <c r="K718" s="46"/>
      <c r="L718" s="549">
        <v>0</v>
      </c>
      <c r="M718" s="49">
        <v>0</v>
      </c>
      <c r="N718" s="49">
        <v>0</v>
      </c>
      <c r="O718" s="49">
        <f>IF(L718&gt;0,N718*100/L718,0)</f>
        <v>0</v>
      </c>
      <c r="P718" s="49">
        <f>IF(M718&gt;0,N718*100/M718,0)</f>
        <v>0</v>
      </c>
      <c r="Q718" s="49">
        <v>0</v>
      </c>
      <c r="R718" s="49">
        <v>0</v>
      </c>
      <c r="S718" s="49">
        <v>0</v>
      </c>
      <c r="T718" s="49">
        <f>IF(Q718&gt;0,S718*100/Q718,0)</f>
        <v>0</v>
      </c>
      <c r="U718" s="49">
        <f>IF(R718&gt;0,S718*100/R718,0)</f>
        <v>0</v>
      </c>
    </row>
    <row r="719" spans="1:21" ht="18.75" hidden="1" x14ac:dyDescent="0.25">
      <c r="A719" s="128"/>
      <c r="B719" s="159"/>
      <c r="C719" s="159"/>
      <c r="D719" s="145"/>
      <c r="E719" s="157" t="s">
        <v>159</v>
      </c>
      <c r="F719" s="41"/>
      <c r="G719" s="43"/>
      <c r="H719" s="160" t="s">
        <v>14</v>
      </c>
      <c r="I719" s="45"/>
      <c r="J719" s="45"/>
      <c r="K719" s="46"/>
      <c r="L719" s="548">
        <v>0</v>
      </c>
      <c r="M719" s="47">
        <v>0</v>
      </c>
      <c r="N719" s="47">
        <v>0</v>
      </c>
      <c r="O719" s="47">
        <f>IF(L719&gt;0,N719*100/L719,0)</f>
        <v>0</v>
      </c>
      <c r="P719" s="47">
        <f>IF(M719&gt;0,N719*100/M719,0)</f>
        <v>0</v>
      </c>
      <c r="Q719" s="47">
        <v>0</v>
      </c>
      <c r="R719" s="47">
        <v>0</v>
      </c>
      <c r="S719" s="47">
        <v>0</v>
      </c>
      <c r="T719" s="47">
        <f>IF(Q719&gt;0,S719*100/Q719,0)</f>
        <v>0</v>
      </c>
      <c r="U719" s="47">
        <f>IF(R719&gt;0,S719*100/R719,0)</f>
        <v>0</v>
      </c>
    </row>
    <row r="720" spans="1:21" ht="19.5" hidden="1" x14ac:dyDescent="0.3">
      <c r="A720" s="128"/>
      <c r="B720" s="159"/>
      <c r="C720" s="159"/>
      <c r="D720" s="560" t="s">
        <v>23</v>
      </c>
      <c r="E720" s="41"/>
      <c r="F720" s="41"/>
      <c r="G720" s="43"/>
      <c r="H720" s="492" t="s">
        <v>14</v>
      </c>
      <c r="I720" s="135"/>
      <c r="J720" s="135"/>
      <c r="K720" s="136"/>
      <c r="L720" s="548">
        <f>L721+L722</f>
        <v>0</v>
      </c>
      <c r="M720" s="47">
        <f>M721+M722</f>
        <v>0</v>
      </c>
      <c r="N720" s="47">
        <f>N721+N722</f>
        <v>0</v>
      </c>
      <c r="O720" s="47">
        <f>IF(L720&gt;0,N720*100/L720,0)</f>
        <v>0</v>
      </c>
      <c r="P720" s="47">
        <f>IF(M720&gt;0,N720*100/M720,0)</f>
        <v>0</v>
      </c>
      <c r="Q720" s="47">
        <f>Q721+Q722</f>
        <v>0</v>
      </c>
      <c r="R720" s="47">
        <f>R721+R722</f>
        <v>0</v>
      </c>
      <c r="S720" s="47">
        <f>S721+S722</f>
        <v>0</v>
      </c>
      <c r="T720" s="47">
        <f>IF(Q720&gt;0,S720*100/Q720,0)</f>
        <v>0</v>
      </c>
      <c r="U720" s="47">
        <f>IF(R720&gt;0,S720*100/R720,0)</f>
        <v>0</v>
      </c>
    </row>
    <row r="721" spans="1:21" ht="18.75" hidden="1" x14ac:dyDescent="0.25">
      <c r="A721" s="128"/>
      <c r="B721" s="159"/>
      <c r="C721" s="159"/>
      <c r="D721" s="41"/>
      <c r="E721" s="157" t="s">
        <v>20</v>
      </c>
      <c r="F721" s="41"/>
      <c r="G721" s="43"/>
      <c r="H721" s="160" t="s">
        <v>14</v>
      </c>
      <c r="I721" s="135"/>
      <c r="J721" s="135"/>
      <c r="K721" s="136"/>
      <c r="L721" s="549">
        <v>0</v>
      </c>
      <c r="M721" s="49">
        <v>0</v>
      </c>
      <c r="N721" s="49">
        <v>0</v>
      </c>
      <c r="O721" s="49">
        <f>IF(L721&gt;0,N721*100/L721,0)</f>
        <v>0</v>
      </c>
      <c r="P721" s="49">
        <f>IF(M721&gt;0,N721*100/M721,0)</f>
        <v>0</v>
      </c>
      <c r="Q721" s="49">
        <v>0</v>
      </c>
      <c r="R721" s="49">
        <v>0</v>
      </c>
      <c r="S721" s="49">
        <v>0</v>
      </c>
      <c r="T721" s="49">
        <f>IF(Q721&gt;0,S721*100/Q721,0)</f>
        <v>0</v>
      </c>
      <c r="U721" s="49">
        <f>IF(R721&gt;0,S721*100/R721,0)</f>
        <v>0</v>
      </c>
    </row>
    <row r="722" spans="1:21" ht="18.75" hidden="1" x14ac:dyDescent="0.25">
      <c r="A722" s="128"/>
      <c r="B722" s="159"/>
      <c r="C722" s="159"/>
      <c r="D722" s="41"/>
      <c r="E722" s="157" t="s">
        <v>21</v>
      </c>
      <c r="F722" s="41"/>
      <c r="G722" s="43"/>
      <c r="H722" s="493" t="s">
        <v>14</v>
      </c>
      <c r="I722" s="135"/>
      <c r="J722" s="135"/>
      <c r="K722" s="136"/>
      <c r="L722" s="548">
        <v>0</v>
      </c>
      <c r="M722" s="47">
        <v>0</v>
      </c>
      <c r="N722" s="47">
        <v>0</v>
      </c>
      <c r="O722" s="47">
        <f>IF(L722&gt;0,N722*100/L722,0)</f>
        <v>0</v>
      </c>
      <c r="P722" s="47">
        <f>IF(M722&gt;0,N722*100/M722,0)</f>
        <v>0</v>
      </c>
      <c r="Q722" s="47">
        <v>0</v>
      </c>
      <c r="R722" s="47">
        <v>0</v>
      </c>
      <c r="S722" s="47">
        <v>0</v>
      </c>
      <c r="T722" s="47">
        <f>IF(Q722&gt;0,S722*100/Q722,0)</f>
        <v>0</v>
      </c>
      <c r="U722" s="47">
        <f>IF(R722&gt;0,S722*100/R722,0)</f>
        <v>0</v>
      </c>
    </row>
    <row r="723" spans="1:21" ht="19.5" hidden="1" x14ac:dyDescent="0.3">
      <c r="A723" s="138"/>
      <c r="B723" s="139"/>
      <c r="C723" s="345" t="s">
        <v>18</v>
      </c>
      <c r="D723" s="559" t="s">
        <v>38</v>
      </c>
      <c r="E723" s="141"/>
      <c r="F723" s="141"/>
      <c r="G723" s="142"/>
      <c r="H723" s="189"/>
      <c r="I723" s="135"/>
      <c r="J723" s="135"/>
      <c r="K723" s="136"/>
      <c r="L723" s="558"/>
      <c r="M723" s="136"/>
      <c r="N723" s="136"/>
      <c r="O723" s="136"/>
      <c r="P723" s="136"/>
      <c r="Q723" s="136"/>
      <c r="R723" s="136"/>
      <c r="S723" s="136"/>
      <c r="T723" s="136"/>
      <c r="U723" s="136"/>
    </row>
    <row r="724" spans="1:21" ht="18.75" hidden="1" x14ac:dyDescent="0.25">
      <c r="A724" s="217"/>
      <c r="B724" s="159"/>
      <c r="C724" s="159"/>
      <c r="D724" s="41"/>
      <c r="E724" s="157" t="s">
        <v>270</v>
      </c>
      <c r="F724" s="41"/>
      <c r="G724" s="43"/>
      <c r="H724" s="160" t="s">
        <v>46</v>
      </c>
      <c r="I724" s="495">
        <v>0</v>
      </c>
      <c r="J724" s="45"/>
      <c r="K724" s="46"/>
      <c r="L724" s="546"/>
      <c r="M724" s="46"/>
      <c r="N724" s="46"/>
      <c r="O724" s="46"/>
      <c r="P724" s="46"/>
      <c r="Q724" s="46"/>
      <c r="R724" s="46"/>
      <c r="S724" s="46"/>
      <c r="T724" s="46"/>
      <c r="U724" s="46"/>
    </row>
    <row r="725" spans="1:21" ht="18.75" hidden="1" x14ac:dyDescent="0.25">
      <c r="A725" s="350"/>
      <c r="B725" s="3"/>
      <c r="C725" s="3"/>
      <c r="D725" s="1"/>
      <c r="E725" s="496" t="s">
        <v>271</v>
      </c>
      <c r="F725" s="1"/>
      <c r="G725" s="53"/>
      <c r="H725" s="497" t="s">
        <v>46</v>
      </c>
      <c r="I725" s="498">
        <v>0</v>
      </c>
      <c r="J725" s="55"/>
      <c r="K725" s="4"/>
      <c r="L725" s="545"/>
      <c r="M725" s="4"/>
      <c r="N725" s="4"/>
      <c r="O725" s="4"/>
      <c r="P725" s="4"/>
      <c r="Q725" s="4"/>
      <c r="R725" s="4"/>
      <c r="S725" s="4"/>
      <c r="T725" s="4"/>
      <c r="U725" s="4"/>
    </row>
    <row r="726" spans="1:21" ht="19.5" x14ac:dyDescent="0.3">
      <c r="A726" s="499"/>
      <c r="B726" s="457" t="s">
        <v>272</v>
      </c>
      <c r="C726" s="456"/>
      <c r="D726" s="458"/>
      <c r="E726" s="458"/>
      <c r="F726" s="458"/>
      <c r="G726" s="459"/>
      <c r="H726" s="482" t="s">
        <v>35</v>
      </c>
      <c r="I726" s="483">
        <f ca="1">IFERROR(__xludf.DUMMYFUNCTION("IMPORTRANGE(""https://docs.google.com/spreadsheets/d/1eHaY18a8A9IcSdp1K8H6x8fbOy06t2VsZHhMHf-1x7Y/edit?usp=sharing"",""แผน!GA82"")"),21)</f>
        <v>21</v>
      </c>
      <c r="J726" s="483">
        <f>J742+J746+J749</f>
        <v>0</v>
      </c>
      <c r="K726" s="484">
        <f ca="1">IF(I726&gt;0,J726*100/I726,0)</f>
        <v>0</v>
      </c>
      <c r="L726" s="552"/>
      <c r="M726" s="462"/>
      <c r="N726" s="462"/>
      <c r="O726" s="462"/>
      <c r="P726" s="462"/>
      <c r="Q726" s="462"/>
      <c r="R726" s="462"/>
      <c r="S726" s="462"/>
      <c r="T726" s="462"/>
      <c r="U726" s="462"/>
    </row>
    <row r="727" spans="1:21" ht="19.5" x14ac:dyDescent="0.3">
      <c r="A727" s="499"/>
      <c r="B727" s="456"/>
      <c r="C727" s="456"/>
      <c r="D727" s="458"/>
      <c r="E727" s="458"/>
      <c r="F727" s="458"/>
      <c r="G727" s="459"/>
      <c r="H727" s="482" t="s">
        <v>46</v>
      </c>
      <c r="I727" s="483">
        <f ca="1">IFERROR(__xludf.DUMMYFUNCTION("IMPORTRANGE(""https://docs.google.com/spreadsheets/d/1eHaY18a8A9IcSdp1K8H6x8fbOy06t2VsZHhMHf-1x7Y/edit?usp=sharing"",""แผน!FZ82"")"),200)</f>
        <v>200</v>
      </c>
      <c r="J727" s="483">
        <f>J752+J755</f>
        <v>0</v>
      </c>
      <c r="K727" s="484">
        <f ca="1">IF(I727&gt;0,J727*100/I727,0)</f>
        <v>0</v>
      </c>
      <c r="L727" s="552"/>
      <c r="M727" s="462"/>
      <c r="N727" s="462"/>
      <c r="O727" s="462"/>
      <c r="P727" s="462"/>
      <c r="Q727" s="462"/>
      <c r="R727" s="462"/>
      <c r="S727" s="462"/>
      <c r="T727" s="462"/>
      <c r="U727" s="462"/>
    </row>
    <row r="728" spans="1:21" ht="19.5" x14ac:dyDescent="0.3">
      <c r="A728" s="128"/>
      <c r="B728" s="159"/>
      <c r="C728" s="386" t="s">
        <v>18</v>
      </c>
      <c r="D728" s="551" t="s">
        <v>19</v>
      </c>
      <c r="E728" s="530"/>
      <c r="F728" s="530"/>
      <c r="G728" s="531"/>
      <c r="H728" s="232" t="s">
        <v>14</v>
      </c>
      <c r="I728" s="45"/>
      <c r="J728" s="45"/>
      <c r="K728" s="46"/>
      <c r="L728" s="550">
        <f>L729+L730</f>
        <v>0</v>
      </c>
      <c r="M728" s="132">
        <f>M729+M730</f>
        <v>0</v>
      </c>
      <c r="N728" s="132">
        <f>N729+N730</f>
        <v>0</v>
      </c>
      <c r="O728" s="132">
        <f>IF(L728&gt;0,N728*100/L728,0)</f>
        <v>0</v>
      </c>
      <c r="P728" s="132">
        <f>IF(M728&gt;0,N728*100/M728,0)</f>
        <v>0</v>
      </c>
      <c r="Q728" s="132">
        <f ca="1">Q729+Q730</f>
        <v>175994</v>
      </c>
      <c r="R728" s="132">
        <f ca="1">R729+R730</f>
        <v>175994</v>
      </c>
      <c r="S728" s="132">
        <f ca="1">S729+S730</f>
        <v>29975</v>
      </c>
      <c r="T728" s="132">
        <f ca="1">IF(Q728&gt;0,S728*100/Q728,0)</f>
        <v>17.031830630589678</v>
      </c>
      <c r="U728" s="132">
        <f ca="1">IF(R728&gt;0,S728*100/R728,0)</f>
        <v>17.031830630589678</v>
      </c>
    </row>
    <row r="729" spans="1:21" ht="18.75" hidden="1" x14ac:dyDescent="0.25">
      <c r="A729" s="128"/>
      <c r="B729" s="159"/>
      <c r="C729" s="159"/>
      <c r="D729" s="145"/>
      <c r="E729" s="157" t="s">
        <v>158</v>
      </c>
      <c r="F729" s="41"/>
      <c r="G729" s="43"/>
      <c r="H729" s="160" t="s">
        <v>14</v>
      </c>
      <c r="I729" s="45"/>
      <c r="J729" s="45"/>
      <c r="K729" s="46"/>
      <c r="L729" s="549">
        <f>L732+L735</f>
        <v>0</v>
      </c>
      <c r="M729" s="49">
        <f>M732+M735</f>
        <v>0</v>
      </c>
      <c r="N729" s="49">
        <f>N732+N735</f>
        <v>0</v>
      </c>
      <c r="O729" s="49">
        <f>IF(L729&gt;0,N729*100/L729,0)</f>
        <v>0</v>
      </c>
      <c r="P729" s="49">
        <f>IF(M729&gt;0,N729*100/M729,0)</f>
        <v>0</v>
      </c>
      <c r="Q729" s="49">
        <f>Q732+Q735</f>
        <v>0</v>
      </c>
      <c r="R729" s="49">
        <f>R732+R735</f>
        <v>0</v>
      </c>
      <c r="S729" s="49">
        <f>S732+S735</f>
        <v>0</v>
      </c>
      <c r="T729" s="49">
        <f>IF(Q729&gt;0,S729*100/Q729,0)</f>
        <v>0</v>
      </c>
      <c r="U729" s="49">
        <f>IF(R729&gt;0,S729*100/R729,0)</f>
        <v>0</v>
      </c>
    </row>
    <row r="730" spans="1:21" ht="18.75" hidden="1" x14ac:dyDescent="0.25">
      <c r="A730" s="128"/>
      <c r="B730" s="159"/>
      <c r="C730" s="159"/>
      <c r="D730" s="145"/>
      <c r="E730" s="48" t="s">
        <v>159</v>
      </c>
      <c r="F730" s="41"/>
      <c r="G730" s="43"/>
      <c r="H730" s="134" t="s">
        <v>14</v>
      </c>
      <c r="I730" s="45"/>
      <c r="J730" s="45"/>
      <c r="K730" s="46"/>
      <c r="L730" s="548">
        <f>L733+L736</f>
        <v>0</v>
      </c>
      <c r="M730" s="47">
        <f>M733+M736</f>
        <v>0</v>
      </c>
      <c r="N730" s="47">
        <f>N733+N736</f>
        <v>0</v>
      </c>
      <c r="O730" s="47">
        <f>IF(L730&gt;0,N730*100/L730,0)</f>
        <v>0</v>
      </c>
      <c r="P730" s="47">
        <f>IF(M730&gt;0,N730*100/M730,0)</f>
        <v>0</v>
      </c>
      <c r="Q730" s="47">
        <f ca="1">Q733+Q736</f>
        <v>175994</v>
      </c>
      <c r="R730" s="47">
        <f ca="1">R733+R736</f>
        <v>175994</v>
      </c>
      <c r="S730" s="47">
        <f ca="1">S733+S736</f>
        <v>29975</v>
      </c>
      <c r="T730" s="47">
        <f ca="1">IF(Q730&gt;0,S730*100/Q730,0)</f>
        <v>17.031830630589678</v>
      </c>
      <c r="U730" s="47">
        <f ca="1">IF(R730&gt;0,S730*100/R730,0)</f>
        <v>17.031830630589678</v>
      </c>
    </row>
    <row r="731" spans="1:21" ht="18.75" x14ac:dyDescent="0.25">
      <c r="A731" s="128"/>
      <c r="B731" s="159"/>
      <c r="C731" s="159"/>
      <c r="D731" s="42" t="s">
        <v>22</v>
      </c>
      <c r="E731" s="41"/>
      <c r="F731" s="41"/>
      <c r="G731" s="43"/>
      <c r="H731" s="134" t="s">
        <v>14</v>
      </c>
      <c r="I731" s="135"/>
      <c r="J731" s="135"/>
      <c r="K731" s="136"/>
      <c r="L731" s="548">
        <f>L732+L733</f>
        <v>0</v>
      </c>
      <c r="M731" s="47">
        <f>M732+M733</f>
        <v>0</v>
      </c>
      <c r="N731" s="47">
        <f>N732+N733</f>
        <v>0</v>
      </c>
      <c r="O731" s="47">
        <f>IF(L731&gt;0,N731*100/L731,0)</f>
        <v>0</v>
      </c>
      <c r="P731" s="47">
        <f>IF(M731&gt;0,N731*100/M731,0)</f>
        <v>0</v>
      </c>
      <c r="Q731" s="47">
        <f ca="1">Q732+Q733</f>
        <v>175994</v>
      </c>
      <c r="R731" s="47">
        <f ca="1">R732+R733</f>
        <v>175994</v>
      </c>
      <c r="S731" s="47">
        <f ca="1">S732+S733</f>
        <v>29975</v>
      </c>
      <c r="T731" s="47">
        <f ca="1">IF(Q731&gt;0,S731*100/Q731,0)</f>
        <v>17.031830630589678</v>
      </c>
      <c r="U731" s="47">
        <f ca="1">IF(R731&gt;0,S731*100/R731,0)</f>
        <v>17.031830630589678</v>
      </c>
    </row>
    <row r="732" spans="1:21" ht="18.75" hidden="1" x14ac:dyDescent="0.25">
      <c r="A732" s="128"/>
      <c r="B732" s="159"/>
      <c r="C732" s="159"/>
      <c r="D732" s="145"/>
      <c r="E732" s="157" t="s">
        <v>158</v>
      </c>
      <c r="F732" s="41"/>
      <c r="G732" s="43"/>
      <c r="H732" s="160" t="s">
        <v>14</v>
      </c>
      <c r="I732" s="45"/>
      <c r="J732" s="45"/>
      <c r="K732" s="46"/>
      <c r="L732" s="549">
        <v>0</v>
      </c>
      <c r="M732" s="49">
        <v>0</v>
      </c>
      <c r="N732" s="49">
        <v>0</v>
      </c>
      <c r="O732" s="49">
        <f>IF(L732&gt;0,N732*100/L732,0)</f>
        <v>0</v>
      </c>
      <c r="P732" s="49">
        <f>IF(M732&gt;0,N732*100/M732,0)</f>
        <v>0</v>
      </c>
      <c r="Q732" s="49">
        <v>0</v>
      </c>
      <c r="R732" s="49">
        <v>0</v>
      </c>
      <c r="S732" s="49">
        <v>0</v>
      </c>
      <c r="T732" s="49">
        <f>IF(Q732&gt;0,S732*100/Q732,0)</f>
        <v>0</v>
      </c>
      <c r="U732" s="49">
        <f>IF(R732&gt;0,S732*100/R732,0)</f>
        <v>0</v>
      </c>
    </row>
    <row r="733" spans="1:21" ht="18.75" hidden="1" x14ac:dyDescent="0.25">
      <c r="A733" s="128"/>
      <c r="B733" s="159"/>
      <c r="C733" s="159"/>
      <c r="D733" s="145"/>
      <c r="E733" s="48" t="s">
        <v>159</v>
      </c>
      <c r="F733" s="41"/>
      <c r="G733" s="43"/>
      <c r="H733" s="134" t="s">
        <v>14</v>
      </c>
      <c r="I733" s="45"/>
      <c r="J733" s="45"/>
      <c r="K733" s="46"/>
      <c r="L733" s="548">
        <v>0</v>
      </c>
      <c r="M733" s="47">
        <v>0</v>
      </c>
      <c r="N733" s="47">
        <v>0</v>
      </c>
      <c r="O733" s="47">
        <f>IF(L733&gt;0,N733*100/L733,0)</f>
        <v>0</v>
      </c>
      <c r="P733" s="47">
        <f>IF(M733&gt;0,N733*100/M733,0)</f>
        <v>0</v>
      </c>
      <c r="Q733" s="47">
        <f ca="1">IFERROR(__xludf.DUMMYFUNCTION("IMPORTRANGE(""https://docs.google.com/spreadsheets/d/1ItG2mGa2ceCfYo0BwxsXqNm01IGEUdYcSSLTEv9YCik/edit?usp=sharing"",""เบิกจ่ายกองทุน!O82"")"),175994)</f>
        <v>175994</v>
      </c>
      <c r="R733" s="47">
        <f ca="1">IFERROR(__xludf.DUMMYFUNCTION("IMPORTRANGE(""https://docs.google.com/spreadsheets/d/1ItG2mGa2ceCfYo0BwxsXqNm01IGEUdYcSSLTEv9YCik/edit?usp=sharing"",""เบิกจ่ายกองทุน!P82"")"),175994)</f>
        <v>175994</v>
      </c>
      <c r="S733" s="47">
        <f ca="1">IFERROR(__xludf.DUMMYFUNCTION("IMPORTRANGE(""https://docs.google.com/spreadsheets/d/1ItG2mGa2ceCfYo0BwxsXqNm01IGEUdYcSSLTEv9YCik/edit?usp=sharing"",""เบิกจ่ายกองทุน!Q82"")"),29975)</f>
        <v>29975</v>
      </c>
      <c r="T733" s="47">
        <f ca="1">IF(Q733&gt;0,S733*100/Q733,0)</f>
        <v>17.031830630589678</v>
      </c>
      <c r="U733" s="47">
        <f ca="1">IF(R733&gt;0,S733*100/R733,0)</f>
        <v>17.031830630589678</v>
      </c>
    </row>
    <row r="734" spans="1:21" ht="18.75" x14ac:dyDescent="0.25">
      <c r="A734" s="128"/>
      <c r="B734" s="159"/>
      <c r="C734" s="159"/>
      <c r="D734" s="42" t="s">
        <v>23</v>
      </c>
      <c r="E734" s="159"/>
      <c r="F734" s="159"/>
      <c r="G734" s="43"/>
      <c r="H734" s="137" t="s">
        <v>14</v>
      </c>
      <c r="I734" s="135"/>
      <c r="J734" s="135"/>
      <c r="K734" s="136"/>
      <c r="L734" s="548">
        <f>L735+L736</f>
        <v>0</v>
      </c>
      <c r="M734" s="47">
        <f>M735+M736</f>
        <v>0</v>
      </c>
      <c r="N734" s="47">
        <f>N735+N736</f>
        <v>0</v>
      </c>
      <c r="O734" s="47">
        <f>IF(L734&gt;0,N734*100/L734,0)</f>
        <v>0</v>
      </c>
      <c r="P734" s="47">
        <f>IF(M734&gt;0,N734*100/M734,0)</f>
        <v>0</v>
      </c>
      <c r="Q734" s="47">
        <f>Q735+Q736</f>
        <v>0</v>
      </c>
      <c r="R734" s="47">
        <f>R735+R736</f>
        <v>0</v>
      </c>
      <c r="S734" s="47">
        <f>S735+S736</f>
        <v>0</v>
      </c>
      <c r="T734" s="47">
        <f>IF(Q734&gt;0,S734*100/Q734,0)</f>
        <v>0</v>
      </c>
      <c r="U734" s="47">
        <f>IF(R734&gt;0,S734*100/R734,0)</f>
        <v>0</v>
      </c>
    </row>
    <row r="735" spans="1:21" ht="18.75" hidden="1" x14ac:dyDescent="0.25">
      <c r="A735" s="128"/>
      <c r="B735" s="159"/>
      <c r="C735" s="159"/>
      <c r="D735" s="159"/>
      <c r="E735" s="345" t="s">
        <v>20</v>
      </c>
      <c r="F735" s="159"/>
      <c r="G735" s="43"/>
      <c r="H735" s="160" t="s">
        <v>14</v>
      </c>
      <c r="I735" s="135"/>
      <c r="J735" s="135"/>
      <c r="K735" s="136"/>
      <c r="L735" s="549">
        <v>0</v>
      </c>
      <c r="M735" s="49">
        <v>0</v>
      </c>
      <c r="N735" s="49">
        <v>0</v>
      </c>
      <c r="O735" s="49">
        <f>IF(L735&gt;0,N735*100/L735,0)</f>
        <v>0</v>
      </c>
      <c r="P735" s="49">
        <f>IF(M735&gt;0,N735*100/M735,0)</f>
        <v>0</v>
      </c>
      <c r="Q735" s="49">
        <v>0</v>
      </c>
      <c r="R735" s="49">
        <v>0</v>
      </c>
      <c r="S735" s="49">
        <v>0</v>
      </c>
      <c r="T735" s="49">
        <f>IF(Q735&gt;0,S735*100/Q735,0)</f>
        <v>0</v>
      </c>
      <c r="U735" s="49">
        <f>IF(R735&gt;0,S735*100/R735,0)</f>
        <v>0</v>
      </c>
    </row>
    <row r="736" spans="1:21" ht="18.75" hidden="1" x14ac:dyDescent="0.25">
      <c r="A736" s="128"/>
      <c r="B736" s="159"/>
      <c r="C736" s="159"/>
      <c r="D736" s="159"/>
      <c r="E736" s="218" t="s">
        <v>21</v>
      </c>
      <c r="F736" s="159"/>
      <c r="G736" s="43"/>
      <c r="H736" s="137" t="s">
        <v>14</v>
      </c>
      <c r="I736" s="135"/>
      <c r="J736" s="135"/>
      <c r="K736" s="136"/>
      <c r="L736" s="548">
        <v>0</v>
      </c>
      <c r="M736" s="47">
        <v>0</v>
      </c>
      <c r="N736" s="47">
        <v>0</v>
      </c>
      <c r="O736" s="47">
        <f>IF(L736&gt;0,N736*100/L736,0)</f>
        <v>0</v>
      </c>
      <c r="P736" s="47">
        <f>IF(M736&gt;0,N736*100/M736,0)</f>
        <v>0</v>
      </c>
      <c r="Q736" s="47">
        <v>0</v>
      </c>
      <c r="R736" s="47">
        <v>0</v>
      </c>
      <c r="S736" s="47">
        <v>0</v>
      </c>
      <c r="T736" s="47">
        <f>IF(Q736&gt;0,S736*100/Q736,0)</f>
        <v>0</v>
      </c>
      <c r="U736" s="47">
        <f>IF(R736&gt;0,S736*100/R736,0)</f>
        <v>0</v>
      </c>
    </row>
    <row r="737" spans="1:21" ht="19.5" x14ac:dyDescent="0.3">
      <c r="A737" s="138"/>
      <c r="B737" s="139"/>
      <c r="C737" s="386" t="s">
        <v>18</v>
      </c>
      <c r="D737" s="557" t="s">
        <v>38</v>
      </c>
      <c r="E737" s="212"/>
      <c r="F737" s="141"/>
      <c r="G737" s="142"/>
      <c r="H737" s="189"/>
      <c r="I737" s="45"/>
      <c r="J737" s="45"/>
      <c r="K737" s="46"/>
      <c r="L737" s="546"/>
      <c r="M737" s="46"/>
      <c r="N737" s="46"/>
      <c r="O737" s="46"/>
      <c r="P737" s="46"/>
      <c r="Q737" s="46"/>
      <c r="R737" s="46"/>
      <c r="S737" s="46"/>
      <c r="T737" s="46"/>
      <c r="U737" s="46"/>
    </row>
    <row r="738" spans="1:21" ht="19.5" x14ac:dyDescent="0.3">
      <c r="A738" s="138"/>
      <c r="B738" s="139"/>
      <c r="C738" s="139"/>
      <c r="D738" s="500" t="s">
        <v>121</v>
      </c>
      <c r="E738" s="139"/>
      <c r="F738" s="139"/>
      <c r="G738" s="143"/>
      <c r="H738" s="191"/>
      <c r="I738" s="45"/>
      <c r="J738" s="45"/>
      <c r="K738" s="46"/>
      <c r="L738" s="546"/>
      <c r="M738" s="46"/>
      <c r="N738" s="46"/>
      <c r="O738" s="46"/>
      <c r="P738" s="46"/>
      <c r="Q738" s="46"/>
      <c r="R738" s="46"/>
      <c r="S738" s="46"/>
      <c r="T738" s="46"/>
      <c r="U738" s="46"/>
    </row>
    <row r="739" spans="1:21" ht="18.75" x14ac:dyDescent="0.25">
      <c r="A739" s="138"/>
      <c r="B739" s="139"/>
      <c r="C739" s="139"/>
      <c r="D739" s="139"/>
      <c r="E739" s="472" t="s">
        <v>273</v>
      </c>
      <c r="F739" s="139"/>
      <c r="G739" s="143"/>
      <c r="H739" s="191"/>
      <c r="I739" s="45"/>
      <c r="J739" s="45"/>
      <c r="K739" s="46"/>
      <c r="L739" s="546"/>
      <c r="M739" s="46"/>
      <c r="N739" s="46"/>
      <c r="O739" s="46"/>
      <c r="P739" s="46"/>
      <c r="Q739" s="46"/>
      <c r="R739" s="46"/>
      <c r="S739" s="46"/>
      <c r="T739" s="46"/>
      <c r="U739" s="46"/>
    </row>
    <row r="740" spans="1:21" ht="18.75" x14ac:dyDescent="0.25">
      <c r="A740" s="432"/>
      <c r="B740" s="433"/>
      <c r="C740" s="433"/>
      <c r="D740" s="433"/>
      <c r="E740" s="433"/>
      <c r="F740" s="438" t="s">
        <v>274</v>
      </c>
      <c r="G740" s="439"/>
      <c r="H740" s="329" t="s">
        <v>46</v>
      </c>
      <c r="I740" s="330">
        <f ca="1">IFERROR(__xludf.DUMMYFUNCTION("IMPORTRANGE(""https://docs.google.com/spreadsheets/d/1eHaY18a8A9IcSdp1K8H6x8fbOy06t2VsZHhMHf-1x7Y/edit?usp=sharing"",""แผน!GB82"")"),160)</f>
        <v>160</v>
      </c>
      <c r="J740" s="554">
        <v>0</v>
      </c>
      <c r="K740" s="331">
        <f ca="1">IF(I740&gt;0,J740*100/I740,0)</f>
        <v>0</v>
      </c>
      <c r="L740" s="553"/>
      <c r="M740" s="332"/>
      <c r="N740" s="332"/>
      <c r="O740" s="332"/>
      <c r="P740" s="332"/>
      <c r="Q740" s="332"/>
      <c r="R740" s="332"/>
      <c r="S740" s="332"/>
      <c r="T740" s="332"/>
      <c r="U740" s="332"/>
    </row>
    <row r="741" spans="1:21" ht="18.75" x14ac:dyDescent="0.25">
      <c r="A741" s="432"/>
      <c r="B741" s="433"/>
      <c r="C741" s="433"/>
      <c r="D741" s="433"/>
      <c r="E741" s="433"/>
      <c r="F741" s="438" t="s">
        <v>309</v>
      </c>
      <c r="G741" s="439"/>
      <c r="H741" s="329" t="s">
        <v>35</v>
      </c>
      <c r="I741" s="420"/>
      <c r="J741" s="554">
        <v>0</v>
      </c>
      <c r="K741" s="332"/>
      <c r="L741" s="553"/>
      <c r="M741" s="332"/>
      <c r="N741" s="332"/>
      <c r="O741" s="332"/>
      <c r="P741" s="332"/>
      <c r="Q741" s="332"/>
      <c r="R741" s="332"/>
      <c r="S741" s="332"/>
      <c r="T741" s="332"/>
      <c r="U741" s="332"/>
    </row>
    <row r="742" spans="1:21" ht="18.75" x14ac:dyDescent="0.25">
      <c r="A742" s="432"/>
      <c r="B742" s="433"/>
      <c r="C742" s="433"/>
      <c r="D742" s="433"/>
      <c r="E742" s="433"/>
      <c r="F742" s="438" t="s">
        <v>308</v>
      </c>
      <c r="G742" s="439"/>
      <c r="H742" s="329" t="s">
        <v>35</v>
      </c>
      <c r="I742" s="330">
        <f ca="1">IFERROR(__xludf.DUMMYFUNCTION("IMPORTRANGE(""https://docs.google.com/spreadsheets/d/1eHaY18a8A9IcSdp1K8H6x8fbOy06t2VsZHhMHf-1x7Y/edit?usp=sharing"",""แผน!GC82"")"),16)</f>
        <v>16</v>
      </c>
      <c r="J742" s="554">
        <v>0</v>
      </c>
      <c r="K742" s="331">
        <f ca="1">IF(I742&gt;0,J742*100/I742,0)</f>
        <v>0</v>
      </c>
      <c r="L742" s="553"/>
      <c r="M742" s="332"/>
      <c r="N742" s="332"/>
      <c r="O742" s="332"/>
      <c r="P742" s="332"/>
      <c r="Q742" s="332"/>
      <c r="R742" s="332"/>
      <c r="S742" s="332"/>
      <c r="T742" s="332"/>
      <c r="U742" s="332"/>
    </row>
    <row r="743" spans="1:21" ht="18.75" x14ac:dyDescent="0.25">
      <c r="A743" s="432"/>
      <c r="B743" s="433"/>
      <c r="C743" s="433"/>
      <c r="D743" s="433"/>
      <c r="E743" s="438" t="s">
        <v>277</v>
      </c>
      <c r="F743" s="433"/>
      <c r="G743" s="439"/>
      <c r="H743" s="328"/>
      <c r="I743" s="420"/>
      <c r="J743" s="420"/>
      <c r="K743" s="332"/>
      <c r="L743" s="553"/>
      <c r="M743" s="332"/>
      <c r="N743" s="332"/>
      <c r="O743" s="332"/>
      <c r="P743" s="332"/>
      <c r="Q743" s="332"/>
      <c r="R743" s="332"/>
      <c r="S743" s="332"/>
      <c r="T743" s="332"/>
      <c r="U743" s="332"/>
    </row>
    <row r="744" spans="1:21" ht="18.75" x14ac:dyDescent="0.25">
      <c r="A744" s="432"/>
      <c r="B744" s="433"/>
      <c r="C744" s="433"/>
      <c r="D744" s="433"/>
      <c r="E744" s="433"/>
      <c r="F744" s="438" t="s">
        <v>274</v>
      </c>
      <c r="G744" s="439"/>
      <c r="H744" s="329" t="s">
        <v>46</v>
      </c>
      <c r="I744" s="330">
        <f ca="1">IFERROR(__xludf.DUMMYFUNCTION("IMPORTRANGE(""https://docs.google.com/spreadsheets/d/1eHaY18a8A9IcSdp1K8H6x8fbOy06t2VsZHhMHf-1x7Y/edit?usp=sharing"",""แผน!GD82"")"),40)</f>
        <v>40</v>
      </c>
      <c r="J744" s="554">
        <v>0</v>
      </c>
      <c r="K744" s="331">
        <f ca="1">IF(I744&gt;0,J744*100/I744,0)</f>
        <v>0</v>
      </c>
      <c r="L744" s="553"/>
      <c r="M744" s="332"/>
      <c r="N744" s="332"/>
      <c r="O744" s="332"/>
      <c r="P744" s="332"/>
      <c r="Q744" s="332"/>
      <c r="R744" s="332"/>
      <c r="S744" s="332"/>
      <c r="T744" s="332"/>
      <c r="U744" s="332"/>
    </row>
    <row r="745" spans="1:21" ht="18.75" x14ac:dyDescent="0.25">
      <c r="A745" s="432"/>
      <c r="B745" s="433"/>
      <c r="C745" s="433"/>
      <c r="D745" s="433"/>
      <c r="E745" s="433"/>
      <c r="F745" s="438" t="s">
        <v>307</v>
      </c>
      <c r="G745" s="439"/>
      <c r="H745" s="329" t="s">
        <v>35</v>
      </c>
      <c r="I745" s="420"/>
      <c r="J745" s="554">
        <v>0</v>
      </c>
      <c r="K745" s="332"/>
      <c r="L745" s="553"/>
      <c r="M745" s="332"/>
      <c r="N745" s="332"/>
      <c r="O745" s="332"/>
      <c r="P745" s="332"/>
      <c r="Q745" s="332"/>
      <c r="R745" s="332"/>
      <c r="S745" s="332"/>
      <c r="T745" s="332"/>
      <c r="U745" s="332"/>
    </row>
    <row r="746" spans="1:21" ht="18.75" x14ac:dyDescent="0.25">
      <c r="A746" s="432"/>
      <c r="B746" s="433"/>
      <c r="C746" s="433"/>
      <c r="D746" s="433"/>
      <c r="E746" s="433"/>
      <c r="F746" s="438" t="s">
        <v>306</v>
      </c>
      <c r="G746" s="439"/>
      <c r="H746" s="329" t="s">
        <v>35</v>
      </c>
      <c r="I746" s="330">
        <f ca="1">IFERROR(__xludf.DUMMYFUNCTION("IMPORTRANGE(""https://docs.google.com/spreadsheets/d/1eHaY18a8A9IcSdp1K8H6x8fbOy06t2VsZHhMHf-1x7Y/edit?usp=sharing"",""แผน!GE82"")"),4)</f>
        <v>4</v>
      </c>
      <c r="J746" s="554">
        <v>0</v>
      </c>
      <c r="K746" s="331">
        <f ca="1">IF(I746&gt;0,J746*100/I746,0)</f>
        <v>0</v>
      </c>
      <c r="L746" s="553"/>
      <c r="M746" s="332"/>
      <c r="N746" s="332"/>
      <c r="O746" s="332"/>
      <c r="P746" s="332"/>
      <c r="Q746" s="332"/>
      <c r="R746" s="332"/>
      <c r="S746" s="332"/>
      <c r="T746" s="332"/>
      <c r="U746" s="332"/>
    </row>
    <row r="747" spans="1:21" ht="18.75" x14ac:dyDescent="0.25">
      <c r="A747" s="432"/>
      <c r="B747" s="433"/>
      <c r="C747" s="433"/>
      <c r="D747" s="433"/>
      <c r="E747" s="438" t="s">
        <v>280</v>
      </c>
      <c r="F747" s="422"/>
      <c r="G747" s="439"/>
      <c r="H747" s="328"/>
      <c r="I747" s="420"/>
      <c r="J747" s="420"/>
      <c r="K747" s="332"/>
      <c r="L747" s="553"/>
      <c r="M747" s="332"/>
      <c r="N747" s="332"/>
      <c r="O747" s="332"/>
      <c r="P747" s="332"/>
      <c r="Q747" s="332"/>
      <c r="R747" s="332"/>
      <c r="S747" s="332"/>
      <c r="T747" s="332"/>
      <c r="U747" s="332"/>
    </row>
    <row r="748" spans="1:21" ht="18.75" x14ac:dyDescent="0.25">
      <c r="A748" s="432"/>
      <c r="B748" s="433"/>
      <c r="C748" s="433"/>
      <c r="D748" s="433"/>
      <c r="E748" s="433"/>
      <c r="F748" s="438" t="s">
        <v>305</v>
      </c>
      <c r="G748" s="439"/>
      <c r="H748" s="329" t="s">
        <v>35</v>
      </c>
      <c r="I748" s="420"/>
      <c r="J748" s="554">
        <v>0</v>
      </c>
      <c r="K748" s="332"/>
      <c r="L748" s="553"/>
      <c r="M748" s="332"/>
      <c r="N748" s="332"/>
      <c r="O748" s="332"/>
      <c r="P748" s="332"/>
      <c r="Q748" s="332"/>
      <c r="R748" s="332"/>
      <c r="S748" s="332"/>
      <c r="T748" s="332"/>
      <c r="U748" s="332"/>
    </row>
    <row r="749" spans="1:21" ht="18.75" x14ac:dyDescent="0.25">
      <c r="A749" s="432"/>
      <c r="B749" s="433"/>
      <c r="C749" s="433"/>
      <c r="D749" s="433"/>
      <c r="E749" s="433"/>
      <c r="F749" s="438" t="s">
        <v>304</v>
      </c>
      <c r="G749" s="439"/>
      <c r="H749" s="329" t="s">
        <v>35</v>
      </c>
      <c r="I749" s="330">
        <f ca="1">IFERROR(__xludf.DUMMYFUNCTION("IMPORTRANGE(""https://docs.google.com/spreadsheets/d/1eHaY18a8A9IcSdp1K8H6x8fbOy06t2VsZHhMHf-1x7Y/edit?usp=sharing"",""แผน!GF82"")"),1)</f>
        <v>1</v>
      </c>
      <c r="J749" s="554">
        <v>0</v>
      </c>
      <c r="K749" s="331">
        <f ca="1">IF(I749&gt;0,J749*100/I749,0)</f>
        <v>0</v>
      </c>
      <c r="L749" s="553"/>
      <c r="M749" s="332"/>
      <c r="N749" s="332"/>
      <c r="O749" s="332"/>
      <c r="P749" s="332"/>
      <c r="Q749" s="332"/>
      <c r="R749" s="332"/>
      <c r="S749" s="332"/>
      <c r="T749" s="332"/>
      <c r="U749" s="332"/>
    </row>
    <row r="750" spans="1:21" ht="19.5" x14ac:dyDescent="0.3">
      <c r="A750" s="432"/>
      <c r="B750" s="433"/>
      <c r="C750" s="433"/>
      <c r="D750" s="556" t="s">
        <v>50</v>
      </c>
      <c r="E750" s="433"/>
      <c r="F750" s="422"/>
      <c r="G750" s="439"/>
      <c r="H750" s="328"/>
      <c r="I750" s="420"/>
      <c r="J750" s="420"/>
      <c r="K750" s="332"/>
      <c r="L750" s="553"/>
      <c r="M750" s="332"/>
      <c r="N750" s="332"/>
      <c r="O750" s="332"/>
      <c r="P750" s="332"/>
      <c r="Q750" s="332"/>
      <c r="R750" s="332"/>
      <c r="S750" s="332"/>
      <c r="T750" s="332"/>
      <c r="U750" s="332"/>
    </row>
    <row r="751" spans="1:21" ht="18.75" x14ac:dyDescent="0.25">
      <c r="A751" s="432"/>
      <c r="B751" s="433"/>
      <c r="C751" s="433"/>
      <c r="D751" s="433"/>
      <c r="E751" s="438" t="s">
        <v>273</v>
      </c>
      <c r="F751" s="422"/>
      <c r="G751" s="439"/>
      <c r="H751" s="328"/>
      <c r="I751" s="420"/>
      <c r="J751" s="420"/>
      <c r="K751" s="332"/>
      <c r="L751" s="553"/>
      <c r="M751" s="332"/>
      <c r="N751" s="332"/>
      <c r="O751" s="332"/>
      <c r="P751" s="332"/>
      <c r="Q751" s="332"/>
      <c r="R751" s="332"/>
      <c r="S751" s="332"/>
      <c r="T751" s="332"/>
      <c r="U751" s="332"/>
    </row>
    <row r="752" spans="1:21" ht="18.75" x14ac:dyDescent="0.25">
      <c r="A752" s="432"/>
      <c r="B752" s="433"/>
      <c r="C752" s="433"/>
      <c r="D752" s="433"/>
      <c r="E752" s="433"/>
      <c r="F752" s="555" t="s">
        <v>303</v>
      </c>
      <c r="G752" s="439"/>
      <c r="H752" s="329" t="s">
        <v>46</v>
      </c>
      <c r="I752" s="330">
        <f ca="1">IFERROR(__xludf.DUMMYFUNCTION("IMPORTRANGE(""https://docs.google.com/spreadsheets/d/1eHaY18a8A9IcSdp1K8H6x8fbOy06t2VsZHhMHf-1x7Y/edit?usp=sharing"",""แผน!GB82"")"),160)</f>
        <v>160</v>
      </c>
      <c r="J752" s="554">
        <v>0</v>
      </c>
      <c r="K752" s="331">
        <f ca="1">IF(I752&gt;0,J752*100/I752,0)</f>
        <v>0</v>
      </c>
      <c r="L752" s="553"/>
      <c r="M752" s="332"/>
      <c r="N752" s="332"/>
      <c r="O752" s="332"/>
      <c r="P752" s="332"/>
      <c r="Q752" s="332"/>
      <c r="R752" s="332"/>
      <c r="S752" s="332"/>
      <c r="T752" s="332"/>
      <c r="U752" s="332"/>
    </row>
    <row r="753" spans="1:21" ht="18.75" x14ac:dyDescent="0.25">
      <c r="A753" s="432"/>
      <c r="B753" s="433"/>
      <c r="C753" s="433"/>
      <c r="D753" s="433"/>
      <c r="E753" s="433"/>
      <c r="F753" s="555" t="s">
        <v>302</v>
      </c>
      <c r="G753" s="439"/>
      <c r="H753" s="329" t="s">
        <v>46</v>
      </c>
      <c r="I753" s="420"/>
      <c r="J753" s="554">
        <v>0</v>
      </c>
      <c r="K753" s="332"/>
      <c r="L753" s="553"/>
      <c r="M753" s="332"/>
      <c r="N753" s="332"/>
      <c r="O753" s="332"/>
      <c r="P753" s="332"/>
      <c r="Q753" s="332"/>
      <c r="R753" s="332"/>
      <c r="S753" s="332"/>
      <c r="T753" s="332"/>
      <c r="U753" s="332"/>
    </row>
    <row r="754" spans="1:21" ht="18.75" x14ac:dyDescent="0.25">
      <c r="A754" s="432"/>
      <c r="B754" s="433"/>
      <c r="C754" s="433"/>
      <c r="D754" s="433"/>
      <c r="E754" s="438" t="s">
        <v>277</v>
      </c>
      <c r="F754" s="422"/>
      <c r="G754" s="439"/>
      <c r="H754" s="328"/>
      <c r="I754" s="420"/>
      <c r="J754" s="420"/>
      <c r="K754" s="332"/>
      <c r="L754" s="553"/>
      <c r="M754" s="332"/>
      <c r="N754" s="332"/>
      <c r="O754" s="332"/>
      <c r="P754" s="332"/>
      <c r="Q754" s="332"/>
      <c r="R754" s="332"/>
      <c r="S754" s="332"/>
      <c r="T754" s="332"/>
      <c r="U754" s="332"/>
    </row>
    <row r="755" spans="1:21" ht="18.75" x14ac:dyDescent="0.25">
      <c r="A755" s="432"/>
      <c r="B755" s="433"/>
      <c r="C755" s="433"/>
      <c r="D755" s="433"/>
      <c r="E755" s="422"/>
      <c r="F755" s="555" t="s">
        <v>301</v>
      </c>
      <c r="G755" s="439"/>
      <c r="H755" s="329" t="s">
        <v>46</v>
      </c>
      <c r="I755" s="330">
        <f ca="1">IFERROR(__xludf.DUMMYFUNCTION("IMPORTRANGE(""https://docs.google.com/spreadsheets/d/1eHaY18a8A9IcSdp1K8H6x8fbOy06t2VsZHhMHf-1x7Y/edit?usp=sharing"",""แผน!GD82"")"),40)</f>
        <v>40</v>
      </c>
      <c r="J755" s="554">
        <v>0</v>
      </c>
      <c r="K755" s="331">
        <f ca="1">IF(I755&gt;0,J755*100/I755,0)</f>
        <v>0</v>
      </c>
      <c r="L755" s="553"/>
      <c r="M755" s="332"/>
      <c r="N755" s="332"/>
      <c r="O755" s="332"/>
      <c r="P755" s="332"/>
      <c r="Q755" s="332"/>
      <c r="R755" s="332"/>
      <c r="S755" s="332"/>
      <c r="T755" s="332"/>
      <c r="U755" s="332"/>
    </row>
    <row r="756" spans="1:21" ht="18.75" x14ac:dyDescent="0.25">
      <c r="A756" s="432"/>
      <c r="B756" s="433"/>
      <c r="C756" s="433"/>
      <c r="D756" s="433"/>
      <c r="E756" s="422"/>
      <c r="F756" s="555" t="s">
        <v>300</v>
      </c>
      <c r="G756" s="439"/>
      <c r="H756" s="329" t="s">
        <v>46</v>
      </c>
      <c r="I756" s="420"/>
      <c r="J756" s="554">
        <v>0</v>
      </c>
      <c r="K756" s="332"/>
      <c r="L756" s="553"/>
      <c r="M756" s="332"/>
      <c r="N756" s="332"/>
      <c r="O756" s="332"/>
      <c r="P756" s="332"/>
      <c r="Q756" s="332"/>
      <c r="R756" s="332"/>
      <c r="S756" s="332"/>
      <c r="T756" s="332"/>
      <c r="U756" s="332"/>
    </row>
    <row r="757" spans="1:21" ht="18.75" x14ac:dyDescent="0.25">
      <c r="A757" s="168"/>
      <c r="B757" s="169"/>
      <c r="C757" s="169"/>
      <c r="D757" s="169"/>
      <c r="E757" s="170" t="s">
        <v>287</v>
      </c>
      <c r="F757" s="171"/>
      <c r="G757" s="172"/>
      <c r="H757" s="501" t="s">
        <v>35</v>
      </c>
      <c r="I757" s="502"/>
      <c r="J757" s="175">
        <v>0</v>
      </c>
      <c r="K757" s="178"/>
      <c r="L757" s="178"/>
      <c r="M757" s="178"/>
      <c r="N757" s="178"/>
      <c r="O757" s="178"/>
      <c r="P757" s="178"/>
      <c r="Q757" s="178"/>
      <c r="R757" s="178"/>
      <c r="S757" s="178"/>
      <c r="T757" s="178"/>
      <c r="U757" s="178"/>
    </row>
    <row r="758" spans="1:21" ht="19.5" x14ac:dyDescent="0.3">
      <c r="A758" s="499"/>
      <c r="B758" s="457" t="s">
        <v>288</v>
      </c>
      <c r="C758" s="456"/>
      <c r="D758" s="458"/>
      <c r="E758" s="458"/>
      <c r="F758" s="458"/>
      <c r="G758" s="459"/>
      <c r="H758" s="482" t="s">
        <v>35</v>
      </c>
      <c r="I758" s="483">
        <f ca="1">I772</f>
        <v>50</v>
      </c>
      <c r="J758" s="483">
        <f>J772</f>
        <v>0</v>
      </c>
      <c r="K758" s="484">
        <f ca="1">IF(I758&gt;0,J758*100/I758,0)</f>
        <v>0</v>
      </c>
      <c r="L758" s="552"/>
      <c r="M758" s="462"/>
      <c r="N758" s="462"/>
      <c r="O758" s="462"/>
      <c r="P758" s="462"/>
      <c r="Q758" s="462"/>
      <c r="R758" s="462"/>
      <c r="S758" s="462"/>
      <c r="T758" s="462"/>
      <c r="U758" s="462"/>
    </row>
    <row r="759" spans="1:21" ht="19.5" x14ac:dyDescent="0.3">
      <c r="A759" s="499"/>
      <c r="B759" s="456"/>
      <c r="C759" s="456"/>
      <c r="D759" s="458"/>
      <c r="E759" s="458"/>
      <c r="F759" s="458"/>
      <c r="G759" s="459"/>
      <c r="H759" s="482" t="s">
        <v>46</v>
      </c>
      <c r="I759" s="483">
        <f ca="1">I774</f>
        <v>100</v>
      </c>
      <c r="J759" s="483">
        <f>J774</f>
        <v>0</v>
      </c>
      <c r="K759" s="484">
        <f ca="1">IF(I759&gt;0,J759*100/I759,0)</f>
        <v>0</v>
      </c>
      <c r="L759" s="552"/>
      <c r="M759" s="462"/>
      <c r="N759" s="462"/>
      <c r="O759" s="462"/>
      <c r="P759" s="462"/>
      <c r="Q759" s="462"/>
      <c r="R759" s="462"/>
      <c r="S759" s="462"/>
      <c r="T759" s="462"/>
      <c r="U759" s="462"/>
    </row>
    <row r="760" spans="1:21" ht="19.5" x14ac:dyDescent="0.3">
      <c r="A760" s="128"/>
      <c r="B760" s="159"/>
      <c r="C760" s="386" t="s">
        <v>18</v>
      </c>
      <c r="D760" s="551" t="s">
        <v>19</v>
      </c>
      <c r="E760" s="530"/>
      <c r="F760" s="530"/>
      <c r="G760" s="531"/>
      <c r="H760" s="232" t="s">
        <v>14</v>
      </c>
      <c r="I760" s="45"/>
      <c r="J760" s="45"/>
      <c r="K760" s="46"/>
      <c r="L760" s="550">
        <f>L761+L762</f>
        <v>0</v>
      </c>
      <c r="M760" s="132">
        <f>M761+M762</f>
        <v>0</v>
      </c>
      <c r="N760" s="132">
        <f>N761+N762</f>
        <v>0</v>
      </c>
      <c r="O760" s="132">
        <f>IF(L760&gt;0,N760*100/L760,0)</f>
        <v>0</v>
      </c>
      <c r="P760" s="132">
        <f>IF(M760&gt;0,N760*100/M760,0)</f>
        <v>0</v>
      </c>
      <c r="Q760" s="132">
        <f ca="1">Q761+Q762</f>
        <v>397800</v>
      </c>
      <c r="R760" s="132">
        <f ca="1">R761+R762</f>
        <v>397800</v>
      </c>
      <c r="S760" s="132">
        <f ca="1">S761+S762</f>
        <v>321450</v>
      </c>
      <c r="T760" s="132">
        <f ca="1">IF(Q760&gt;0,S760*100/Q760,0)</f>
        <v>80.806938159879337</v>
      </c>
      <c r="U760" s="132">
        <f ca="1">IF(R760&gt;0,S760*100/R760,0)</f>
        <v>80.806938159879337</v>
      </c>
    </row>
    <row r="761" spans="1:21" ht="18.75" hidden="1" x14ac:dyDescent="0.25">
      <c r="A761" s="128"/>
      <c r="B761" s="159"/>
      <c r="C761" s="159"/>
      <c r="D761" s="145"/>
      <c r="E761" s="157" t="s">
        <v>158</v>
      </c>
      <c r="F761" s="41"/>
      <c r="G761" s="43"/>
      <c r="H761" s="160" t="s">
        <v>14</v>
      </c>
      <c r="I761" s="45"/>
      <c r="J761" s="45"/>
      <c r="K761" s="46"/>
      <c r="L761" s="549">
        <f>L764+L767</f>
        <v>0</v>
      </c>
      <c r="M761" s="49">
        <f>M764+M767</f>
        <v>0</v>
      </c>
      <c r="N761" s="49">
        <f>N764+N767</f>
        <v>0</v>
      </c>
      <c r="O761" s="49">
        <f>IF(L761&gt;0,N761*100/L761,0)</f>
        <v>0</v>
      </c>
      <c r="P761" s="49">
        <f>IF(M761&gt;0,N761*100/M761,0)</f>
        <v>0</v>
      </c>
      <c r="Q761" s="49">
        <f>Q764+Q767</f>
        <v>0</v>
      </c>
      <c r="R761" s="49">
        <f>R764+R767</f>
        <v>0</v>
      </c>
      <c r="S761" s="49">
        <f>S764+S767</f>
        <v>0</v>
      </c>
      <c r="T761" s="49">
        <f>IF(Q761&gt;0,S761*100/Q761,0)</f>
        <v>0</v>
      </c>
      <c r="U761" s="49">
        <f>IF(R761&gt;0,S761*100/R761,0)</f>
        <v>0</v>
      </c>
    </row>
    <row r="762" spans="1:21" ht="18.75" hidden="1" x14ac:dyDescent="0.25">
      <c r="A762" s="128"/>
      <c r="B762" s="159"/>
      <c r="C762" s="185"/>
      <c r="D762" s="145"/>
      <c r="E762" s="48" t="s">
        <v>159</v>
      </c>
      <c r="F762" s="41"/>
      <c r="G762" s="43"/>
      <c r="H762" s="134" t="s">
        <v>14</v>
      </c>
      <c r="I762" s="45"/>
      <c r="J762" s="45"/>
      <c r="K762" s="46"/>
      <c r="L762" s="548">
        <f>L765+L768</f>
        <v>0</v>
      </c>
      <c r="M762" s="47">
        <f>M765+M768</f>
        <v>0</v>
      </c>
      <c r="N762" s="47">
        <f>N765+N768</f>
        <v>0</v>
      </c>
      <c r="O762" s="47">
        <f>IF(L762&gt;0,N762*100/L762,0)</f>
        <v>0</v>
      </c>
      <c r="P762" s="47">
        <f>IF(M762&gt;0,N762*100/M762,0)</f>
        <v>0</v>
      </c>
      <c r="Q762" s="47">
        <f ca="1">Q765+Q768</f>
        <v>397800</v>
      </c>
      <c r="R762" s="47">
        <f ca="1">R765+R768</f>
        <v>397800</v>
      </c>
      <c r="S762" s="47">
        <f ca="1">S765+S768</f>
        <v>321450</v>
      </c>
      <c r="T762" s="47">
        <f ca="1">IF(Q762&gt;0,S762*100/Q762,0)</f>
        <v>80.806938159879337</v>
      </c>
      <c r="U762" s="47">
        <f ca="1">IF(R762&gt;0,S762*100/R762,0)</f>
        <v>80.806938159879337</v>
      </c>
    </row>
    <row r="763" spans="1:21" ht="18.75" x14ac:dyDescent="0.25">
      <c r="A763" s="128"/>
      <c r="B763" s="159"/>
      <c r="C763" s="185"/>
      <c r="D763" s="42" t="s">
        <v>22</v>
      </c>
      <c r="E763" s="41"/>
      <c r="F763" s="41"/>
      <c r="G763" s="43"/>
      <c r="H763" s="134" t="s">
        <v>14</v>
      </c>
      <c r="I763" s="135"/>
      <c r="J763" s="135"/>
      <c r="K763" s="136"/>
      <c r="L763" s="548">
        <f>L764+L765</f>
        <v>0</v>
      </c>
      <c r="M763" s="47">
        <f>M764+M765</f>
        <v>0</v>
      </c>
      <c r="N763" s="47">
        <f>N764+N765</f>
        <v>0</v>
      </c>
      <c r="O763" s="47">
        <f>IF(L763&gt;0,N763*100/L763,0)</f>
        <v>0</v>
      </c>
      <c r="P763" s="47">
        <f>IF(M763&gt;0,N763*100/M763,0)</f>
        <v>0</v>
      </c>
      <c r="Q763" s="47">
        <f ca="1">Q764+Q765</f>
        <v>397800</v>
      </c>
      <c r="R763" s="47">
        <f ca="1">R764+R765</f>
        <v>397800</v>
      </c>
      <c r="S763" s="47">
        <f ca="1">S764+S765</f>
        <v>321450</v>
      </c>
      <c r="T763" s="47">
        <f ca="1">IF(Q763&gt;0,S763*100/Q763,0)</f>
        <v>80.806938159879337</v>
      </c>
      <c r="U763" s="47">
        <f ca="1">IF(R763&gt;0,S763*100/R763,0)</f>
        <v>80.806938159879337</v>
      </c>
    </row>
    <row r="764" spans="1:21" ht="18.75" hidden="1" x14ac:dyDescent="0.25">
      <c r="A764" s="128"/>
      <c r="B764" s="159"/>
      <c r="C764" s="185"/>
      <c r="D764" s="145"/>
      <c r="E764" s="157" t="s">
        <v>158</v>
      </c>
      <c r="F764" s="41"/>
      <c r="G764" s="43"/>
      <c r="H764" s="160" t="s">
        <v>14</v>
      </c>
      <c r="I764" s="45"/>
      <c r="J764" s="45"/>
      <c r="K764" s="46"/>
      <c r="L764" s="549">
        <v>0</v>
      </c>
      <c r="M764" s="49">
        <v>0</v>
      </c>
      <c r="N764" s="49">
        <v>0</v>
      </c>
      <c r="O764" s="49">
        <f>IF(L764&gt;0,N764*100/L764,0)</f>
        <v>0</v>
      </c>
      <c r="P764" s="49">
        <f>IF(M764&gt;0,N764*100/M764,0)</f>
        <v>0</v>
      </c>
      <c r="Q764" s="49">
        <v>0</v>
      </c>
      <c r="R764" s="49">
        <v>0</v>
      </c>
      <c r="S764" s="49">
        <v>0</v>
      </c>
      <c r="T764" s="49">
        <f>IF(Q764&gt;0,S764*100/Q764,0)</f>
        <v>0</v>
      </c>
      <c r="U764" s="49">
        <f>IF(R764&gt;0,S764*100/R764,0)</f>
        <v>0</v>
      </c>
    </row>
    <row r="765" spans="1:21" ht="18.75" hidden="1" x14ac:dyDescent="0.25">
      <c r="A765" s="128"/>
      <c r="B765" s="159"/>
      <c r="C765" s="185"/>
      <c r="D765" s="145"/>
      <c r="E765" s="48" t="s">
        <v>159</v>
      </c>
      <c r="F765" s="41"/>
      <c r="G765" s="43"/>
      <c r="H765" s="134" t="s">
        <v>14</v>
      </c>
      <c r="I765" s="45"/>
      <c r="J765" s="45"/>
      <c r="K765" s="46"/>
      <c r="L765" s="548">
        <v>0</v>
      </c>
      <c r="M765" s="47">
        <v>0</v>
      </c>
      <c r="N765" s="47">
        <v>0</v>
      </c>
      <c r="O765" s="47">
        <f>IF(L765&gt;0,N765*100/L765,0)</f>
        <v>0</v>
      </c>
      <c r="P765" s="47">
        <f>IF(M765&gt;0,N765*100/M765,0)</f>
        <v>0</v>
      </c>
      <c r="Q765" s="47">
        <f ca="1">IFERROR(__xludf.DUMMYFUNCTION("IMPORTRANGE(""https://docs.google.com/spreadsheets/d/1ItG2mGa2ceCfYo0BwxsXqNm01IGEUdYcSSLTEv9YCik/edit?usp=sharing"",""เบิกจ่ายกองทุน!AA82"")"),397800)</f>
        <v>397800</v>
      </c>
      <c r="R765" s="47">
        <f ca="1">IFERROR(__xludf.DUMMYFUNCTION("IMPORTRANGE(""https://docs.google.com/spreadsheets/d/1ItG2mGa2ceCfYo0BwxsXqNm01IGEUdYcSSLTEv9YCik/edit?usp=sharing"",""เบิกจ่ายกองทุน!AB82"")"),397800)</f>
        <v>397800</v>
      </c>
      <c r="S765" s="47">
        <f ca="1">IFERROR(__xludf.DUMMYFUNCTION("IMPORTRANGE(""https://docs.google.com/spreadsheets/d/1ItG2mGa2ceCfYo0BwxsXqNm01IGEUdYcSSLTEv9YCik/edit?usp=sharing"",""เบิกจ่ายกองทุน!AC82"")"),321450)</f>
        <v>321450</v>
      </c>
      <c r="T765" s="47">
        <f ca="1">IF(Q765&gt;0,S765*100/Q765,0)</f>
        <v>80.806938159879337</v>
      </c>
      <c r="U765" s="47">
        <f ca="1">IF(R765&gt;0,S765*100/R765,0)</f>
        <v>80.806938159879337</v>
      </c>
    </row>
    <row r="766" spans="1:21" ht="18.75" x14ac:dyDescent="0.25">
      <c r="A766" s="128"/>
      <c r="B766" s="159"/>
      <c r="C766" s="159"/>
      <c r="D766" s="42" t="s">
        <v>23</v>
      </c>
      <c r="E766" s="159"/>
      <c r="F766" s="41"/>
      <c r="G766" s="43"/>
      <c r="H766" s="137" t="s">
        <v>14</v>
      </c>
      <c r="I766" s="135"/>
      <c r="J766" s="135"/>
      <c r="K766" s="136"/>
      <c r="L766" s="548">
        <f>L767+L768</f>
        <v>0</v>
      </c>
      <c r="M766" s="47">
        <f>M767+M768</f>
        <v>0</v>
      </c>
      <c r="N766" s="47">
        <f>N767+N768</f>
        <v>0</v>
      </c>
      <c r="O766" s="47">
        <f>IF(L766&gt;0,N766*100/L766,0)</f>
        <v>0</v>
      </c>
      <c r="P766" s="47">
        <f>IF(M766&gt;0,N766*100/M766,0)</f>
        <v>0</v>
      </c>
      <c r="Q766" s="47">
        <f>Q767+Q768</f>
        <v>0</v>
      </c>
      <c r="R766" s="47">
        <f>R767+R768</f>
        <v>0</v>
      </c>
      <c r="S766" s="47">
        <f>S767+S768</f>
        <v>0</v>
      </c>
      <c r="T766" s="47">
        <f>IF(Q766&gt;0,S766*100/Q766,0)</f>
        <v>0</v>
      </c>
      <c r="U766" s="47">
        <f>IF(R766&gt;0,S766*100/R766,0)</f>
        <v>0</v>
      </c>
    </row>
    <row r="767" spans="1:21" ht="18.75" hidden="1" x14ac:dyDescent="0.25">
      <c r="A767" s="128"/>
      <c r="B767" s="159"/>
      <c r="C767" s="159"/>
      <c r="D767" s="159"/>
      <c r="E767" s="345" t="s">
        <v>20</v>
      </c>
      <c r="F767" s="41"/>
      <c r="G767" s="43"/>
      <c r="H767" s="160" t="s">
        <v>14</v>
      </c>
      <c r="I767" s="135"/>
      <c r="J767" s="135"/>
      <c r="K767" s="136"/>
      <c r="L767" s="549">
        <v>0</v>
      </c>
      <c r="M767" s="49">
        <v>0</v>
      </c>
      <c r="N767" s="49">
        <v>0</v>
      </c>
      <c r="O767" s="49">
        <f>IF(L767&gt;0,N767*100/L767,0)</f>
        <v>0</v>
      </c>
      <c r="P767" s="49">
        <f>IF(M767&gt;0,N767*100/M767,0)</f>
        <v>0</v>
      </c>
      <c r="Q767" s="49">
        <v>0</v>
      </c>
      <c r="R767" s="49">
        <v>0</v>
      </c>
      <c r="S767" s="49">
        <v>0</v>
      </c>
      <c r="T767" s="49">
        <f>IF(Q767&gt;0,S767*100/Q767,0)</f>
        <v>0</v>
      </c>
      <c r="U767" s="49">
        <f>IF(R767&gt;0,S767*100/R767,0)</f>
        <v>0</v>
      </c>
    </row>
    <row r="768" spans="1:21" ht="18.75" hidden="1" x14ac:dyDescent="0.25">
      <c r="A768" s="128"/>
      <c r="B768" s="159"/>
      <c r="C768" s="159"/>
      <c r="D768" s="159"/>
      <c r="E768" s="218" t="s">
        <v>21</v>
      </c>
      <c r="F768" s="41"/>
      <c r="G768" s="43"/>
      <c r="H768" s="137" t="s">
        <v>14</v>
      </c>
      <c r="I768" s="135"/>
      <c r="J768" s="135"/>
      <c r="K768" s="136"/>
      <c r="L768" s="548">
        <v>0</v>
      </c>
      <c r="M768" s="47">
        <v>0</v>
      </c>
      <c r="N768" s="47">
        <v>0</v>
      </c>
      <c r="O768" s="47">
        <f>IF(L768&gt;0,N768*100/L768,0)</f>
        <v>0</v>
      </c>
      <c r="P768" s="47">
        <f>IF(M768&gt;0,N768*100/M768,0)</f>
        <v>0</v>
      </c>
      <c r="Q768" s="47">
        <v>0</v>
      </c>
      <c r="R768" s="47">
        <v>0</v>
      </c>
      <c r="S768" s="47">
        <v>0</v>
      </c>
      <c r="T768" s="47">
        <f>IF(Q768&gt;0,S768*100/Q768,0)</f>
        <v>0</v>
      </c>
      <c r="U768" s="47">
        <f>IF(R768&gt;0,S768*100/R768,0)</f>
        <v>0</v>
      </c>
    </row>
    <row r="769" spans="1:21" ht="19.5" x14ac:dyDescent="0.3">
      <c r="A769" s="138"/>
      <c r="B769" s="139"/>
      <c r="C769" s="386" t="s">
        <v>18</v>
      </c>
      <c r="D769" s="547" t="s">
        <v>38</v>
      </c>
      <c r="E769" s="212"/>
      <c r="F769" s="141"/>
      <c r="G769" s="142"/>
      <c r="H769" s="189"/>
      <c r="I769" s="45"/>
      <c r="J769" s="45"/>
      <c r="K769" s="46"/>
      <c r="L769" s="546"/>
      <c r="M769" s="46"/>
      <c r="N769" s="46"/>
      <c r="O769" s="46"/>
      <c r="P769" s="46"/>
      <c r="Q769" s="46"/>
      <c r="R769" s="46"/>
      <c r="S769" s="46"/>
      <c r="T769" s="46"/>
      <c r="U769" s="46"/>
    </row>
    <row r="770" spans="1:21" ht="18.75" hidden="1" x14ac:dyDescent="0.25">
      <c r="A770" s="138"/>
      <c r="B770" s="139"/>
      <c r="C770" s="139"/>
      <c r="D770" s="504" t="s">
        <v>289</v>
      </c>
      <c r="E770" s="139"/>
      <c r="F770" s="145"/>
      <c r="G770" s="143"/>
      <c r="H770" s="493" t="s">
        <v>35</v>
      </c>
      <c r="I770" s="495">
        <f ca="1">IFERROR(__xludf.DUMMYFUNCTION("IMPORTRANGE(""https://docs.google.com/spreadsheets/d/1eHaY18a8A9IcSdp1K8H6x8fbOy06t2VsZHhMHf-1x7Y/edit?usp=sharing"",""แผน!FI82"")"),0)</f>
        <v>0</v>
      </c>
      <c r="J770" s="495">
        <v>0</v>
      </c>
      <c r="K770" s="49">
        <f ca="1">IF(I770&gt;0,J770*100/I770,0)</f>
        <v>0</v>
      </c>
      <c r="L770" s="546"/>
      <c r="M770" s="46"/>
      <c r="N770" s="46"/>
      <c r="O770" s="46"/>
      <c r="P770" s="46"/>
      <c r="Q770" s="46"/>
      <c r="R770" s="46"/>
      <c r="S770" s="46"/>
      <c r="T770" s="46"/>
      <c r="U770" s="46"/>
    </row>
    <row r="771" spans="1:21" ht="18.75" hidden="1" x14ac:dyDescent="0.25">
      <c r="A771" s="138"/>
      <c r="B771" s="139"/>
      <c r="C771" s="139"/>
      <c r="D771" s="504" t="s">
        <v>290</v>
      </c>
      <c r="E771" s="139"/>
      <c r="F771" s="145"/>
      <c r="G771" s="143"/>
      <c r="H771" s="189"/>
      <c r="I771" s="45"/>
      <c r="J771" s="45"/>
      <c r="K771" s="46"/>
      <c r="L771" s="546"/>
      <c r="M771" s="46"/>
      <c r="N771" s="46"/>
      <c r="O771" s="46"/>
      <c r="P771" s="46"/>
      <c r="Q771" s="46"/>
      <c r="R771" s="46"/>
      <c r="S771" s="46"/>
      <c r="T771" s="46"/>
      <c r="U771" s="46"/>
    </row>
    <row r="772" spans="1:21" ht="18.75" x14ac:dyDescent="0.25">
      <c r="A772" s="138"/>
      <c r="B772" s="139"/>
      <c r="C772" s="139"/>
      <c r="D772" s="472" t="s">
        <v>291</v>
      </c>
      <c r="E772" s="139"/>
      <c r="F772" s="145"/>
      <c r="G772" s="143"/>
      <c r="H772" s="137" t="s">
        <v>35</v>
      </c>
      <c r="I772" s="152">
        <f ca="1">IFERROR(__xludf.DUMMYFUNCTION("IMPORTRANGE(""https://docs.google.com/spreadsheets/d/1eHaY18a8A9IcSdp1K8H6x8fbOy06t2VsZHhMHf-1x7Y/edit?usp=sharing"",""แผน!FQ82"")"),50)</f>
        <v>50</v>
      </c>
      <c r="J772" s="167">
        <v>0</v>
      </c>
      <c r="K772" s="47">
        <f ca="1">IF(I772&gt;0,J772*100/I772,0)</f>
        <v>0</v>
      </c>
      <c r="L772" s="546"/>
      <c r="M772" s="46"/>
      <c r="N772" s="46"/>
      <c r="O772" s="46"/>
      <c r="P772" s="46"/>
      <c r="Q772" s="46"/>
      <c r="R772" s="46"/>
      <c r="S772" s="46"/>
      <c r="T772" s="46"/>
      <c r="U772" s="46"/>
    </row>
    <row r="773" spans="1:21" ht="18.75" x14ac:dyDescent="0.25">
      <c r="A773" s="138"/>
      <c r="B773" s="139"/>
      <c r="C773" s="139"/>
      <c r="D773" s="472" t="s">
        <v>292</v>
      </c>
      <c r="E773" s="139"/>
      <c r="F773" s="145"/>
      <c r="G773" s="143"/>
      <c r="H773" s="189"/>
      <c r="I773" s="45"/>
      <c r="J773" s="45"/>
      <c r="K773" s="46"/>
      <c r="L773" s="546"/>
      <c r="M773" s="46"/>
      <c r="N773" s="46"/>
      <c r="O773" s="46"/>
      <c r="P773" s="46"/>
      <c r="Q773" s="46"/>
      <c r="R773" s="46"/>
      <c r="S773" s="46"/>
      <c r="T773" s="46"/>
      <c r="U773" s="46"/>
    </row>
    <row r="774" spans="1:21" ht="18.75" x14ac:dyDescent="0.25">
      <c r="A774" s="138"/>
      <c r="B774" s="139"/>
      <c r="C774" s="139"/>
      <c r="D774" s="472" t="s">
        <v>293</v>
      </c>
      <c r="E774" s="139"/>
      <c r="F774" s="145"/>
      <c r="G774" s="143"/>
      <c r="H774" s="137" t="s">
        <v>46</v>
      </c>
      <c r="I774" s="152">
        <f ca="1">IFERROR(__xludf.DUMMYFUNCTION("IMPORTRANGE(""https://docs.google.com/spreadsheets/d/1eHaY18a8A9IcSdp1K8H6x8fbOy06t2VsZHhMHf-1x7Y/edit?usp=sharing"",""แผน!FR82"")"),100)</f>
        <v>100</v>
      </c>
      <c r="J774" s="167">
        <v>0</v>
      </c>
      <c r="K774" s="47">
        <f ca="1">IF(I774&gt;0,J774*100/I774,0)</f>
        <v>0</v>
      </c>
      <c r="L774" s="546"/>
      <c r="M774" s="46"/>
      <c r="N774" s="46"/>
      <c r="O774" s="46"/>
      <c r="P774" s="46"/>
      <c r="Q774" s="46"/>
      <c r="R774" s="46"/>
      <c r="S774" s="46"/>
      <c r="T774" s="46"/>
      <c r="U774" s="46"/>
    </row>
    <row r="775" spans="1:21" ht="18.75" x14ac:dyDescent="0.25">
      <c r="A775" s="138"/>
      <c r="B775" s="139"/>
      <c r="C775" s="139"/>
      <c r="D775" s="472" t="s">
        <v>50</v>
      </c>
      <c r="E775" s="145"/>
      <c r="F775" s="41"/>
      <c r="G775" s="43"/>
      <c r="H775" s="137" t="s">
        <v>46</v>
      </c>
      <c r="I775" s="152">
        <f ca="1">IFERROR(__xludf.DUMMYFUNCTION("IMPORTRANGE(""https://docs.google.com/spreadsheets/d/1eHaY18a8A9IcSdp1K8H6x8fbOy06t2VsZHhMHf-1x7Y/edit?usp=sharing"",""แผน!FS82"")"),100)</f>
        <v>100</v>
      </c>
      <c r="J775" s="167">
        <v>0</v>
      </c>
      <c r="K775" s="46"/>
      <c r="L775" s="546"/>
      <c r="M775" s="46"/>
      <c r="N775" s="46"/>
      <c r="O775" s="46"/>
      <c r="P775" s="46"/>
      <c r="Q775" s="46"/>
      <c r="R775" s="46"/>
      <c r="S775" s="46"/>
      <c r="T775" s="46"/>
      <c r="U775" s="46"/>
    </row>
    <row r="776" spans="1:21" ht="18.75" x14ac:dyDescent="0.25">
      <c r="A776" s="263"/>
      <c r="B776" s="264"/>
      <c r="C776" s="264"/>
      <c r="D776" s="264"/>
      <c r="E776" s="266"/>
      <c r="F776" s="266"/>
      <c r="G776" s="53"/>
      <c r="H776" s="196" t="s">
        <v>35</v>
      </c>
      <c r="I776" s="197">
        <f ca="1">IFERROR(__xludf.DUMMYFUNCTION("IMPORTRANGE(""https://docs.google.com/spreadsheets/d/1eHaY18a8A9IcSdp1K8H6x8fbOy06t2VsZHhMHf-1x7Y/edit?usp=sharing"",""แผน!FT82"")"),50)</f>
        <v>50</v>
      </c>
      <c r="J776" s="355">
        <v>0</v>
      </c>
      <c r="K776" s="4"/>
      <c r="L776" s="545"/>
      <c r="M776" s="4"/>
      <c r="N776" s="4"/>
      <c r="O776" s="4"/>
      <c r="P776" s="4"/>
      <c r="Q776" s="4"/>
      <c r="R776" s="4"/>
      <c r="S776" s="4"/>
      <c r="T776" s="4"/>
      <c r="U776" s="4"/>
    </row>
    <row r="777" spans="1:21" ht="19.5" x14ac:dyDescent="0.3">
      <c r="A777" s="544" t="s">
        <v>294</v>
      </c>
      <c r="B777" s="507"/>
      <c r="C777" s="507"/>
      <c r="D777" s="506"/>
      <c r="E777" s="507"/>
      <c r="F777" s="507"/>
      <c r="G777" s="508"/>
      <c r="H777" s="543" t="str">
        <f ca="1">IFERROR(__xludf.DUMMYFUNCTION("IMPORTRANGE(""https://docs.google.com/spreadsheets/d/1gNPQPjxUj63ZZXIIIm2aX4x3w7PhAZpC9JuXdbpWwUQ/edit?usp=sharing"",""Sheet1!b2"")"),"(ข้อมูล ณ 30 เม.ย. 67)")</f>
        <v>(ข้อมูล ณ 30 เม.ย. 67)</v>
      </c>
      <c r="I777" s="510"/>
      <c r="J777" s="511"/>
      <c r="K777" s="512"/>
      <c r="L777" s="512"/>
      <c r="M777" s="512"/>
      <c r="N777" s="512"/>
      <c r="O777" s="512"/>
      <c r="P777" s="512"/>
      <c r="Q777" s="512"/>
      <c r="R777" s="512"/>
      <c r="S777" s="512"/>
      <c r="T777" s="512"/>
      <c r="U777" s="512"/>
    </row>
    <row r="778" spans="1:21" ht="18.75" x14ac:dyDescent="0.25">
      <c r="A778" s="40"/>
      <c r="B778" s="48" t="s">
        <v>295</v>
      </c>
      <c r="C778" s="41"/>
      <c r="D778" s="159"/>
      <c r="E778" s="41"/>
      <c r="F778" s="41"/>
      <c r="G778" s="43"/>
      <c r="H778" s="44" t="s">
        <v>14</v>
      </c>
      <c r="I778" s="152">
        <f ca="1">IFERROR(__xludf.DUMMYFUNCTION("IMPORTRANGE(""https://docs.google.com/spreadsheets/d/10OvvATaaLtwErnr3qtWFcTmtbfpFEt5Bsqel9sXx0uE/edit?usp=sharing"",""งานกองทุน!D82"")"),1446939.15)</f>
        <v>1446939.15</v>
      </c>
      <c r="J778" s="152">
        <f ca="1">IFERROR(__xludf.DUMMYFUNCTION("IMPORTRANGE(""https://docs.google.com/spreadsheets/d/10OvvATaaLtwErnr3qtWFcTmtbfpFEt5Bsqel9sXx0uE/edit?usp=sharing"",""งานกองทุน!F82"")"),1163538.43)</f>
        <v>1163538.43</v>
      </c>
      <c r="K778" s="47">
        <f ca="1">IF(I778&gt;0,J778*100/I778,0)</f>
        <v>80.413777593895361</v>
      </c>
      <c r="L778" s="46"/>
      <c r="M778" s="46"/>
      <c r="N778" s="46"/>
      <c r="O778" s="46"/>
      <c r="P778" s="46"/>
      <c r="Q778" s="46"/>
      <c r="R778" s="46"/>
      <c r="S778" s="46"/>
      <c r="T778" s="46"/>
      <c r="U778" s="46"/>
    </row>
    <row r="779" spans="1:21" ht="18.75" x14ac:dyDescent="0.25">
      <c r="A779" s="40"/>
      <c r="B779" s="41"/>
      <c r="C779" s="41"/>
      <c r="D779" s="159"/>
      <c r="E779" s="41"/>
      <c r="F779" s="41"/>
      <c r="G779" s="43"/>
      <c r="H779" s="44" t="s">
        <v>35</v>
      </c>
      <c r="I779" s="152">
        <f ca="1">IFERROR(__xludf.DUMMYFUNCTION("IMPORTRANGE(""https://docs.google.com/spreadsheets/d/10OvvATaaLtwErnr3qtWFcTmtbfpFEt5Bsqel9sXx0uE/edit?usp=sharing"",""งานกองทุน!C82"")"),130)</f>
        <v>130</v>
      </c>
      <c r="J779" s="152">
        <f ca="1">IFERROR(__xludf.DUMMYFUNCTION("IMPORTRANGE(""https://docs.google.com/spreadsheets/d/10OvvATaaLtwErnr3qtWFcTmtbfpFEt5Bsqel9sXx0uE/edit?usp=sharing"",""งานกองทุน!E82"")"),75)</f>
        <v>75</v>
      </c>
      <c r="K779" s="47">
        <f ca="1">IF(I779&gt;0,J779*100/I779,0)</f>
        <v>57.692307692307693</v>
      </c>
      <c r="L779" s="46"/>
      <c r="M779" s="46"/>
      <c r="N779" s="46"/>
      <c r="O779" s="46"/>
      <c r="P779" s="46"/>
      <c r="Q779" s="46"/>
      <c r="R779" s="46"/>
      <c r="S779" s="46"/>
      <c r="T779" s="46"/>
      <c r="U779" s="46"/>
    </row>
    <row r="780" spans="1:21" ht="18.75" x14ac:dyDescent="0.25">
      <c r="A780" s="40"/>
      <c r="B780" s="48" t="s">
        <v>296</v>
      </c>
      <c r="C780" s="41"/>
      <c r="D780" s="159"/>
      <c r="E780" s="41"/>
      <c r="F780" s="41"/>
      <c r="G780" s="43"/>
      <c r="H780" s="44" t="s">
        <v>14</v>
      </c>
      <c r="I780" s="152">
        <f ca="1">IFERROR(__xludf.DUMMYFUNCTION("IMPORTRANGE(""https://docs.google.com/spreadsheets/d/10OvvATaaLtwErnr3qtWFcTmtbfpFEt5Bsqel9sXx0uE/edit?usp=sharing"",""งานกองทุน!I82"")"),726927.94)</f>
        <v>726927.94</v>
      </c>
      <c r="J780" s="152">
        <f ca="1">IFERROR(__xludf.DUMMYFUNCTION("IMPORTRANGE(""https://docs.google.com/spreadsheets/d/10OvvATaaLtwErnr3qtWFcTmtbfpFEt5Bsqel9sXx0uE/edit?usp=sharing"",""งานกองทุน!K82"")"),63993.27)</f>
        <v>63993.27</v>
      </c>
      <c r="K780" s="47">
        <f ca="1">IF(I780&gt;0,J780*100/I780,0)</f>
        <v>8.8032480908630379</v>
      </c>
      <c r="L780" s="46"/>
      <c r="M780" s="46"/>
      <c r="N780" s="46"/>
      <c r="O780" s="46"/>
      <c r="P780" s="46"/>
      <c r="Q780" s="46"/>
      <c r="R780" s="46"/>
      <c r="S780" s="46"/>
      <c r="T780" s="46"/>
      <c r="U780" s="46"/>
    </row>
    <row r="781" spans="1:21" ht="18.75" x14ac:dyDescent="0.25">
      <c r="A781" s="40"/>
      <c r="B781" s="41"/>
      <c r="C781" s="41"/>
      <c r="D781" s="159"/>
      <c r="E781" s="41"/>
      <c r="F781" s="41"/>
      <c r="G781" s="43"/>
      <c r="H781" s="44" t="s">
        <v>35</v>
      </c>
      <c r="I781" s="152">
        <f ca="1">IFERROR(__xludf.DUMMYFUNCTION("IMPORTRANGE(""https://docs.google.com/spreadsheets/d/10OvvATaaLtwErnr3qtWFcTmtbfpFEt5Bsqel9sXx0uE/edit?usp=sharing"",""งานกองทุน!H82"")"),50)</f>
        <v>50</v>
      </c>
      <c r="J781" s="152">
        <f ca="1">IFERROR(__xludf.DUMMYFUNCTION("IMPORTRANGE(""https://docs.google.com/spreadsheets/d/10OvvATaaLtwErnr3qtWFcTmtbfpFEt5Bsqel9sXx0uE/edit?usp=sharing"",""งานกองทุน!J82"")"),29)</f>
        <v>29</v>
      </c>
      <c r="K781" s="47">
        <f ca="1">IF(I781&gt;0,J781*100/I781,0)</f>
        <v>58</v>
      </c>
      <c r="L781" s="46"/>
      <c r="M781" s="46"/>
      <c r="N781" s="46"/>
      <c r="O781" s="46"/>
      <c r="P781" s="46"/>
      <c r="Q781" s="46"/>
      <c r="R781" s="46"/>
      <c r="S781" s="46"/>
      <c r="T781" s="46"/>
      <c r="U781" s="46"/>
    </row>
    <row r="782" spans="1:21" ht="18.75" x14ac:dyDescent="0.25">
      <c r="A782" s="40"/>
      <c r="B782" s="48" t="s">
        <v>297</v>
      </c>
      <c r="C782" s="41"/>
      <c r="D782" s="159"/>
      <c r="E782" s="41"/>
      <c r="F782" s="41"/>
      <c r="G782" s="43"/>
      <c r="H782" s="44" t="s">
        <v>14</v>
      </c>
      <c r="I782" s="152">
        <f ca="1">IFERROR(__xludf.DUMMYFUNCTION("IMPORTRANGE(""https://docs.google.com/spreadsheets/d/10OvvATaaLtwErnr3qtWFcTmtbfpFEt5Bsqel9sXx0uE/edit?usp=sharing"",""งานกองทุน!N82"")"),0)</f>
        <v>0</v>
      </c>
      <c r="J782" s="152">
        <f ca="1">IFERROR(__xludf.DUMMYFUNCTION("IMPORTRANGE(""https://docs.google.com/spreadsheets/d/10OvvATaaLtwErnr3qtWFcTmtbfpFEt5Bsqel9sXx0uE/edit?usp=sharing"",""งานกองทุน!P82"")"),0)</f>
        <v>0</v>
      </c>
      <c r="K782" s="47">
        <f ca="1">IF(I782&gt;0,J782*100/I782,0)</f>
        <v>0</v>
      </c>
      <c r="L782" s="46"/>
      <c r="M782" s="46"/>
      <c r="N782" s="46"/>
      <c r="O782" s="46"/>
      <c r="P782" s="46"/>
      <c r="Q782" s="46"/>
      <c r="R782" s="46"/>
      <c r="S782" s="46"/>
      <c r="T782" s="46"/>
      <c r="U782" s="46"/>
    </row>
    <row r="783" spans="1:21" ht="18.75" x14ac:dyDescent="0.25">
      <c r="A783" s="40"/>
      <c r="B783" s="41"/>
      <c r="C783" s="41"/>
      <c r="D783" s="159"/>
      <c r="E783" s="41"/>
      <c r="F783" s="41"/>
      <c r="G783" s="43"/>
      <c r="H783" s="44" t="s">
        <v>35</v>
      </c>
      <c r="I783" s="152">
        <f ca="1">IFERROR(__xludf.DUMMYFUNCTION("IMPORTRANGE(""https://docs.google.com/spreadsheets/d/10OvvATaaLtwErnr3qtWFcTmtbfpFEt5Bsqel9sXx0uE/edit?usp=sharing"",""งานกองทุน!M82"")"),0)</f>
        <v>0</v>
      </c>
      <c r="J783" s="152">
        <f ca="1">IFERROR(__xludf.DUMMYFUNCTION("IMPORTRANGE(""https://docs.google.com/spreadsheets/d/10OvvATaaLtwErnr3qtWFcTmtbfpFEt5Bsqel9sXx0uE/edit?usp=sharing"",""งานกองทุน!O82"")"),0)</f>
        <v>0</v>
      </c>
      <c r="K783" s="47">
        <f ca="1">IF(I783&gt;0,J783*100/I783,0)</f>
        <v>0</v>
      </c>
      <c r="L783" s="46"/>
      <c r="M783" s="46"/>
      <c r="N783" s="46"/>
      <c r="O783" s="46"/>
      <c r="P783" s="46"/>
      <c r="Q783" s="46"/>
      <c r="R783" s="46"/>
      <c r="S783" s="46"/>
      <c r="T783" s="46"/>
      <c r="U783" s="46"/>
    </row>
    <row r="784" spans="1:21" ht="18.75" x14ac:dyDescent="0.25">
      <c r="A784" s="40"/>
      <c r="B784" s="48" t="s">
        <v>298</v>
      </c>
      <c r="C784" s="41"/>
      <c r="D784" s="159"/>
      <c r="E784" s="41"/>
      <c r="F784" s="41"/>
      <c r="G784" s="43"/>
      <c r="H784" s="44" t="s">
        <v>14</v>
      </c>
      <c r="I784" s="152">
        <f ca="1">IFERROR(__xludf.DUMMYFUNCTION("IMPORTRANGE(""https://docs.google.com/spreadsheets/d/10OvvATaaLtwErnr3qtWFcTmtbfpFEt5Bsqel9sXx0uE/edit?usp=sharing"",""งานกองทุน!S82"")"),1624000)</f>
        <v>1624000</v>
      </c>
      <c r="J784" s="152">
        <f ca="1">IFERROR(__xludf.DUMMYFUNCTION("IMPORTRANGE(""https://docs.google.com/spreadsheets/d/10OvvATaaLtwErnr3qtWFcTmtbfpFEt5Bsqel9sXx0uE/edit?usp=sharing"",""งานกองทุน!U82"")"),0)</f>
        <v>0</v>
      </c>
      <c r="K784" s="47">
        <f ca="1">IF(I784&gt;0,J784*100/I784,0)</f>
        <v>0</v>
      </c>
      <c r="L784" s="46"/>
      <c r="M784" s="46"/>
      <c r="N784" s="46"/>
      <c r="O784" s="46"/>
      <c r="P784" s="46"/>
      <c r="Q784" s="46"/>
      <c r="R784" s="46"/>
      <c r="S784" s="46"/>
      <c r="T784" s="46"/>
      <c r="U784" s="46"/>
    </row>
    <row r="785" spans="1:21" ht="18.75" x14ac:dyDescent="0.25">
      <c r="A785" s="51"/>
      <c r="B785" s="1"/>
      <c r="C785" s="1"/>
      <c r="D785" s="3"/>
      <c r="E785" s="1"/>
      <c r="F785" s="1"/>
      <c r="G785" s="53"/>
      <c r="H785" s="54" t="s">
        <v>35</v>
      </c>
      <c r="I785" s="197">
        <f ca="1">IFERROR(__xludf.DUMMYFUNCTION("IMPORTRANGE(""https://docs.google.com/spreadsheets/d/10OvvATaaLtwErnr3qtWFcTmtbfpFEt5Bsqel9sXx0uE/edit?usp=sharing"",""งานกองทุน!R82"")"),58)</f>
        <v>58</v>
      </c>
      <c r="J785" s="197">
        <f ca="1">IFERROR(__xludf.DUMMYFUNCTION("IMPORTRANGE(""https://docs.google.com/spreadsheets/d/10OvvATaaLtwErnr3qtWFcTmtbfpFEt5Bsqel9sXx0uE/edit?usp=sharing"",""งานกองทุน!T82"")"),0)</f>
        <v>0</v>
      </c>
      <c r="K785" s="111">
        <f ca="1">IF(I785&gt;0,J785*100/I785,0)</f>
        <v>0</v>
      </c>
      <c r="L785" s="4"/>
      <c r="M785" s="4"/>
      <c r="N785" s="4"/>
      <c r="O785" s="4"/>
      <c r="P785" s="4"/>
      <c r="Q785" s="4"/>
      <c r="R785" s="4"/>
      <c r="S785" s="4"/>
      <c r="T785" s="4"/>
      <c r="U785" s="4"/>
    </row>
    <row r="786" spans="1:21" ht="12.75" x14ac:dyDescent="0.2">
      <c r="A786" s="166"/>
      <c r="B786" s="166"/>
      <c r="C786" s="166"/>
      <c r="D786" s="166"/>
      <c r="E786" s="166"/>
      <c r="F786" s="166"/>
      <c r="G786" s="166"/>
      <c r="H786" s="166"/>
      <c r="I786" s="166"/>
      <c r="J786" s="166"/>
      <c r="K786" s="166"/>
      <c r="L786" s="166"/>
      <c r="M786" s="166"/>
      <c r="N786" s="166"/>
      <c r="O786" s="166"/>
      <c r="P786" s="166"/>
      <c r="Q786" s="166"/>
      <c r="R786" s="166"/>
      <c r="S786" s="166"/>
      <c r="T786" s="166"/>
      <c r="U786" s="166"/>
    </row>
    <row r="787" spans="1:21" ht="16.5" x14ac:dyDescent="0.25">
      <c r="A787" s="542" t="s">
        <v>299</v>
      </c>
      <c r="B787" s="166"/>
      <c r="C787" s="166"/>
      <c r="D787" s="166"/>
      <c r="E787" s="166"/>
      <c r="F787" s="166"/>
      <c r="G787" s="166"/>
      <c r="H787" s="166"/>
      <c r="I787" s="166"/>
      <c r="J787" s="166"/>
      <c r="K787" s="166"/>
      <c r="L787" s="166"/>
      <c r="M787" s="166"/>
      <c r="N787" s="166"/>
      <c r="O787" s="166"/>
      <c r="P787" s="166"/>
      <c r="Q787" s="166"/>
      <c r="R787" s="166"/>
      <c r="S787" s="166"/>
      <c r="T787" s="166"/>
      <c r="U787" s="166"/>
    </row>
    <row r="788" spans="1:21" ht="16.5" x14ac:dyDescent="0.25">
      <c r="A788" s="516" t="str">
        <f ca="1">IFERROR(__xludf.DUMMYFUNCTION("concatenate(""-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"",IMPORTRANGE(""https://docs.google.com/spreadsheets/d/1gNPQPjxUj63ZZXIIIm2aX4x3w7PhAZpC9JuXdbpWwUQ/edit?usp=sharing"",""Sheet1!b1""))"),"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67")</f>
        <v xml:space="preserve"> - ผลใช้จ่ายงบประมาณตาม พ.ร.บ.งบประมาณ ประจำปีงบประมาณ พ.ศ.2567 ใช้ข้อมูลจากกลุ่มงบประมาณ สำนักบริหารกลาง ข้อมูล ณ 14 มิถุนายน 67</v>
      </c>
      <c r="B788" s="166"/>
      <c r="C788" s="166"/>
      <c r="D788" s="166"/>
      <c r="E788" s="166"/>
      <c r="F788" s="166"/>
      <c r="G788" s="166"/>
      <c r="H788" s="166"/>
      <c r="I788" s="166"/>
      <c r="J788" s="166"/>
      <c r="K788" s="166"/>
      <c r="L788" s="166"/>
      <c r="M788" s="166"/>
      <c r="N788" s="166"/>
      <c r="O788" s="166"/>
      <c r="P788" s="166"/>
      <c r="Q788" s="166"/>
      <c r="R788" s="166"/>
      <c r="S788" s="166"/>
      <c r="T788" s="166"/>
      <c r="U788" s="166"/>
    </row>
    <row r="789" spans="1:21" ht="16.5" x14ac:dyDescent="0.25">
      <c r="A789" s="542" t="str">
        <f ca="1">IFERROR(__xludf.DUMMYFUNCTION("concatenate(""-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"",IMPORTRANGE(""https://docs.google.com/spreadsheets/d/1gNPQPjxUj63ZZXIIIm2aX4x3w7PhAZpC9JuXdbpWwUQ/edit?usp=sharing"",""Sheet1!b8"&amp;"""))"),"-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น.")</f>
        <v>- ผลเบิกจ่ายกิจกรรมที่ใช้เงินกองทุน ใช้ข้อมูลจาก Google Sheet ของกลุ่มการเงินและบัญชีกองทุน สำนักบริหารกองทุน ข้อมูล ณ 17 มิ.ย. 67 เวลา 10.59 น.</v>
      </c>
      <c r="B789" s="166"/>
      <c r="C789" s="166"/>
      <c r="D789" s="166"/>
      <c r="E789" s="166"/>
      <c r="F789" s="166"/>
      <c r="G789" s="166"/>
      <c r="H789" s="166"/>
      <c r="I789" s="166"/>
      <c r="J789" s="166"/>
      <c r="K789" s="166"/>
      <c r="L789" s="166"/>
      <c r="M789" s="166"/>
      <c r="N789" s="166"/>
      <c r="O789" s="166"/>
      <c r="P789" s="166"/>
      <c r="Q789" s="166"/>
      <c r="R789" s="166"/>
      <c r="S789" s="166"/>
      <c r="T789" s="166"/>
      <c r="U789" s="166"/>
    </row>
  </sheetData>
  <mergeCells count="26">
    <mergeCell ref="A2:U2"/>
    <mergeCell ref="A3:U3"/>
    <mergeCell ref="A17:G17"/>
    <mergeCell ref="A30:G30"/>
    <mergeCell ref="A56:G56"/>
    <mergeCell ref="B57:G57"/>
    <mergeCell ref="D413:G413"/>
    <mergeCell ref="A4:G6"/>
    <mergeCell ref="A7:G7"/>
    <mergeCell ref="D642:G642"/>
    <mergeCell ref="D690:G690"/>
    <mergeCell ref="D714:G714"/>
    <mergeCell ref="D728:G728"/>
    <mergeCell ref="D760:G760"/>
    <mergeCell ref="Q5:R5"/>
    <mergeCell ref="D493:F493"/>
    <mergeCell ref="D599:G599"/>
    <mergeCell ref="D616:G616"/>
    <mergeCell ref="L5:M5"/>
    <mergeCell ref="L4:P4"/>
    <mergeCell ref="Q4:U4"/>
    <mergeCell ref="I4:K5"/>
    <mergeCell ref="S5:U5"/>
    <mergeCell ref="N5:P5"/>
    <mergeCell ref="H4:H6"/>
    <mergeCell ref="A1:U1"/>
  </mergeCells>
  <printOptions horizontalCentered="1"/>
  <pageMargins left="0.23622047244094491" right="0.23622047244094491" top="0.55118110236220474" bottom="0.55118110236220474" header="0.31496062992125984" footer="0.31496062992125984"/>
  <pageSetup paperSize="9" scale="29" fitToHeight="0" orientation="portrait" r:id="rId1"/>
  <headerFooter>
    <oddFooter>&amp;Cหน้า &amp;P/&amp;N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16</vt:i4>
      </vt:variant>
    </vt:vector>
  </HeadingPairs>
  <TitlesOfParts>
    <vt:vector size="31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  <vt:lpstr>ๆ203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Alro</cp:lastModifiedBy>
  <dcterms:modified xsi:type="dcterms:W3CDTF">2024-07-05T03:49:56Z</dcterms:modified>
</cp:coreProperties>
</file>